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F3F8B1FE-587E-4DF7-B46D-70B7F595D6C1}" xr6:coauthVersionLast="47" xr6:coauthVersionMax="47" xr10:uidLastSave="{00000000-0000-0000-0000-000000000000}"/>
  <bookViews>
    <workbookView xWindow="-108" yWindow="-108" windowWidth="23256" windowHeight="12456" xr2:uid="{2ACE2ED4-C3C8-4FB9-9F32-EDD996BBA740}"/>
  </bookViews>
  <sheets>
    <sheet name="ULTRATECH" sheetId="1" r:id="rId1"/>
    <sheet name="Cement &amp; cement Product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9" i="2" l="1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K52" i="2"/>
  <c r="G52" i="2"/>
  <c r="H52" i="2" s="1"/>
  <c r="D52" i="2"/>
  <c r="C36" i="2"/>
  <c r="C35" i="2"/>
  <c r="C34" i="2"/>
  <c r="C33" i="2"/>
  <c r="C32" i="2"/>
  <c r="C31" i="2"/>
  <c r="C30" i="2"/>
  <c r="C29" i="2"/>
  <c r="C28" i="2"/>
  <c r="K73" i="1"/>
  <c r="J73" i="1"/>
  <c r="M73" i="1" s="1"/>
  <c r="M71" i="1"/>
  <c r="M70" i="1"/>
  <c r="Q69" i="1"/>
  <c r="R69" i="1" s="1"/>
  <c r="P69" i="1"/>
  <c r="M69" i="1"/>
  <c r="M68" i="1"/>
  <c r="L68" i="1"/>
  <c r="R67" i="1"/>
  <c r="M67" i="1"/>
  <c r="L67" i="1"/>
  <c r="R66" i="1"/>
  <c r="M66" i="1"/>
  <c r="R65" i="1"/>
  <c r="M65" i="1"/>
  <c r="R64" i="1"/>
  <c r="M64" i="1"/>
  <c r="L64" i="1"/>
  <c r="M63" i="1"/>
  <c r="K59" i="1"/>
  <c r="L59" i="1" s="1"/>
  <c r="J59" i="1"/>
  <c r="Q58" i="1"/>
  <c r="K58" i="1"/>
  <c r="J58" i="1"/>
  <c r="L58" i="1" s="1"/>
  <c r="Q57" i="1"/>
  <c r="L57" i="1"/>
  <c r="Q56" i="1"/>
  <c r="L56" i="1"/>
  <c r="Q55" i="1"/>
  <c r="K55" i="1"/>
  <c r="J55" i="1"/>
  <c r="L55" i="1" s="1"/>
  <c r="Q54" i="1"/>
  <c r="L54" i="1"/>
  <c r="Q53" i="1"/>
  <c r="K53" i="1"/>
  <c r="J53" i="1"/>
  <c r="L53" i="1" s="1"/>
  <c r="Q52" i="1"/>
  <c r="L52" i="1"/>
  <c r="Q51" i="1"/>
  <c r="K51" i="1"/>
  <c r="L51" i="1" s="1"/>
  <c r="J51" i="1"/>
  <c r="Q50" i="1"/>
  <c r="L50" i="1"/>
  <c r="O47" i="1"/>
  <c r="D47" i="1"/>
  <c r="E47" i="1" s="1"/>
  <c r="G46" i="1"/>
  <c r="H46" i="1" s="1"/>
  <c r="D46" i="1"/>
  <c r="E46" i="1" s="1"/>
  <c r="E43" i="1" s="1"/>
  <c r="C46" i="1"/>
  <c r="C47" i="1" s="1"/>
  <c r="C48" i="1" s="1"/>
  <c r="Q44" i="1"/>
  <c r="T42" i="1"/>
  <c r="R42" i="1"/>
  <c r="L39" i="1"/>
  <c r="K39" i="1"/>
  <c r="I39" i="1"/>
  <c r="H39" i="1"/>
  <c r="G39" i="1"/>
  <c r="E39" i="1"/>
  <c r="D39" i="1"/>
  <c r="C39" i="1"/>
  <c r="L38" i="1"/>
  <c r="I38" i="1"/>
  <c r="H38" i="1"/>
  <c r="G38" i="1"/>
  <c r="E38" i="1"/>
  <c r="D38" i="1"/>
  <c r="C38" i="1"/>
  <c r="L37" i="1"/>
  <c r="I37" i="1"/>
  <c r="H37" i="1"/>
  <c r="G37" i="1"/>
  <c r="E37" i="1"/>
  <c r="D37" i="1"/>
  <c r="C37" i="1"/>
  <c r="L36" i="1"/>
  <c r="I36" i="1"/>
  <c r="H36" i="1"/>
  <c r="G36" i="1"/>
  <c r="E36" i="1"/>
  <c r="D36" i="1"/>
  <c r="K33" i="1"/>
  <c r="J33" i="1"/>
  <c r="E33" i="1"/>
  <c r="F33" i="1" s="1"/>
  <c r="D33" i="1"/>
  <c r="E3" i="1" s="1"/>
  <c r="C33" i="1"/>
  <c r="M32" i="1"/>
  <c r="M39" i="1" s="1"/>
  <c r="K32" i="1"/>
  <c r="J32" i="1"/>
  <c r="J39" i="1" s="1"/>
  <c r="F32" i="1"/>
  <c r="F39" i="1" s="1"/>
  <c r="M31" i="1"/>
  <c r="K31" i="1"/>
  <c r="J31" i="1"/>
  <c r="F31" i="1"/>
  <c r="M30" i="1"/>
  <c r="K30" i="1"/>
  <c r="J30" i="1"/>
  <c r="F30" i="1"/>
  <c r="M29" i="1"/>
  <c r="K29" i="1"/>
  <c r="J29" i="1"/>
  <c r="F29" i="1"/>
  <c r="N28" i="1"/>
  <c r="M28" i="1"/>
  <c r="K28" i="1"/>
  <c r="J28" i="1"/>
  <c r="F28" i="1"/>
  <c r="M27" i="1"/>
  <c r="M38" i="1" s="1"/>
  <c r="K27" i="1"/>
  <c r="K38" i="1" s="1"/>
  <c r="J27" i="1"/>
  <c r="J38" i="1" s="1"/>
  <c r="F27" i="1"/>
  <c r="F38" i="1" s="1"/>
  <c r="M26" i="1"/>
  <c r="K26" i="1"/>
  <c r="J26" i="1"/>
  <c r="F26" i="1"/>
  <c r="M25" i="1"/>
  <c r="K25" i="1"/>
  <c r="J25" i="1"/>
  <c r="F25" i="1"/>
  <c r="M24" i="1"/>
  <c r="K24" i="1"/>
  <c r="J24" i="1"/>
  <c r="F24" i="1"/>
  <c r="M23" i="1"/>
  <c r="K23" i="1"/>
  <c r="K37" i="1" s="1"/>
  <c r="J23" i="1"/>
  <c r="F23" i="1"/>
  <c r="F37" i="1" s="1"/>
  <c r="M22" i="1"/>
  <c r="M37" i="1" s="1"/>
  <c r="K22" i="1"/>
  <c r="J22" i="1"/>
  <c r="J37" i="1" s="1"/>
  <c r="F22" i="1"/>
  <c r="C22" i="1"/>
  <c r="M21" i="1"/>
  <c r="K21" i="1"/>
  <c r="J21" i="1"/>
  <c r="F21" i="1"/>
  <c r="C21" i="1"/>
  <c r="M20" i="1"/>
  <c r="K20" i="1"/>
  <c r="J20" i="1"/>
  <c r="F20" i="1"/>
  <c r="C20" i="1"/>
  <c r="M19" i="1"/>
  <c r="M36" i="1" s="1"/>
  <c r="K19" i="1"/>
  <c r="J19" i="1"/>
  <c r="F19" i="1"/>
  <c r="C19" i="1"/>
  <c r="M18" i="1"/>
  <c r="K18" i="1"/>
  <c r="J18" i="1"/>
  <c r="J36" i="1" s="1"/>
  <c r="F18" i="1"/>
  <c r="F36" i="1" s="1"/>
  <c r="G42" i="1" s="1"/>
  <c r="C18" i="1"/>
  <c r="M17" i="1"/>
  <c r="K17" i="1"/>
  <c r="K36" i="1" s="1"/>
  <c r="J17" i="1"/>
  <c r="F17" i="1"/>
  <c r="C17" i="1"/>
  <c r="C36" i="1" s="1"/>
  <c r="M16" i="1"/>
  <c r="K16" i="1"/>
  <c r="J16" i="1"/>
  <c r="F16" i="1"/>
  <c r="C16" i="1"/>
  <c r="M15" i="1"/>
  <c r="K15" i="1"/>
  <c r="J15" i="1"/>
  <c r="F15" i="1"/>
  <c r="C15" i="1"/>
  <c r="M14" i="1"/>
  <c r="K14" i="1"/>
  <c r="J14" i="1"/>
  <c r="F14" i="1"/>
  <c r="C14" i="1"/>
  <c r="K13" i="1"/>
  <c r="J13" i="1"/>
  <c r="F13" i="1"/>
  <c r="C13" i="1"/>
  <c r="H11" i="1"/>
  <c r="D11" i="1"/>
  <c r="U9" i="1"/>
  <c r="S9" i="1"/>
  <c r="R9" i="1"/>
  <c r="P9" i="1"/>
  <c r="O9" i="1"/>
  <c r="J9" i="1"/>
  <c r="I9" i="1"/>
  <c r="F9" i="1"/>
  <c r="D9" i="1"/>
  <c r="C9" i="1"/>
  <c r="B9" i="1"/>
  <c r="S5" i="1"/>
  <c r="R5" i="1"/>
  <c r="Q5" i="1"/>
  <c r="P5" i="1"/>
  <c r="O5" i="1"/>
  <c r="N5" i="1"/>
  <c r="M5" i="1"/>
  <c r="J5" i="1"/>
  <c r="I5" i="1"/>
  <c r="H5" i="1"/>
  <c r="V4" i="1"/>
  <c r="L4" i="1"/>
  <c r="L5" i="1" s="1"/>
  <c r="K4" i="1"/>
  <c r="G4" i="1"/>
  <c r="G5" i="1" s="1"/>
  <c r="F4" i="1"/>
  <c r="E4" i="1"/>
  <c r="V3" i="1"/>
  <c r="L3" i="1"/>
  <c r="K3" i="1"/>
  <c r="T9" i="1" s="1"/>
  <c r="F3" i="1"/>
  <c r="L9" i="1" s="1"/>
  <c r="D3" i="1"/>
  <c r="C3" i="1"/>
  <c r="S44" i="1" s="1"/>
  <c r="D171" i="2" l="1"/>
  <c r="N9" i="1"/>
  <c r="G47" i="1"/>
  <c r="E48" i="1"/>
  <c r="E5" i="1"/>
  <c r="G9" i="1"/>
  <c r="E9" i="1"/>
  <c r="M9" i="1"/>
  <c r="L65" i="1"/>
  <c r="L70" i="1"/>
  <c r="D48" i="1"/>
  <c r="L71" i="1"/>
  <c r="H9" i="1"/>
  <c r="L63" i="1"/>
  <c r="L66" i="1"/>
  <c r="L69" i="1"/>
  <c r="C5" i="1"/>
  <c r="K5" i="1"/>
  <c r="Q9" i="1"/>
  <c r="R44" i="1"/>
  <c r="D4" i="1"/>
  <c r="D5" i="1" s="1"/>
  <c r="K9" i="1"/>
  <c r="L73" i="1"/>
  <c r="F5" i="1"/>
  <c r="H47" i="1" l="1"/>
  <c r="G48" i="1"/>
  <c r="H48" i="1" s="1"/>
</calcChain>
</file>

<file path=xl/sharedStrings.xml><?xml version="1.0" encoding="utf-8"?>
<sst xmlns="http://schemas.openxmlformats.org/spreadsheetml/2006/main" count="462" uniqueCount="214">
  <si>
    <t>INC. STATE.</t>
  </si>
  <si>
    <t>BALANCE SHEET</t>
  </si>
  <si>
    <t>CASHFLOW</t>
  </si>
  <si>
    <t>Company</t>
  </si>
  <si>
    <t>Price</t>
  </si>
  <si>
    <t>Marketcap in Cr</t>
  </si>
  <si>
    <t>SALES</t>
  </si>
  <si>
    <t>Profit</t>
  </si>
  <si>
    <t>EPS</t>
  </si>
  <si>
    <t>FV</t>
  </si>
  <si>
    <t>Equity</t>
  </si>
  <si>
    <t>Total Equity</t>
  </si>
  <si>
    <t>Debt</t>
  </si>
  <si>
    <t>Lease Cr</t>
  </si>
  <si>
    <t>CUR.ASSETS</t>
  </si>
  <si>
    <t>CUR.LIABILITIES</t>
  </si>
  <si>
    <t>ASSETS</t>
  </si>
  <si>
    <t>LIABILITIES</t>
  </si>
  <si>
    <t>TRADE REC</t>
  </si>
  <si>
    <t>PPE_CF</t>
  </si>
  <si>
    <t>CFO</t>
  </si>
  <si>
    <t>CFI</t>
  </si>
  <si>
    <t>CFF</t>
  </si>
  <si>
    <t>NETCASHFLOW</t>
  </si>
  <si>
    <t>ULTRACEMCO</t>
  </si>
  <si>
    <t>LAST YEAR_24</t>
  </si>
  <si>
    <t>GROWTH</t>
  </si>
  <si>
    <t>PROFITABILITY</t>
  </si>
  <si>
    <t>LIQUIDITY</t>
  </si>
  <si>
    <t>SOLVENCY</t>
  </si>
  <si>
    <t>EARNING_RATIO</t>
  </si>
  <si>
    <t>VALUATIONS</t>
  </si>
  <si>
    <t>CFR</t>
  </si>
  <si>
    <t>SALES GROWTH</t>
  </si>
  <si>
    <t>EBITDA%</t>
  </si>
  <si>
    <t>EBTDA%</t>
  </si>
  <si>
    <t>P-MARGIN</t>
  </si>
  <si>
    <t>CUR.RATIO</t>
  </si>
  <si>
    <t>TRADE REC DAY</t>
  </si>
  <si>
    <t>DEBT2EQUITY</t>
  </si>
  <si>
    <t>DEBTRATIO</t>
  </si>
  <si>
    <t>ICR</t>
  </si>
  <si>
    <t>ROE</t>
  </si>
  <si>
    <t>ROPE</t>
  </si>
  <si>
    <t>ROA</t>
  </si>
  <si>
    <t>PE</t>
  </si>
  <si>
    <t>YIELD_23</t>
  </si>
  <si>
    <t>BOOKVALUE</t>
  </si>
  <si>
    <t>PBV</t>
  </si>
  <si>
    <t>PEG</t>
  </si>
  <si>
    <t>OCFR</t>
  </si>
  <si>
    <t>CFD</t>
  </si>
  <si>
    <t>FCF IN CR</t>
  </si>
  <si>
    <t>ActualData</t>
  </si>
  <si>
    <t>Years</t>
  </si>
  <si>
    <t>VOLUME(MMT)</t>
  </si>
  <si>
    <t>Sales</t>
  </si>
  <si>
    <t>Margin</t>
  </si>
  <si>
    <t>High</t>
  </si>
  <si>
    <t>Low</t>
  </si>
  <si>
    <t>HPE</t>
  </si>
  <si>
    <t>LPE</t>
  </si>
  <si>
    <t>Dividend</t>
  </si>
  <si>
    <t>Percentage</t>
  </si>
  <si>
    <t>FY_2005</t>
  </si>
  <si>
    <t>FY_2006</t>
  </si>
  <si>
    <t>FY_2007</t>
  </si>
  <si>
    <t>FY_2008</t>
  </si>
  <si>
    <t>FY_2009</t>
  </si>
  <si>
    <t>FY_2010</t>
  </si>
  <si>
    <t>FY_2011</t>
  </si>
  <si>
    <t>FY_2012</t>
  </si>
  <si>
    <t>FY_2013</t>
  </si>
  <si>
    <t>FY_2014</t>
  </si>
  <si>
    <t>FY_2015</t>
  </si>
  <si>
    <t>FY_2016</t>
  </si>
  <si>
    <t>FY_2017</t>
  </si>
  <si>
    <t>FY_2018</t>
  </si>
  <si>
    <t>FY_2019</t>
  </si>
  <si>
    <t>FY_2020</t>
  </si>
  <si>
    <t>FY_2021</t>
  </si>
  <si>
    <t>FY_2022</t>
  </si>
  <si>
    <t>FY_2023</t>
  </si>
  <si>
    <t>FY_2024</t>
  </si>
  <si>
    <t>Trail_fy25</t>
  </si>
  <si>
    <t>Real Growth</t>
  </si>
  <si>
    <t>15 YEARS</t>
  </si>
  <si>
    <t>10 Years</t>
  </si>
  <si>
    <t>5 Years</t>
  </si>
  <si>
    <t>Last Year</t>
  </si>
  <si>
    <t>Exp Growth</t>
  </si>
  <si>
    <t>MARGIN</t>
  </si>
  <si>
    <t>CURRENT TREND</t>
  </si>
  <si>
    <t>9M_FY_24</t>
  </si>
  <si>
    <t>FY_24</t>
  </si>
  <si>
    <t>Q1_FY_25</t>
  </si>
  <si>
    <t>H1_FY_25</t>
  </si>
  <si>
    <t>EST-2025</t>
  </si>
  <si>
    <t>EPS_24</t>
  </si>
  <si>
    <t>T_EPS_25</t>
  </si>
  <si>
    <t>F_EPS_25</t>
  </si>
  <si>
    <t>Long Term</t>
  </si>
  <si>
    <t>CY YEAR</t>
  </si>
  <si>
    <t>PROFIT</t>
  </si>
  <si>
    <t>PE_24</t>
  </si>
  <si>
    <t>TRAIL_PE</t>
  </si>
  <si>
    <t>PE_25</t>
  </si>
  <si>
    <t>Estimates</t>
  </si>
  <si>
    <t>FAIRVALUE</t>
  </si>
  <si>
    <t>FY_2025</t>
  </si>
  <si>
    <t>TRAIL</t>
  </si>
  <si>
    <t>Q3_FY24</t>
  </si>
  <si>
    <t>Q4_FY24</t>
  </si>
  <si>
    <t>Q2_FY_25</t>
  </si>
  <si>
    <t>Trail_EPS</t>
  </si>
  <si>
    <t>FY_2030</t>
  </si>
  <si>
    <t>FY_2035</t>
  </si>
  <si>
    <t>RESULTS</t>
  </si>
  <si>
    <t>H1_FY_24</t>
  </si>
  <si>
    <t>Growth</t>
  </si>
  <si>
    <t>Q2_FY_24</t>
  </si>
  <si>
    <t>Q1_FY_24</t>
  </si>
  <si>
    <t>Revenue</t>
  </si>
  <si>
    <t>EBITDA</t>
  </si>
  <si>
    <t>Finance</t>
  </si>
  <si>
    <t>EBTDA</t>
  </si>
  <si>
    <t>Expense</t>
  </si>
  <si>
    <t>PBT</t>
  </si>
  <si>
    <t>Net Profit</t>
  </si>
  <si>
    <t>Net Profit Margin</t>
  </si>
  <si>
    <t>MajorCost</t>
  </si>
  <si>
    <t>Share</t>
  </si>
  <si>
    <t>SHP</t>
  </si>
  <si>
    <t>POWER&amp;FUEL</t>
  </si>
  <si>
    <t>ANNUAL</t>
  </si>
  <si>
    <t>FY_2004</t>
  </si>
  <si>
    <t>FREIGHT</t>
  </si>
  <si>
    <t>PROMOTER</t>
  </si>
  <si>
    <t>MATERIAL</t>
  </si>
  <si>
    <t>Domestic Inst</t>
  </si>
  <si>
    <t>OTHER</t>
  </si>
  <si>
    <t>Foreign Inst</t>
  </si>
  <si>
    <t>D&amp;A</t>
  </si>
  <si>
    <t>Non Institution</t>
  </si>
  <si>
    <t>EMPLOYEE</t>
  </si>
  <si>
    <t>STOCKTRADE</t>
  </si>
  <si>
    <t>TOTAL.</t>
  </si>
  <si>
    <t>FINANCE</t>
  </si>
  <si>
    <t>INVENTORY</t>
  </si>
  <si>
    <t>TOTAL</t>
  </si>
  <si>
    <t>WWW.PROFITFROMIT.IN</t>
  </si>
  <si>
    <t>INDUSTRY</t>
  </si>
  <si>
    <t>Player-wise domestic capacity of the key players in the industry</t>
  </si>
  <si>
    <t>REGION</t>
  </si>
  <si>
    <t>CEMENT/CAPITA</t>
  </si>
  <si>
    <t>WORLD</t>
  </si>
  <si>
    <t>CHINA</t>
  </si>
  <si>
    <t>INDIA</t>
  </si>
  <si>
    <t>MARKETSHARE</t>
  </si>
  <si>
    <t>Security Name</t>
  </si>
  <si>
    <t>Market cap in Cr</t>
  </si>
  <si>
    <t>SALES_24</t>
  </si>
  <si>
    <t>PROFIT_24</t>
  </si>
  <si>
    <t>SALES_GR_5YR</t>
  </si>
  <si>
    <t>SALES_H1_FY25_GR_%</t>
  </si>
  <si>
    <t>PROFIT_H1_FY25_GR_%</t>
  </si>
  <si>
    <t>GRASIM</t>
  </si>
  <si>
    <t>AMBUJACEM</t>
  </si>
  <si>
    <t>SHREECEM</t>
  </si>
  <si>
    <t>ACC</t>
  </si>
  <si>
    <t>DALBHARAT</t>
  </si>
  <si>
    <t>JKCEMENT</t>
  </si>
  <si>
    <t>RAMCOCEM</t>
  </si>
  <si>
    <t>NUVOCO</t>
  </si>
  <si>
    <t>90% = 9</t>
  </si>
  <si>
    <t>BIRLACORPN</t>
  </si>
  <si>
    <t>OTHERS_20</t>
  </si>
  <si>
    <t>10% = 20</t>
  </si>
  <si>
    <t>JKLAKSHMI</t>
  </si>
  <si>
    <t>PRSMJOHNSN</t>
  </si>
  <si>
    <t>STARCEMENT</t>
  </si>
  <si>
    <t>ORIENTCEM</t>
  </si>
  <si>
    <t>KESORAMIND</t>
  </si>
  <si>
    <t>HEIDELBERG</t>
  </si>
  <si>
    <t>SAGCEM</t>
  </si>
  <si>
    <t>SANGHIIND</t>
  </si>
  <si>
    <t>EVERESTIND</t>
  </si>
  <si>
    <t>MANGLMCEM</t>
  </si>
  <si>
    <t>UDAICEMENT</t>
  </si>
  <si>
    <t>SHREDIGCEM</t>
  </si>
  <si>
    <t>MARGIN_24</t>
  </si>
  <si>
    <t>CUR. RATIO</t>
  </si>
  <si>
    <t>TRADE DAYS</t>
  </si>
  <si>
    <t>INDIACEM</t>
  </si>
  <si>
    <t>Security Code</t>
  </si>
  <si>
    <t>Market cap</t>
  </si>
  <si>
    <t>CUR ASSET</t>
  </si>
  <si>
    <t>CUR LIABILITY</t>
  </si>
  <si>
    <t>TOT. ASSET</t>
  </si>
  <si>
    <t>TOT. LIABILITY</t>
  </si>
  <si>
    <t>EQUITY</t>
  </si>
  <si>
    <t>TOT. EQUITY</t>
  </si>
  <si>
    <t>BORROWING</t>
  </si>
  <si>
    <t>TRADE REC.</t>
  </si>
  <si>
    <t>NPA in % (For banks only)</t>
  </si>
  <si>
    <t>TRAIL_EPS</t>
  </si>
  <si>
    <t>Companies weightage</t>
  </si>
  <si>
    <t>SALES_18</t>
  </si>
  <si>
    <t>SALES_23</t>
  </si>
  <si>
    <t>PROFIT_23</t>
  </si>
  <si>
    <t>EXPENSE</t>
  </si>
  <si>
    <t>MARGIN_23</t>
  </si>
  <si>
    <t>TR.DAYS</t>
  </si>
  <si>
    <t>YIELD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</si>
</sst>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rgb="FFFFFFFF"/>
      <name val="Calibri"/>
    </font>
    <font>
      <b/>
      <i/>
      <sz val="11"/>
      <color theme="1"/>
      <name val="Calibri"/>
    </font>
    <font>
      <sz val="11"/>
      <color rgb="FF000000"/>
      <name val="Calibri"/>
    </font>
    <font>
      <b/>
      <sz val="14"/>
      <color rgb="FFFFFFFF"/>
      <name val="Calibri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Arial"/>
    </font>
    <font>
      <sz val="26"/>
      <color theme="1"/>
      <name val="Calibri"/>
      <scheme val="minor"/>
    </font>
    <font>
      <i/>
      <sz val="11"/>
      <color theme="1"/>
      <name val="Calibri"/>
    </font>
    <font>
      <sz val="11"/>
      <color rgb="FF073763"/>
      <name val="Calibri"/>
      <scheme val="minor"/>
    </font>
    <font>
      <b/>
      <u/>
      <sz val="11"/>
      <color theme="1"/>
      <name val="Calibri"/>
      <scheme val="minor"/>
    </font>
    <font>
      <b/>
      <u/>
      <sz val="18"/>
      <color rgb="FFFFFFFF"/>
      <name val="Calibri"/>
    </font>
    <font>
      <sz val="11"/>
      <name val="Arial"/>
    </font>
    <font>
      <sz val="10"/>
      <color rgb="FFFFFFFF"/>
      <name val="Arial"/>
    </font>
    <font>
      <b/>
      <sz val="10"/>
      <color theme="1"/>
      <name val="Arial"/>
    </font>
    <font>
      <sz val="10"/>
      <color theme="1"/>
      <name val="Arial"/>
    </font>
  </fonts>
  <fills count="5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B7B7B7"/>
        <bgColor rgb="FFB7B7B7"/>
      </patternFill>
    </fill>
    <fill>
      <patternFill patternType="solid">
        <fgColor rgb="FF3D85C6"/>
        <bgColor rgb="FF3D85C6"/>
      </patternFill>
    </fill>
    <fill>
      <patternFill patternType="solid">
        <fgColor theme="0"/>
        <bgColor theme="0"/>
      </patternFill>
    </fill>
    <fill>
      <patternFill patternType="solid">
        <fgColor rgb="FFF9FDFB"/>
        <bgColor rgb="FFF9FDFB"/>
      </patternFill>
    </fill>
    <fill>
      <patternFill patternType="solid">
        <fgColor rgb="FFF6D1CD"/>
        <bgColor rgb="FFF6D1CD"/>
      </patternFill>
    </fill>
    <fill>
      <patternFill patternType="solid">
        <fgColor rgb="FFE67C73"/>
        <bgColor rgb="FFE67C73"/>
      </patternFill>
    </fill>
    <fill>
      <patternFill patternType="solid">
        <fgColor rgb="FFF9E2E1"/>
        <bgColor rgb="FFF9E2E1"/>
      </patternFill>
    </fill>
    <fill>
      <patternFill patternType="solid">
        <fgColor rgb="FFFCFEFD"/>
        <bgColor rgb="FFFCFEFD"/>
      </patternFill>
    </fill>
    <fill>
      <patternFill patternType="solid">
        <fgColor rgb="FFEEA9A4"/>
        <bgColor rgb="FFEEA9A4"/>
      </patternFill>
    </fill>
    <fill>
      <patternFill patternType="solid">
        <fgColor rgb="FFFCF2F1"/>
        <bgColor rgb="FFFCF2F1"/>
      </patternFill>
    </fill>
    <fill>
      <patternFill patternType="solid">
        <fgColor rgb="FFFEFAFA"/>
        <bgColor rgb="FFFEFAFA"/>
      </patternFill>
    </fill>
    <fill>
      <patternFill patternType="solid">
        <fgColor rgb="FFEA928B"/>
        <bgColor rgb="FFEA928B"/>
      </patternFill>
    </fill>
    <fill>
      <patternFill patternType="solid">
        <fgColor rgb="FFF8DFDD"/>
        <bgColor rgb="FFF8DFDD"/>
      </patternFill>
    </fill>
    <fill>
      <patternFill patternType="solid">
        <fgColor rgb="FFEB9A93"/>
        <bgColor rgb="FFEB9A93"/>
      </patternFill>
    </fill>
    <fill>
      <patternFill patternType="solid">
        <fgColor rgb="FFEAF7F1"/>
        <bgColor rgb="FFEAF7F1"/>
      </patternFill>
    </fill>
    <fill>
      <patternFill patternType="solid">
        <fgColor rgb="FFFEFFFE"/>
        <bgColor rgb="FFFEFFFE"/>
      </patternFill>
    </fill>
    <fill>
      <patternFill patternType="solid">
        <fgColor rgb="FFEA928A"/>
        <bgColor rgb="FFEA928A"/>
      </patternFill>
    </fill>
    <fill>
      <patternFill patternType="solid">
        <fgColor rgb="FFDAF0E6"/>
        <bgColor rgb="FFDAF0E6"/>
      </patternFill>
    </fill>
    <fill>
      <patternFill patternType="solid">
        <fgColor rgb="FFEDF8F2"/>
        <bgColor rgb="FFEDF8F2"/>
      </patternFill>
    </fill>
    <fill>
      <patternFill patternType="solid">
        <fgColor rgb="FFF3C3BE"/>
        <bgColor rgb="FFF3C3BE"/>
      </patternFill>
    </fill>
    <fill>
      <patternFill patternType="solid">
        <fgColor rgb="FFE2F4EB"/>
        <bgColor rgb="FFE2F4EB"/>
      </patternFill>
    </fill>
    <fill>
      <patternFill patternType="solid">
        <fgColor rgb="FFF4FBF7"/>
        <bgColor rgb="FFF4FBF7"/>
      </patternFill>
    </fill>
    <fill>
      <patternFill patternType="solid">
        <fgColor rgb="FFF6D2CF"/>
        <bgColor rgb="FFF6D2CF"/>
      </patternFill>
    </fill>
    <fill>
      <patternFill patternType="solid">
        <fgColor rgb="FFE4F4EC"/>
        <bgColor rgb="FFE4F4EC"/>
      </patternFill>
    </fill>
    <fill>
      <patternFill patternType="solid">
        <fgColor rgb="FFF4FBF8"/>
        <bgColor rgb="FFF4FBF8"/>
      </patternFill>
    </fill>
    <fill>
      <patternFill patternType="solid">
        <fgColor rgb="FFFAE8E6"/>
        <bgColor rgb="FFFAE8E6"/>
      </patternFill>
    </fill>
    <fill>
      <patternFill patternType="solid">
        <fgColor rgb="FFEBF7F1"/>
        <bgColor rgb="FFEBF7F1"/>
      </patternFill>
    </fill>
    <fill>
      <patternFill patternType="solid">
        <fgColor rgb="FFFDF6F6"/>
        <bgColor rgb="FFFDF6F6"/>
      </patternFill>
    </fill>
    <fill>
      <patternFill patternType="solid">
        <fgColor rgb="FFFDF9F8"/>
        <bgColor rgb="FFFDF9F8"/>
      </patternFill>
    </fill>
    <fill>
      <patternFill patternType="solid">
        <fgColor rgb="FFE4F4ED"/>
        <bgColor rgb="FFE4F4ED"/>
      </patternFill>
    </fill>
    <fill>
      <patternFill patternType="solid">
        <fgColor rgb="FFFCF0EF"/>
        <bgColor rgb="FFFCF0EF"/>
      </patternFill>
    </fill>
    <fill>
      <patternFill patternType="solid">
        <fgColor rgb="FF57BB8A"/>
        <bgColor rgb="FF57BB8A"/>
      </patternFill>
    </fill>
    <fill>
      <patternFill patternType="solid">
        <fgColor rgb="FF98D6B8"/>
        <bgColor rgb="FF98D6B8"/>
      </patternFill>
    </fill>
    <fill>
      <patternFill patternType="solid">
        <fgColor rgb="FFF6D1CE"/>
        <bgColor rgb="FFF6D1CE"/>
      </patternFill>
    </fill>
    <fill>
      <patternFill patternType="solid">
        <fgColor rgb="FFC4E7D6"/>
        <bgColor rgb="FFC4E7D6"/>
      </patternFill>
    </fill>
    <fill>
      <patternFill patternType="solid">
        <fgColor rgb="FFEFF9F4"/>
        <bgColor rgb="FFEFF9F4"/>
      </patternFill>
    </fill>
    <fill>
      <patternFill patternType="solid">
        <fgColor rgb="FFFCF4F3"/>
        <bgColor rgb="FFFCF4F3"/>
      </patternFill>
    </fill>
    <fill>
      <patternFill patternType="solid">
        <fgColor rgb="FFD3EEE1"/>
        <bgColor rgb="FFD3EEE1"/>
      </patternFill>
    </fill>
    <fill>
      <patternFill patternType="solid">
        <fgColor rgb="FFADDEC6"/>
        <bgColor rgb="FFADDEC6"/>
      </patternFill>
    </fill>
    <fill>
      <patternFill patternType="solid">
        <fgColor rgb="FFC6E8D7"/>
        <bgColor rgb="FFC6E8D7"/>
      </patternFill>
    </fill>
    <fill>
      <patternFill patternType="solid">
        <fgColor rgb="FFBEE5D2"/>
        <bgColor rgb="FFBEE5D2"/>
      </patternFill>
    </fill>
    <fill>
      <patternFill patternType="solid">
        <fgColor rgb="FFEDF8F3"/>
        <bgColor rgb="FFEDF8F3"/>
      </patternFill>
    </fill>
    <fill>
      <patternFill patternType="solid">
        <fgColor rgb="FF58BC8B"/>
        <bgColor rgb="FF58BC8B"/>
      </patternFill>
    </fill>
    <fill>
      <patternFill patternType="solid">
        <fgColor rgb="FFA5DBC1"/>
        <bgColor rgb="FFA5DBC1"/>
      </patternFill>
    </fill>
    <fill>
      <patternFill patternType="solid">
        <fgColor rgb="FFDFF3E9"/>
        <bgColor rgb="FFDFF3E9"/>
      </patternFill>
    </fill>
    <fill>
      <patternFill patternType="solid">
        <fgColor rgb="FF8BD0AE"/>
        <bgColor rgb="FF8BD0AE"/>
      </patternFill>
    </fill>
    <fill>
      <patternFill patternType="solid">
        <fgColor rgb="FF9BD7BA"/>
        <bgColor rgb="FF9BD7BA"/>
      </patternFill>
    </fill>
    <fill>
      <patternFill patternType="solid">
        <fgColor rgb="FFC3E7D5"/>
        <bgColor rgb="FFC3E7D5"/>
      </patternFill>
    </fill>
    <fill>
      <patternFill patternType="solid">
        <fgColor rgb="FF9FD8BC"/>
        <bgColor rgb="FF9FD8BC"/>
      </patternFill>
    </fill>
    <fill>
      <patternFill patternType="solid">
        <fgColor rgb="FFFAE6E5"/>
        <bgColor rgb="FFFAE6E5"/>
      </patternFill>
    </fill>
    <fill>
      <patternFill patternType="solid">
        <fgColor rgb="FFF7D8D5"/>
        <bgColor rgb="FFF7D8D5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1" xfId="0" applyFont="1" applyBorder="1"/>
    <xf numFmtId="0" fontId="2" fillId="2" borderId="2" xfId="0" applyFont="1" applyFill="1" applyBorder="1"/>
    <xf numFmtId="0" fontId="3" fillId="3" borderId="3" xfId="0" applyFont="1" applyFill="1" applyBorder="1"/>
    <xf numFmtId="0" fontId="2" fillId="0" borderId="3" xfId="0" applyFont="1" applyBorder="1"/>
    <xf numFmtId="1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2" fillId="0" borderId="0" xfId="0" applyFont="1"/>
    <xf numFmtId="1" fontId="2" fillId="0" borderId="3" xfId="0" applyNumberFormat="1" applyFont="1" applyBorder="1"/>
    <xf numFmtId="0" fontId="2" fillId="2" borderId="3" xfId="0" applyFont="1" applyFill="1" applyBorder="1"/>
    <xf numFmtId="0" fontId="4" fillId="4" borderId="3" xfId="0" applyFont="1" applyFill="1" applyBorder="1"/>
    <xf numFmtId="9" fontId="4" fillId="4" borderId="3" xfId="0" applyNumberFormat="1" applyFont="1" applyFill="1" applyBorder="1"/>
    <xf numFmtId="10" fontId="4" fillId="4" borderId="3" xfId="0" applyNumberFormat="1" applyFont="1" applyFill="1" applyBorder="1"/>
    <xf numFmtId="164" fontId="4" fillId="4" borderId="3" xfId="0" applyNumberFormat="1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2" borderId="5" xfId="0" applyFont="1" applyFill="1" applyBorder="1"/>
    <xf numFmtId="0" fontId="1" fillId="0" borderId="0" xfId="0" applyFont="1"/>
    <xf numFmtId="0" fontId="3" fillId="3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0" fontId="3" fillId="3" borderId="4" xfId="0" applyFont="1" applyFill="1" applyBorder="1"/>
    <xf numFmtId="9" fontId="4" fillId="4" borderId="5" xfId="0" applyNumberFormat="1" applyFont="1" applyFill="1" applyBorder="1" applyAlignment="1">
      <alignment horizontal="right"/>
    </xf>
    <xf numFmtId="164" fontId="4" fillId="4" borderId="5" xfId="0" applyNumberFormat="1" applyFont="1" applyFill="1" applyBorder="1" applyAlignment="1">
      <alignment horizontal="right"/>
    </xf>
    <xf numFmtId="165" fontId="4" fillId="4" borderId="5" xfId="0" applyNumberFormat="1" applyFont="1" applyFill="1" applyBorder="1" applyAlignment="1">
      <alignment horizontal="right"/>
    </xf>
    <xf numFmtId="3" fontId="4" fillId="4" borderId="5" xfId="0" applyNumberFormat="1" applyFont="1" applyFill="1" applyBorder="1" applyAlignment="1">
      <alignment horizontal="right"/>
    </xf>
    <xf numFmtId="1" fontId="4" fillId="4" borderId="5" xfId="0" applyNumberFormat="1" applyFont="1" applyFill="1" applyBorder="1" applyAlignment="1">
      <alignment horizontal="right"/>
    </xf>
    <xf numFmtId="9" fontId="2" fillId="0" borderId="0" xfId="0" applyNumberFormat="1" applyFont="1"/>
    <xf numFmtId="0" fontId="6" fillId="3" borderId="4" xfId="0" applyFont="1" applyFill="1" applyBorder="1"/>
    <xf numFmtId="165" fontId="2" fillId="0" borderId="4" xfId="0" applyNumberFormat="1" applyFont="1" applyBorder="1"/>
    <xf numFmtId="2" fontId="2" fillId="0" borderId="4" xfId="0" applyNumberFormat="1" applyFont="1" applyBorder="1"/>
    <xf numFmtId="0" fontId="3" fillId="3" borderId="6" xfId="0" applyFont="1" applyFill="1" applyBorder="1"/>
    <xf numFmtId="0" fontId="3" fillId="3" borderId="5" xfId="0" applyFont="1" applyFill="1" applyBorder="1"/>
    <xf numFmtId="0" fontId="3" fillId="5" borderId="6" xfId="0" applyFont="1" applyFill="1" applyBorder="1" applyAlignment="1">
      <alignment horizontal="left"/>
    </xf>
    <xf numFmtId="1" fontId="1" fillId="0" borderId="0" xfId="0" applyNumberFormat="1" applyFont="1"/>
    <xf numFmtId="3" fontId="7" fillId="6" borderId="3" xfId="0" applyNumberFormat="1" applyFont="1" applyFill="1" applyBorder="1" applyAlignment="1">
      <alignment horizontal="right"/>
    </xf>
    <xf numFmtId="1" fontId="7" fillId="6" borderId="3" xfId="0" applyNumberFormat="1" applyFont="1" applyFill="1" applyBorder="1" applyAlignment="1">
      <alignment horizontal="right"/>
    </xf>
    <xf numFmtId="164" fontId="2" fillId="7" borderId="0" xfId="0" applyNumberFormat="1" applyFont="1" applyFill="1" applyAlignment="1">
      <alignment horizontal="right"/>
    </xf>
    <xf numFmtId="1" fontId="0" fillId="6" borderId="3" xfId="0" applyNumberFormat="1" applyFill="1" applyBorder="1" applyAlignment="1">
      <alignment horizontal="right"/>
    </xf>
    <xf numFmtId="1" fontId="2" fillId="8" borderId="3" xfId="0" applyNumberFormat="1" applyFont="1" applyFill="1" applyBorder="1" applyAlignment="1">
      <alignment horizontal="right"/>
    </xf>
    <xf numFmtId="1" fontId="2" fillId="9" borderId="3" xfId="0" applyNumberFormat="1" applyFont="1" applyFill="1" applyBorder="1" applyAlignment="1">
      <alignment horizontal="right"/>
    </xf>
    <xf numFmtId="1" fontId="0" fillId="6" borderId="3" xfId="0" applyNumberFormat="1" applyFill="1" applyBorder="1" applyAlignment="1">
      <alignment horizontal="right" vertical="center"/>
    </xf>
    <xf numFmtId="165" fontId="0" fillId="6" borderId="3" xfId="0" applyNumberFormat="1" applyFill="1" applyBorder="1" applyAlignment="1">
      <alignment horizontal="right" vertical="center"/>
    </xf>
    <xf numFmtId="164" fontId="2" fillId="10" borderId="0" xfId="0" applyNumberFormat="1" applyFont="1" applyFill="1" applyAlignment="1">
      <alignment horizontal="right"/>
    </xf>
    <xf numFmtId="1" fontId="2" fillId="11" borderId="3" xfId="0" applyNumberFormat="1" applyFont="1" applyFill="1" applyBorder="1" applyAlignment="1">
      <alignment horizontal="right"/>
    </xf>
    <xf numFmtId="1" fontId="2" fillId="12" borderId="3" xfId="0" applyNumberFormat="1" applyFont="1" applyFill="1" applyBorder="1" applyAlignment="1">
      <alignment horizontal="right"/>
    </xf>
    <xf numFmtId="9" fontId="0" fillId="6" borderId="3" xfId="0" applyNumberFormat="1" applyFill="1" applyBorder="1" applyAlignment="1">
      <alignment horizontal="right" vertical="center"/>
    </xf>
    <xf numFmtId="164" fontId="2" fillId="13" borderId="0" xfId="0" applyNumberFormat="1" applyFont="1" applyFill="1" applyAlignment="1">
      <alignment horizontal="right"/>
    </xf>
    <xf numFmtId="1" fontId="8" fillId="6" borderId="3" xfId="0" applyNumberFormat="1" applyFont="1" applyFill="1" applyBorder="1" applyAlignment="1">
      <alignment horizontal="right"/>
    </xf>
    <xf numFmtId="1" fontId="2" fillId="14" borderId="3" xfId="0" applyNumberFormat="1" applyFont="1" applyFill="1" applyBorder="1" applyAlignment="1">
      <alignment horizontal="right"/>
    </xf>
    <xf numFmtId="1" fontId="2" fillId="15" borderId="3" xfId="0" applyNumberFormat="1" applyFont="1" applyFill="1" applyBorder="1" applyAlignment="1">
      <alignment horizontal="right"/>
    </xf>
    <xf numFmtId="1" fontId="0" fillId="6" borderId="0" xfId="0" applyNumberForma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" fontId="2" fillId="16" borderId="3" xfId="0" applyNumberFormat="1" applyFont="1" applyFill="1" applyBorder="1" applyAlignment="1">
      <alignment horizontal="right"/>
    </xf>
    <xf numFmtId="1" fontId="2" fillId="17" borderId="3" xfId="0" applyNumberFormat="1" applyFont="1" applyFill="1" applyBorder="1" applyAlignment="1">
      <alignment horizontal="right"/>
    </xf>
    <xf numFmtId="164" fontId="2" fillId="18" borderId="0" xfId="0" applyNumberFormat="1" applyFont="1" applyFill="1" applyAlignment="1">
      <alignment horizontal="right"/>
    </xf>
    <xf numFmtId="1" fontId="2" fillId="19" borderId="3" xfId="0" applyNumberFormat="1" applyFont="1" applyFill="1" applyBorder="1" applyAlignment="1">
      <alignment horizontal="right"/>
    </xf>
    <xf numFmtId="1" fontId="2" fillId="20" borderId="3" xfId="0" applyNumberFormat="1" applyFont="1" applyFill="1" applyBorder="1" applyAlignment="1">
      <alignment horizontal="right"/>
    </xf>
    <xf numFmtId="164" fontId="2" fillId="21" borderId="0" xfId="0" applyNumberFormat="1" applyFont="1" applyFill="1" applyAlignment="1">
      <alignment horizontal="right"/>
    </xf>
    <xf numFmtId="1" fontId="2" fillId="22" borderId="3" xfId="0" applyNumberFormat="1" applyFont="1" applyFill="1" applyBorder="1" applyAlignment="1">
      <alignment horizontal="right"/>
    </xf>
    <xf numFmtId="1" fontId="2" fillId="23" borderId="3" xfId="0" applyNumberFormat="1" applyFont="1" applyFill="1" applyBorder="1" applyAlignment="1">
      <alignment horizontal="right"/>
    </xf>
    <xf numFmtId="164" fontId="2" fillId="24" borderId="0" xfId="0" applyNumberFormat="1" applyFont="1" applyFill="1" applyAlignment="1">
      <alignment horizontal="right"/>
    </xf>
    <xf numFmtId="1" fontId="2" fillId="25" borderId="3" xfId="0" applyNumberFormat="1" applyFont="1" applyFill="1" applyBorder="1" applyAlignment="1">
      <alignment horizontal="right"/>
    </xf>
    <xf numFmtId="1" fontId="2" fillId="26" borderId="3" xfId="0" applyNumberFormat="1" applyFont="1" applyFill="1" applyBorder="1" applyAlignment="1">
      <alignment horizontal="right"/>
    </xf>
    <xf numFmtId="164" fontId="2" fillId="27" borderId="0" xfId="0" applyNumberFormat="1" applyFont="1" applyFill="1" applyAlignment="1">
      <alignment horizontal="right"/>
    </xf>
    <xf numFmtId="1" fontId="2" fillId="28" borderId="3" xfId="0" applyNumberFormat="1" applyFont="1" applyFill="1" applyBorder="1" applyAlignment="1">
      <alignment horizontal="right"/>
    </xf>
    <xf numFmtId="1" fontId="2" fillId="29" borderId="3" xfId="0" applyNumberFormat="1" applyFont="1" applyFill="1" applyBorder="1" applyAlignment="1">
      <alignment horizontal="right"/>
    </xf>
    <xf numFmtId="1" fontId="2" fillId="30" borderId="3" xfId="0" applyNumberFormat="1" applyFont="1" applyFill="1" applyBorder="1" applyAlignment="1">
      <alignment horizontal="right"/>
    </xf>
    <xf numFmtId="1" fontId="2" fillId="31" borderId="3" xfId="0" applyNumberFormat="1" applyFont="1" applyFill="1" applyBorder="1" applyAlignment="1">
      <alignment horizontal="right"/>
    </xf>
    <xf numFmtId="164" fontId="2" fillId="32" borderId="0" xfId="0" applyNumberFormat="1" applyFont="1" applyFill="1" applyAlignment="1">
      <alignment horizontal="right"/>
    </xf>
    <xf numFmtId="1" fontId="2" fillId="33" borderId="3" xfId="0" applyNumberFormat="1" applyFont="1" applyFill="1" applyBorder="1" applyAlignment="1">
      <alignment horizontal="right"/>
    </xf>
    <xf numFmtId="1" fontId="2" fillId="34" borderId="3" xfId="0" applyNumberFormat="1" applyFont="1" applyFill="1" applyBorder="1" applyAlignment="1">
      <alignment horizontal="right"/>
    </xf>
    <xf numFmtId="164" fontId="2" fillId="9" borderId="0" xfId="0" applyNumberFormat="1" applyFont="1" applyFill="1" applyAlignment="1">
      <alignment horizontal="right"/>
    </xf>
    <xf numFmtId="1" fontId="2" fillId="35" borderId="3" xfId="0" applyNumberFormat="1" applyFont="1" applyFill="1" applyBorder="1" applyAlignment="1">
      <alignment horizontal="right"/>
    </xf>
    <xf numFmtId="1" fontId="2" fillId="36" borderId="3" xfId="0" applyNumberFormat="1" applyFont="1" applyFill="1" applyBorder="1" applyAlignment="1">
      <alignment horizontal="right"/>
    </xf>
    <xf numFmtId="2" fontId="1" fillId="0" borderId="0" xfId="0" applyNumberFormat="1" applyFont="1"/>
    <xf numFmtId="164" fontId="2" fillId="37" borderId="0" xfId="0" applyNumberFormat="1" applyFont="1" applyFill="1" applyAlignment="1">
      <alignment horizontal="right"/>
    </xf>
    <xf numFmtId="1" fontId="2" fillId="38" borderId="3" xfId="0" applyNumberFormat="1" applyFont="1" applyFill="1" applyBorder="1" applyAlignment="1">
      <alignment horizontal="right"/>
    </xf>
    <xf numFmtId="1" fontId="2" fillId="39" borderId="3" xfId="0" applyNumberFormat="1" applyFont="1" applyFill="1" applyBorder="1" applyAlignment="1">
      <alignment horizontal="right"/>
    </xf>
    <xf numFmtId="164" fontId="2" fillId="40" borderId="0" xfId="0" applyNumberFormat="1" applyFont="1" applyFill="1" applyAlignment="1">
      <alignment horizontal="right"/>
    </xf>
    <xf numFmtId="1" fontId="2" fillId="41" borderId="3" xfId="0" applyNumberFormat="1" applyFont="1" applyFill="1" applyBorder="1" applyAlignment="1">
      <alignment horizontal="right"/>
    </xf>
    <xf numFmtId="164" fontId="2" fillId="42" borderId="0" xfId="0" applyNumberFormat="1" applyFont="1" applyFill="1" applyAlignment="1">
      <alignment horizontal="right"/>
    </xf>
    <xf numFmtId="1" fontId="2" fillId="43" borderId="3" xfId="0" applyNumberFormat="1" applyFont="1" applyFill="1" applyBorder="1" applyAlignment="1">
      <alignment horizontal="right"/>
    </xf>
    <xf numFmtId="164" fontId="2" fillId="35" borderId="4" xfId="0" applyNumberFormat="1" applyFont="1" applyFill="1" applyBorder="1" applyAlignment="1">
      <alignment horizontal="right"/>
    </xf>
    <xf numFmtId="1" fontId="2" fillId="44" borderId="3" xfId="0" applyNumberFormat="1" applyFont="1" applyFill="1" applyBorder="1" applyAlignment="1">
      <alignment horizontal="right"/>
    </xf>
    <xf numFmtId="1" fontId="2" fillId="45" borderId="3" xfId="0" applyNumberFormat="1" applyFont="1" applyFill="1" applyBorder="1" applyAlignment="1">
      <alignment horizontal="right"/>
    </xf>
    <xf numFmtId="0" fontId="7" fillId="6" borderId="3" xfId="0" applyFont="1" applyFill="1" applyBorder="1" applyAlignment="1">
      <alignment horizontal="right" vertical="center"/>
    </xf>
    <xf numFmtId="0" fontId="7" fillId="6" borderId="3" xfId="0" applyFont="1" applyFill="1" applyBorder="1" applyAlignment="1">
      <alignment horizontal="right"/>
    </xf>
    <xf numFmtId="164" fontId="2" fillId="46" borderId="4" xfId="0" applyNumberFormat="1" applyFont="1" applyFill="1" applyBorder="1" applyAlignment="1">
      <alignment horizontal="right"/>
    </xf>
    <xf numFmtId="1" fontId="7" fillId="6" borderId="3" xfId="0" applyNumberFormat="1" applyFont="1" applyFill="1" applyBorder="1" applyAlignment="1">
      <alignment horizontal="right" vertical="center"/>
    </xf>
    <xf numFmtId="1" fontId="2" fillId="47" borderId="3" xfId="0" applyNumberFormat="1" applyFont="1" applyFill="1" applyBorder="1" applyAlignment="1">
      <alignment horizontal="right"/>
    </xf>
    <xf numFmtId="1" fontId="2" fillId="48" borderId="3" xfId="0" applyNumberFormat="1" applyFont="1" applyFill="1" applyBorder="1" applyAlignment="1">
      <alignment horizontal="right"/>
    </xf>
    <xf numFmtId="164" fontId="2" fillId="49" borderId="4" xfId="0" applyNumberFormat="1" applyFont="1" applyFill="1" applyBorder="1" applyAlignment="1">
      <alignment horizontal="right"/>
    </xf>
    <xf numFmtId="1" fontId="2" fillId="50" borderId="3" xfId="0" applyNumberFormat="1" applyFont="1" applyFill="1" applyBorder="1" applyAlignment="1">
      <alignment horizontal="right"/>
    </xf>
    <xf numFmtId="1" fontId="2" fillId="51" borderId="3" xfId="0" applyNumberFormat="1" applyFont="1" applyFill="1" applyBorder="1" applyAlignment="1">
      <alignment horizontal="right"/>
    </xf>
    <xf numFmtId="164" fontId="2" fillId="49" borderId="3" xfId="0" applyNumberFormat="1" applyFont="1" applyFill="1" applyBorder="1" applyAlignment="1">
      <alignment horizontal="right"/>
    </xf>
    <xf numFmtId="1" fontId="1" fillId="0" borderId="3" xfId="0" applyNumberFormat="1" applyFont="1" applyBorder="1"/>
    <xf numFmtId="0" fontId="6" fillId="3" borderId="3" xfId="0" applyFont="1" applyFill="1" applyBorder="1"/>
    <xf numFmtId="0" fontId="3" fillId="5" borderId="3" xfId="0" applyFont="1" applyFill="1" applyBorder="1"/>
    <xf numFmtId="9" fontId="1" fillId="0" borderId="3" xfId="0" applyNumberFormat="1" applyFont="1" applyBorder="1"/>
    <xf numFmtId="164" fontId="4" fillId="52" borderId="3" xfId="0" applyNumberFormat="1" applyFont="1" applyFill="1" applyBorder="1" applyAlignment="1">
      <alignment horizontal="right"/>
    </xf>
    <xf numFmtId="3" fontId="4" fillId="52" borderId="3" xfId="0" applyNumberFormat="1" applyFont="1" applyFill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9" fontId="4" fillId="52" borderId="3" xfId="0" applyNumberFormat="1" applyFont="1" applyFill="1" applyBorder="1" applyAlignment="1">
      <alignment horizontal="right"/>
    </xf>
    <xf numFmtId="164" fontId="4" fillId="53" borderId="3" xfId="0" applyNumberFormat="1" applyFont="1" applyFill="1" applyBorder="1" applyAlignment="1">
      <alignment horizontal="right"/>
    </xf>
    <xf numFmtId="3" fontId="4" fillId="53" borderId="3" xfId="0" applyNumberFormat="1" applyFont="1" applyFill="1" applyBorder="1" applyAlignment="1">
      <alignment horizontal="right"/>
    </xf>
    <xf numFmtId="9" fontId="4" fillId="53" borderId="3" xfId="0" applyNumberFormat="1" applyFont="1" applyFill="1" applyBorder="1" applyAlignment="1">
      <alignment horizontal="right"/>
    </xf>
    <xf numFmtId="9" fontId="1" fillId="0" borderId="0" xfId="0" applyNumberFormat="1" applyFont="1"/>
    <xf numFmtId="0" fontId="9" fillId="0" borderId="0" xfId="0" applyFont="1"/>
    <xf numFmtId="164" fontId="4" fillId="9" borderId="3" xfId="0" applyNumberFormat="1" applyFont="1" applyFill="1" applyBorder="1" applyAlignment="1">
      <alignment horizontal="right"/>
    </xf>
    <xf numFmtId="3" fontId="4" fillId="9" borderId="3" xfId="0" applyNumberFormat="1" applyFont="1" applyFill="1" applyBorder="1" applyAlignment="1">
      <alignment horizontal="right"/>
    </xf>
    <xf numFmtId="9" fontId="4" fillId="9" borderId="3" xfId="0" applyNumberFormat="1" applyFont="1" applyFill="1" applyBorder="1" applyAlignment="1">
      <alignment horizontal="right"/>
    </xf>
    <xf numFmtId="164" fontId="4" fillId="54" borderId="3" xfId="0" applyNumberFormat="1" applyFont="1" applyFill="1" applyBorder="1" applyAlignment="1">
      <alignment horizontal="right"/>
    </xf>
    <xf numFmtId="3" fontId="4" fillId="54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9" fontId="4" fillId="0" borderId="3" xfId="0" applyNumberFormat="1" applyFont="1" applyBorder="1" applyAlignment="1">
      <alignment horizontal="right"/>
    </xf>
    <xf numFmtId="0" fontId="6" fillId="3" borderId="7" xfId="0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6" fillId="3" borderId="9" xfId="0" applyFont="1" applyFill="1" applyBorder="1"/>
    <xf numFmtId="0" fontId="6" fillId="3" borderId="5" xfId="0" applyFont="1" applyFill="1" applyBorder="1"/>
    <xf numFmtId="0" fontId="6" fillId="3" borderId="3" xfId="0" applyFont="1" applyFill="1" applyBorder="1" applyAlignment="1">
      <alignment horizontal="center"/>
    </xf>
    <xf numFmtId="0" fontId="3" fillId="5" borderId="6" xfId="0" applyFont="1" applyFill="1" applyBorder="1"/>
    <xf numFmtId="9" fontId="4" fillId="4" borderId="3" xfId="0" applyNumberFormat="1" applyFont="1" applyFill="1" applyBorder="1" applyAlignment="1">
      <alignment horizontal="right"/>
    </xf>
    <xf numFmtId="164" fontId="4" fillId="4" borderId="3" xfId="0" applyNumberFormat="1" applyFont="1" applyFill="1" applyBorder="1" applyAlignment="1">
      <alignment horizontal="right"/>
    </xf>
    <xf numFmtId="9" fontId="10" fillId="0" borderId="9" xfId="0" applyNumberFormat="1" applyFont="1" applyBorder="1"/>
    <xf numFmtId="9" fontId="10" fillId="0" borderId="5" xfId="0" applyNumberFormat="1" applyFont="1" applyBorder="1" applyAlignment="1">
      <alignment horizontal="right"/>
    </xf>
    <xf numFmtId="164" fontId="1" fillId="0" borderId="0" xfId="0" applyNumberFormat="1" applyFont="1"/>
    <xf numFmtId="1" fontId="2" fillId="0" borderId="3" xfId="0" applyNumberFormat="1" applyFont="1" applyBorder="1" applyAlignment="1">
      <alignment horizontal="center"/>
    </xf>
    <xf numFmtId="1" fontId="11" fillId="4" borderId="0" xfId="0" applyNumberFormat="1" applyFont="1" applyFill="1" applyAlignment="1">
      <alignment horizontal="center" vertical="center"/>
    </xf>
    <xf numFmtId="10" fontId="1" fillId="0" borderId="0" xfId="0" applyNumberFormat="1" applyFont="1"/>
    <xf numFmtId="0" fontId="0" fillId="0" borderId="0" xfId="0"/>
    <xf numFmtId="164" fontId="2" fillId="0" borderId="4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3" fillId="5" borderId="9" xfId="0" applyFont="1" applyFill="1" applyBorder="1" applyAlignment="1">
      <alignment horizontal="left"/>
    </xf>
    <xf numFmtId="3" fontId="2" fillId="4" borderId="5" xfId="0" applyNumberFormat="1" applyFont="1" applyFill="1" applyBorder="1" applyAlignment="1">
      <alignment horizontal="right"/>
    </xf>
    <xf numFmtId="164" fontId="2" fillId="4" borderId="5" xfId="0" applyNumberFormat="1" applyFont="1" applyFill="1" applyBorder="1" applyAlignment="1">
      <alignment horizontal="right"/>
    </xf>
    <xf numFmtId="1" fontId="2" fillId="4" borderId="5" xfId="0" applyNumberFormat="1" applyFont="1" applyFill="1" applyBorder="1" applyAlignment="1">
      <alignment horizontal="right"/>
    </xf>
    <xf numFmtId="0" fontId="6" fillId="3" borderId="8" xfId="0" applyFont="1" applyFill="1" applyBorder="1"/>
    <xf numFmtId="0" fontId="10" fillId="0" borderId="9" xfId="0" applyFont="1" applyBorder="1"/>
    <xf numFmtId="2" fontId="2" fillId="0" borderId="5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0" fontId="1" fillId="0" borderId="3" xfId="0" applyNumberFormat="1" applyFont="1" applyBorder="1"/>
    <xf numFmtId="0" fontId="2" fillId="0" borderId="9" xfId="0" applyFont="1" applyBorder="1"/>
    <xf numFmtId="0" fontId="2" fillId="0" borderId="5" xfId="0" applyFont="1" applyBorder="1" applyAlignment="1">
      <alignment horizontal="right"/>
    </xf>
    <xf numFmtId="3" fontId="1" fillId="0" borderId="3" xfId="0" applyNumberFormat="1" applyFont="1" applyBorder="1"/>
    <xf numFmtId="3" fontId="2" fillId="0" borderId="5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6" fontId="1" fillId="0" borderId="3" xfId="0" applyNumberFormat="1" applyFont="1" applyBorder="1"/>
    <xf numFmtId="0" fontId="0" fillId="6" borderId="3" xfId="0" applyFill="1" applyBorder="1"/>
    <xf numFmtId="9" fontId="0" fillId="6" borderId="3" xfId="0" applyNumberFormat="1" applyFill="1" applyBorder="1"/>
    <xf numFmtId="0" fontId="3" fillId="3" borderId="3" xfId="0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9" fontId="12" fillId="0" borderId="3" xfId="0" applyNumberFormat="1" applyFont="1" applyBorder="1" applyAlignment="1">
      <alignment horizontal="right"/>
    </xf>
    <xf numFmtId="0" fontId="13" fillId="6" borderId="3" xfId="0" applyFont="1" applyFill="1" applyBorder="1"/>
    <xf numFmtId="0" fontId="13" fillId="6" borderId="3" xfId="0" applyFont="1" applyFill="1" applyBorder="1" applyAlignment="1">
      <alignment horizontal="right" vertical="center"/>
    </xf>
    <xf numFmtId="165" fontId="1" fillId="0" borderId="3" xfId="0" applyNumberFormat="1" applyFont="1" applyBorder="1"/>
    <xf numFmtId="165" fontId="1" fillId="0" borderId="0" xfId="0" applyNumberFormat="1" applyFont="1"/>
    <xf numFmtId="3" fontId="13" fillId="6" borderId="3" xfId="0" applyNumberFormat="1" applyFont="1" applyFill="1" applyBorder="1"/>
    <xf numFmtId="0" fontId="1" fillId="0" borderId="10" xfId="0" applyFont="1" applyBorder="1"/>
    <xf numFmtId="165" fontId="1" fillId="0" borderId="10" xfId="0" applyNumberFormat="1" applyFont="1" applyBorder="1"/>
    <xf numFmtId="9" fontId="12" fillId="0" borderId="2" xfId="0" applyNumberFormat="1" applyFont="1" applyBorder="1" applyAlignment="1">
      <alignment horizontal="right"/>
    </xf>
    <xf numFmtId="0" fontId="0" fillId="6" borderId="0" xfId="0" applyFill="1"/>
    <xf numFmtId="0" fontId="14" fillId="6" borderId="10" xfId="0" applyFont="1" applyFill="1" applyBorder="1"/>
    <xf numFmtId="1" fontId="14" fillId="6" borderId="10" xfId="0" applyNumberFormat="1" applyFont="1" applyFill="1" applyBorder="1"/>
    <xf numFmtId="9" fontId="14" fillId="6" borderId="3" xfId="0" applyNumberFormat="1" applyFont="1" applyFill="1" applyBorder="1"/>
    <xf numFmtId="9" fontId="14" fillId="6" borderId="10" xfId="0" applyNumberFormat="1" applyFont="1" applyFill="1" applyBorder="1"/>
    <xf numFmtId="0" fontId="15" fillId="3" borderId="0" xfId="0" applyFont="1" applyFill="1" applyAlignment="1">
      <alignment horizontal="center" vertical="center"/>
    </xf>
    <xf numFmtId="0" fontId="16" fillId="0" borderId="4" xfId="0" applyFont="1" applyBorder="1"/>
    <xf numFmtId="0" fontId="17" fillId="3" borderId="0" xfId="0" applyFont="1" applyFill="1"/>
    <xf numFmtId="0" fontId="18" fillId="0" borderId="0" xfId="0" applyFont="1"/>
    <xf numFmtId="0" fontId="17" fillId="3" borderId="3" xfId="0" applyFont="1" applyFill="1" applyBorder="1"/>
    <xf numFmtId="0" fontId="19" fillId="0" borderId="3" xfId="0" applyFont="1" applyBorder="1"/>
    <xf numFmtId="0" fontId="19" fillId="0" borderId="5" xfId="0" applyFont="1" applyBorder="1" applyAlignment="1">
      <alignment horizontal="right"/>
    </xf>
    <xf numFmtId="10" fontId="19" fillId="0" borderId="3" xfId="0" applyNumberFormat="1" applyFont="1" applyBorder="1"/>
    <xf numFmtId="164" fontId="19" fillId="0" borderId="3" xfId="0" applyNumberFormat="1" applyFont="1" applyBorder="1"/>
    <xf numFmtId="0" fontId="19" fillId="0" borderId="0" xfId="0" applyFont="1"/>
    <xf numFmtId="1" fontId="19" fillId="0" borderId="5" xfId="0" applyNumberFormat="1" applyFont="1" applyBorder="1" applyAlignment="1">
      <alignment horizontal="right"/>
    </xf>
    <xf numFmtId="0" fontId="19" fillId="0" borderId="9" xfId="0" applyFont="1" applyBorder="1"/>
    <xf numFmtId="0" fontId="19" fillId="0" borderId="5" xfId="0" applyFont="1" applyBorder="1"/>
    <xf numFmtId="1" fontId="17" fillId="3" borderId="3" xfId="0" applyNumberFormat="1" applyFont="1" applyFill="1" applyBorder="1"/>
    <xf numFmtId="2" fontId="19" fillId="0" borderId="3" xfId="0" applyNumberFormat="1" applyFont="1" applyBorder="1"/>
    <xf numFmtId="10" fontId="17" fillId="3" borderId="3" xfId="0" applyNumberFormat="1" applyFont="1" applyFill="1" applyBorder="1"/>
    <xf numFmtId="1" fontId="19" fillId="0" borderId="0" xfId="0" applyNumberFormat="1" applyFont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1" fontId="19" fillId="0" borderId="3" xfId="0" applyNumberFormat="1" applyFont="1" applyBorder="1"/>
    <xf numFmtId="1" fontId="19" fillId="0" borderId="3" xfId="0" applyNumberFormat="1" applyFont="1" applyBorder="1" applyAlignment="1">
      <alignment horizontal="right"/>
    </xf>
    <xf numFmtId="10" fontId="19" fillId="0" borderId="3" xfId="0" applyNumberFormat="1" applyFont="1" applyBorder="1" applyAlignment="1">
      <alignment horizontal="right"/>
    </xf>
    <xf numFmtId="4" fontId="19" fillId="0" borderId="3" xfId="0" applyNumberFormat="1" applyFont="1" applyBorder="1"/>
    <xf numFmtId="3" fontId="19" fillId="0" borderId="3" xfId="0" applyNumberFormat="1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CEMENT/CAPITA vs REGION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CEMENT/CAPITA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Products'!$B$6:$B$8</c:f>
              <c:strCache>
                <c:ptCount val="3"/>
                <c:pt idx="0">
                  <c:v>WORLD</c:v>
                </c:pt>
                <c:pt idx="1">
                  <c:v>CHINA</c:v>
                </c:pt>
                <c:pt idx="2">
                  <c:v>INDIA</c:v>
                </c:pt>
              </c:strCache>
            </c:strRef>
          </c:cat>
          <c:val>
            <c:numRef>
              <c:f>'Cement &amp; cement Products'!$C$6:$C$8</c:f>
              <c:numCache>
                <c:formatCode>General</c:formatCode>
                <c:ptCount val="3"/>
                <c:pt idx="0">
                  <c:v>525</c:v>
                </c:pt>
                <c:pt idx="1">
                  <c:v>1700</c:v>
                </c:pt>
                <c:pt idx="2">
                  <c:v>225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BEA-4D26-A658-F8C9E0400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857094"/>
        <c:axId val="479560893"/>
      </c:barChart>
      <c:catAx>
        <c:axId val="7518570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REGION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9560893"/>
        <c:crosses val="autoZero"/>
        <c:auto val="1"/>
        <c:lblAlgn val="ctr"/>
        <c:lblOffset val="100"/>
        <c:noMultiLvlLbl val="1"/>
      </c:catAx>
      <c:valAx>
        <c:axId val="4795608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CEMENT/CAPITA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5185709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'Cement &amp; cement Products'!$C$27</c:f>
              <c:strCache>
                <c:ptCount val="1"/>
                <c:pt idx="0">
                  <c:v>Market cap in Cr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FDF-4346-AD67-8EF5B47DCC61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FDF-4346-AD67-8EF5B47DCC61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FDF-4346-AD67-8EF5B47DCC61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FDF-4346-AD67-8EF5B47DCC61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FDF-4346-AD67-8EF5B47DCC61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FDF-4346-AD67-8EF5B47DCC61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FDF-4346-AD67-8EF5B47DCC61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FDF-4346-AD67-8EF5B47DCC61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7FDF-4346-AD67-8EF5B47DCC61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7FDF-4346-AD67-8EF5B47DCC6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'Cement &amp; cement Products'!$B$28:$B$37</c:f>
              <c:strCache>
                <c:ptCount val="10"/>
                <c:pt idx="0">
                  <c:v>ULTRACEMCO</c:v>
                </c:pt>
                <c:pt idx="1">
                  <c:v>GRASIM</c:v>
                </c:pt>
                <c:pt idx="2">
                  <c:v>AMBUJACEM</c:v>
                </c:pt>
                <c:pt idx="3">
                  <c:v>SHREECEM</c:v>
                </c:pt>
                <c:pt idx="4">
                  <c:v>ACC</c:v>
                </c:pt>
                <c:pt idx="5">
                  <c:v>DALBHARAT</c:v>
                </c:pt>
                <c:pt idx="6">
                  <c:v>JKCEMENT</c:v>
                </c:pt>
                <c:pt idx="7">
                  <c:v>RAMCOCEM</c:v>
                </c:pt>
                <c:pt idx="8">
                  <c:v>NUVOCO</c:v>
                </c:pt>
                <c:pt idx="9">
                  <c:v>OTHERS_20</c:v>
                </c:pt>
              </c:strCache>
            </c:strRef>
          </c:cat>
          <c:val>
            <c:numRef>
              <c:f>'Cement &amp; cement Products'!$C$28:$C$37</c:f>
              <c:numCache>
                <c:formatCode>0</c:formatCode>
                <c:ptCount val="10"/>
                <c:pt idx="0">
                  <c:v>320512.22444999998</c:v>
                </c:pt>
                <c:pt idx="1">
                  <c:v>174984.42240000001</c:v>
                </c:pt>
                <c:pt idx="2">
                  <c:v>121678.2268</c:v>
                </c:pt>
                <c:pt idx="3">
                  <c:v>90009.903281999999</c:v>
                </c:pt>
                <c:pt idx="4">
                  <c:v>39664.411466999998</c:v>
                </c:pt>
                <c:pt idx="5">
                  <c:v>34193.9106273</c:v>
                </c:pt>
                <c:pt idx="6">
                  <c:v>32291.175112000001</c:v>
                </c:pt>
                <c:pt idx="7">
                  <c:v>22743.133875</c:v>
                </c:pt>
                <c:pt idx="8">
                  <c:v>12105.8030559</c:v>
                </c:pt>
                <c:pt idx="9">
                  <c:v>77557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FDF-4346-AD67-8EF5B47DC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'Cement &amp; cement Products'!$G$27</c:f>
              <c:strCache>
                <c:ptCount val="1"/>
                <c:pt idx="0">
                  <c:v>SALES_24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9EC0-4FB6-AF32-7E4DDF1B5FE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9EC0-4FB6-AF32-7E4DDF1B5FE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9EC0-4FB6-AF32-7E4DDF1B5FE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9EC0-4FB6-AF32-7E4DDF1B5FE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9EC0-4FB6-AF32-7E4DDF1B5FE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9EC0-4FB6-AF32-7E4DDF1B5FE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9EC0-4FB6-AF32-7E4DDF1B5FEE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9EC0-4FB6-AF32-7E4DDF1B5FEE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9EC0-4FB6-AF32-7E4DDF1B5FEE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9EC0-4FB6-AF32-7E4DDF1B5FEE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9EC0-4FB6-AF32-7E4DDF1B5F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9EC0-4FB6-AF32-7E4DDF1B5FE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'Cement &amp; cement Products'!$F$28:$F$39</c:f>
              <c:strCache>
                <c:ptCount val="11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</c:strCache>
            </c:strRef>
          </c:cat>
          <c:val>
            <c:numRef>
              <c:f>'Cement &amp; cement Products'!$G$28:$G$39</c:f>
              <c:numCache>
                <c:formatCode>General</c:formatCode>
                <c:ptCount val="12"/>
                <c:pt idx="0">
                  <c:v>70908</c:v>
                </c:pt>
                <c:pt idx="1">
                  <c:v>33160</c:v>
                </c:pt>
                <c:pt idx="2">
                  <c:v>20521</c:v>
                </c:pt>
                <c:pt idx="3">
                  <c:v>19959</c:v>
                </c:pt>
                <c:pt idx="4">
                  <c:v>14691</c:v>
                </c:pt>
                <c:pt idx="5">
                  <c:v>11556</c:v>
                </c:pt>
                <c:pt idx="6">
                  <c:v>9376</c:v>
                </c:pt>
                <c:pt idx="7">
                  <c:v>10733</c:v>
                </c:pt>
                <c:pt idx="8">
                  <c:v>9663</c:v>
                </c:pt>
                <c:pt idx="9">
                  <c:v>6788</c:v>
                </c:pt>
                <c:pt idx="10">
                  <c:v>7587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EC0-4FB6-AF32-7E4DDF1B5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PROFIT_24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'Cement &amp; cement Products'!$K$27</c:f>
              <c:strCache>
                <c:ptCount val="1"/>
                <c:pt idx="0">
                  <c:v>PROFIT_24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Products'!$J$28:$J$38</c:f>
              <c:strCache>
                <c:ptCount val="11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</c:strCache>
            </c:strRef>
          </c:cat>
          <c:val>
            <c:numRef>
              <c:f>'Cement &amp; cement Products'!$K$28:$K$38</c:f>
              <c:numCache>
                <c:formatCode>General</c:formatCode>
                <c:ptCount val="11"/>
                <c:pt idx="0">
                  <c:v>7004</c:v>
                </c:pt>
                <c:pt idx="1">
                  <c:v>4738</c:v>
                </c:pt>
                <c:pt idx="2">
                  <c:v>2396</c:v>
                </c:pt>
                <c:pt idx="3">
                  <c:v>2336</c:v>
                </c:pt>
                <c:pt idx="4">
                  <c:v>854</c:v>
                </c:pt>
                <c:pt idx="5">
                  <c:v>790</c:v>
                </c:pt>
                <c:pt idx="6">
                  <c:v>356</c:v>
                </c:pt>
                <c:pt idx="7">
                  <c:v>147</c:v>
                </c:pt>
                <c:pt idx="8">
                  <c:v>421</c:v>
                </c:pt>
                <c:pt idx="9">
                  <c:v>488</c:v>
                </c:pt>
                <c:pt idx="10">
                  <c:v>162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26-41A8-80BC-E44A5E9AC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878263"/>
        <c:axId val="815350211"/>
      </c:barChart>
      <c:catAx>
        <c:axId val="21148782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5350211"/>
        <c:crosses val="autoZero"/>
        <c:auto val="1"/>
        <c:lblAlgn val="ctr"/>
        <c:lblOffset val="100"/>
        <c:noMultiLvlLbl val="1"/>
      </c:catAx>
      <c:valAx>
        <c:axId val="8153502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PROFIT_24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487826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MARGIN_23 IN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MARGIN_23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024-470F-9870-57FA155D7961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024-470F-9870-57FA155D7961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024-470F-9870-57FA155D7961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024-470F-9870-57FA155D7961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024-470F-9870-57FA155D7961}"/>
              </c:ext>
            </c:extLst>
          </c:dPt>
          <c:dPt>
            <c:idx val="1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024-470F-9870-57FA155D79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Products'!$B$58:$B$69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Products'!$C$58:$C$69</c:f>
              <c:numCache>
                <c:formatCode>0.0%</c:formatCode>
                <c:ptCount val="12"/>
                <c:pt idx="0">
                  <c:v>9.9000000000000005E-2</c:v>
                </c:pt>
                <c:pt idx="1">
                  <c:v>0.14299999999999999</c:v>
                </c:pt>
                <c:pt idx="2">
                  <c:v>0.11700000000000001</c:v>
                </c:pt>
                <c:pt idx="3">
                  <c:v>0.11700000000000001</c:v>
                </c:pt>
                <c:pt idx="4">
                  <c:v>5.8000000000000003E-2</c:v>
                </c:pt>
                <c:pt idx="5">
                  <c:v>6.8000000000000005E-2</c:v>
                </c:pt>
                <c:pt idx="6">
                  <c:v>3.7999999999999999E-2</c:v>
                </c:pt>
                <c:pt idx="7">
                  <c:v>1.4E-2</c:v>
                </c:pt>
                <c:pt idx="8">
                  <c:v>4.3999999999999997E-2</c:v>
                </c:pt>
                <c:pt idx="9">
                  <c:v>7.1999999999999995E-2</c:v>
                </c:pt>
                <c:pt idx="10">
                  <c:v>2.1000000000000001E-2</c:v>
                </c:pt>
                <c:pt idx="11">
                  <c:v>-2.2289586305278174E-2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9024-470F-9870-57FA155D7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350375"/>
        <c:axId val="1320326133"/>
      </c:barChart>
      <c:catAx>
        <c:axId val="21133503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0326133"/>
        <c:crosses val="autoZero"/>
        <c:auto val="1"/>
        <c:lblAlgn val="ctr"/>
        <c:lblOffset val="100"/>
        <c:noMultiLvlLbl val="1"/>
      </c:catAx>
      <c:valAx>
        <c:axId val="13203261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MARGIN_23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335037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CUR. 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F1D-4D03-9F68-CB763080BAFC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F1D-4D03-9F68-CB763080BAFC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F1D-4D03-9F68-CB763080BAFC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F1D-4D03-9F68-CB763080BA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Products'!$F$58:$F$69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Products'!$G$58:$G$69</c:f>
              <c:numCache>
                <c:formatCode>0.00</c:formatCode>
                <c:ptCount val="12"/>
                <c:pt idx="0">
                  <c:v>0.83004552352048555</c:v>
                </c:pt>
                <c:pt idx="1">
                  <c:v>1.8225300575013068</c:v>
                </c:pt>
                <c:pt idx="2">
                  <c:v>1.8125092856467537</c:v>
                </c:pt>
                <c:pt idx="3">
                  <c:v>1.4658537655847841</c:v>
                </c:pt>
                <c:pt idx="4">
                  <c:v>1.7400087834870444</c:v>
                </c:pt>
                <c:pt idx="5">
                  <c:v>1.2537124802527646</c:v>
                </c:pt>
                <c:pt idx="6">
                  <c:v>0.55813130027773783</c:v>
                </c:pt>
                <c:pt idx="7">
                  <c:v>0.48481711463280291</c:v>
                </c:pt>
                <c:pt idx="8">
                  <c:v>1.1522801302931596</c:v>
                </c:pt>
                <c:pt idx="9">
                  <c:v>1.1486486486486487</c:v>
                </c:pt>
                <c:pt idx="10">
                  <c:v>0.78539214574129201</c:v>
                </c:pt>
                <c:pt idx="11">
                  <c:v>1.0976922408782046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0F1D-4D03-9F68-CB763080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4946360"/>
        <c:axId val="1043987014"/>
      </c:barChart>
      <c:catAx>
        <c:axId val="1844946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43987014"/>
        <c:crosses val="autoZero"/>
        <c:auto val="1"/>
        <c:lblAlgn val="ctr"/>
        <c:lblOffset val="100"/>
        <c:noMultiLvlLbl val="1"/>
      </c:catAx>
      <c:valAx>
        <c:axId val="10439870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494636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TRADE DAYS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TRADE DAYS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882-43B9-9814-B0A2DEAF0B20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882-43B9-9814-B0A2DEAF0B20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882-43B9-9814-B0A2DEAF0B20}"/>
              </c:ext>
            </c:extLst>
          </c:dPt>
          <c:dPt>
            <c:idx val="1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882-43B9-9814-B0A2DEAF0B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Products'!$J$58:$J$69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Products'!$K$58:$K$69</c:f>
              <c:numCache>
                <c:formatCode>0</c:formatCode>
                <c:ptCount val="12"/>
                <c:pt idx="0">
                  <c:v>22.388636758962033</c:v>
                </c:pt>
                <c:pt idx="1">
                  <c:v>16.367208567686262</c:v>
                </c:pt>
                <c:pt idx="2">
                  <c:v>33.382410934349096</c:v>
                </c:pt>
                <c:pt idx="3">
                  <c:v>24.34867176947321</c:v>
                </c:pt>
                <c:pt idx="4">
                  <c:v>20.379615952732642</c:v>
                </c:pt>
                <c:pt idx="5">
                  <c:v>26.164147588352968</c:v>
                </c:pt>
                <c:pt idx="6">
                  <c:v>21.271306853009687</c:v>
                </c:pt>
                <c:pt idx="7">
                  <c:v>24.678703003967506</c:v>
                </c:pt>
                <c:pt idx="8">
                  <c:v>19.759272057129696</c:v>
                </c:pt>
                <c:pt idx="9">
                  <c:v>8.3738955200744076</c:v>
                </c:pt>
                <c:pt idx="10">
                  <c:v>36.793091032608693</c:v>
                </c:pt>
                <c:pt idx="11">
                  <c:v>55.426890156918695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A882-43B9-9814-B0A2DEAF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624504"/>
        <c:axId val="480313631"/>
      </c:barChart>
      <c:catAx>
        <c:axId val="613624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80313631"/>
        <c:crosses val="autoZero"/>
        <c:auto val="1"/>
        <c:lblAlgn val="ctr"/>
        <c:lblOffset val="100"/>
        <c:noMultiLvlLbl val="1"/>
      </c:catAx>
      <c:valAx>
        <c:axId val="4803136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TRADE 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1362450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DEBT2EQUITY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7F4-4418-971C-3A9F71BA8E06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7F4-4418-971C-3A9F71BA8E06}"/>
              </c:ext>
            </c:extLst>
          </c:dPt>
          <c:dPt>
            <c:idx val="8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7F4-4418-971C-3A9F71BA8E06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7F4-4418-971C-3A9F71BA8E06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7F4-4418-971C-3A9F71BA8E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Products'!$B$89:$B$100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Products'!$C$89:$C$100</c:f>
              <c:numCache>
                <c:formatCode>0.00</c:formatCode>
                <c:ptCount val="12"/>
                <c:pt idx="0">
                  <c:v>0.17</c:v>
                </c:pt>
                <c:pt idx="1">
                  <c:v>0</c:v>
                </c:pt>
                <c:pt idx="2">
                  <c:v>7.0000000000000007E-2</c:v>
                </c:pt>
                <c:pt idx="3">
                  <c:v>0</c:v>
                </c:pt>
                <c:pt idx="4">
                  <c:v>0.28000000000000003</c:v>
                </c:pt>
                <c:pt idx="5">
                  <c:v>0.99</c:v>
                </c:pt>
                <c:pt idx="6">
                  <c:v>0.68</c:v>
                </c:pt>
                <c:pt idx="7">
                  <c:v>0.48</c:v>
                </c:pt>
                <c:pt idx="8">
                  <c:v>0.56999999999999995</c:v>
                </c:pt>
                <c:pt idx="9">
                  <c:v>0.65</c:v>
                </c:pt>
                <c:pt idx="10">
                  <c:v>1.5</c:v>
                </c:pt>
                <c:pt idx="11">
                  <c:v>0.49936112343307343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F7F4-4418-971C-3A9F71BA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658949"/>
        <c:axId val="2108508178"/>
      </c:barChart>
      <c:catAx>
        <c:axId val="1066658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08508178"/>
        <c:crosses val="autoZero"/>
        <c:auto val="1"/>
        <c:lblAlgn val="ctr"/>
        <c:lblOffset val="100"/>
        <c:noMultiLvlLbl val="1"/>
      </c:catAx>
      <c:valAx>
        <c:axId val="21085081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665894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ICR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1F9-4817-9C7F-D1493B7FC8C4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1F9-4817-9C7F-D1493B7FC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Products'!$F$89:$F$100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Products'!$G$89:$G$100</c:f>
              <c:numCache>
                <c:formatCode>0</c:formatCode>
                <c:ptCount val="12"/>
                <c:pt idx="0">
                  <c:v>75.431626526344203</c:v>
                </c:pt>
                <c:pt idx="1">
                  <c:v>221.38053097345133</c:v>
                </c:pt>
                <c:pt idx="2">
                  <c:v>64.139926428975656</c:v>
                </c:pt>
                <c:pt idx="3">
                  <c:v>249.79562720029645</c:v>
                </c:pt>
                <c:pt idx="4">
                  <c:v>38.945652173913047</c:v>
                </c:pt>
                <c:pt idx="5">
                  <c:v>18.241071428571427</c:v>
                </c:pt>
                <c:pt idx="6">
                  <c:v>19.086036872945545</c:v>
                </c:pt>
                <c:pt idx="7">
                  <c:v>19.893260473588342</c:v>
                </c:pt>
                <c:pt idx="8">
                  <c:v>22.34375</c:v>
                </c:pt>
                <c:pt idx="9">
                  <c:v>52.227272727272727</c:v>
                </c:pt>
                <c:pt idx="10">
                  <c:v>39.541707449700922</c:v>
                </c:pt>
                <c:pt idx="11">
                  <c:v>23.70009277220208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1F9-4817-9C7F-D1493B7FC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71255"/>
        <c:axId val="1441552174"/>
      </c:barChart>
      <c:catAx>
        <c:axId val="1707712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1552174"/>
        <c:crosses val="autoZero"/>
        <c:auto val="1"/>
        <c:lblAlgn val="ctr"/>
        <c:lblOffset val="100"/>
        <c:noMultiLvlLbl val="1"/>
      </c:catAx>
      <c:valAx>
        <c:axId val="14415521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77125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A0D-4E6C-8608-AEA2E94C5BFA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A0D-4E6C-8608-AEA2E94C5BFA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A0D-4E6C-8608-AEA2E94C5BFA}"/>
              </c:ext>
            </c:extLst>
          </c:dPt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A0D-4E6C-8608-AEA2E94C5BFA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A0D-4E6C-8608-AEA2E94C5BFA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A0D-4E6C-8608-AEA2E94C5BFA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2A0D-4E6C-8608-AEA2E94C5B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Products'!$J$89:$J$100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Products'!$K$89:$K$100</c:f>
              <c:numCache>
                <c:formatCode>0.00</c:formatCode>
                <c:ptCount val="12"/>
                <c:pt idx="0">
                  <c:v>0.40202785373067634</c:v>
                </c:pt>
                <c:pt idx="1">
                  <c:v>0.24496065942300488</c:v>
                </c:pt>
                <c:pt idx="2">
                  <c:v>0.26874806527549916</c:v>
                </c:pt>
                <c:pt idx="3">
                  <c:v>0.33042814422651257</c:v>
                </c:pt>
                <c:pt idx="4">
                  <c:v>0.40900088028169013</c:v>
                </c:pt>
                <c:pt idx="5">
                  <c:v>0.65110902391445702</c:v>
                </c:pt>
                <c:pt idx="6">
                  <c:v>0.55033364993935086</c:v>
                </c:pt>
                <c:pt idx="7">
                  <c:v>0.53754244643993054</c:v>
                </c:pt>
                <c:pt idx="8">
                  <c:v>0.55827186512118021</c:v>
                </c:pt>
                <c:pt idx="9">
                  <c:v>0.55977637614678899</c:v>
                </c:pt>
                <c:pt idx="10">
                  <c:v>0.7451996572098144</c:v>
                </c:pt>
                <c:pt idx="11">
                  <c:v>0.49650477212502375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2A0D-4E6C-8608-AEA2E94C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888912"/>
        <c:axId val="1545061686"/>
      </c:barChart>
      <c:catAx>
        <c:axId val="82288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5061686"/>
        <c:crosses val="autoZero"/>
        <c:auto val="1"/>
        <c:lblAlgn val="ctr"/>
        <c:lblOffset val="100"/>
        <c:noMultiLvlLbl val="1"/>
      </c:catAx>
      <c:valAx>
        <c:axId val="15450616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228889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SALES_GR_5YR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'Cement &amp; cement Products'!$N$27</c:f>
              <c:strCache>
                <c:ptCount val="1"/>
                <c:pt idx="0">
                  <c:v>SALES_GR_5YR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Products'!$M$28:$M$38</c:f>
              <c:strCache>
                <c:ptCount val="11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</c:strCache>
            </c:strRef>
          </c:cat>
          <c:val>
            <c:numRef>
              <c:f>'Cement &amp; cement Products'!$N$28:$N$38</c:f>
              <c:numCache>
                <c:formatCode>0.00%</c:formatCode>
                <c:ptCount val="11"/>
                <c:pt idx="0">
                  <c:v>0.14378853354795118</c:v>
                </c:pt>
                <c:pt idx="1">
                  <c:v>8.3787908605924555E-2</c:v>
                </c:pt>
                <c:pt idx="2">
                  <c:v>0.11935329899769753</c:v>
                </c:pt>
                <c:pt idx="3">
                  <c:v>8.4554798008566801E-2</c:v>
                </c:pt>
                <c:pt idx="4">
                  <c:v>8.9334121966899271E-2</c:v>
                </c:pt>
                <c:pt idx="5">
                  <c:v>0.13591101311777432</c:v>
                </c:pt>
                <c:pt idx="6">
                  <c:v>0.12221513344435553</c:v>
                </c:pt>
                <c:pt idx="7">
                  <c:v>0.10758726954949793</c:v>
                </c:pt>
                <c:pt idx="8">
                  <c:v>7.8754971628323567E-2</c:v>
                </c:pt>
                <c:pt idx="9">
                  <c:v>0.1082314041154413</c:v>
                </c:pt>
                <c:pt idx="10">
                  <c:v>5.4640252195051087E-2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41-4068-89D2-D35016DF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15266"/>
        <c:axId val="203906406"/>
      </c:barChart>
      <c:catAx>
        <c:axId val="662152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3906406"/>
        <c:crosses val="autoZero"/>
        <c:auto val="1"/>
        <c:lblAlgn val="ctr"/>
        <c:lblOffset val="100"/>
        <c:noMultiLvlLbl val="1"/>
      </c:catAx>
      <c:valAx>
        <c:axId val="20390640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SALES_GR_5YR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2152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ROE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Products'!$B$119:$B$130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Products'!$C$119:$C$130</c:f>
              <c:numCache>
                <c:formatCode>0.0%</c:formatCode>
                <c:ptCount val="12"/>
                <c:pt idx="0">
                  <c:v>9.0263691683569985E-2</c:v>
                </c:pt>
                <c:pt idx="1">
                  <c:v>7.5029773719730047E-2</c:v>
                </c:pt>
                <c:pt idx="2">
                  <c:v>6.4957334957693263E-2</c:v>
                </c:pt>
                <c:pt idx="3">
                  <c:v>5.9706204992653104E-2</c:v>
                </c:pt>
                <c:pt idx="4">
                  <c:v>6.7391168571607027E-2</c:v>
                </c:pt>
                <c:pt idx="5">
                  <c:v>0.1163802029405674</c:v>
                </c:pt>
                <c:pt idx="6">
                  <c:v>4.4603476514280919E-2</c:v>
                </c:pt>
                <c:pt idx="7">
                  <c:v>1.6939620416985698E-3</c:v>
                </c:pt>
                <c:pt idx="8">
                  <c:v>6.3623349769365359E-3</c:v>
                </c:pt>
                <c:pt idx="9">
                  <c:v>0.1268041237113402</c:v>
                </c:pt>
                <c:pt idx="10">
                  <c:v>-0.11132619994752778</c:v>
                </c:pt>
                <c:pt idx="11">
                  <c:v>-2.2091167597735745E-2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F31-4AD5-AAE3-838A2CD87386}"/>
            </c:ext>
          </c:extLst>
        </c:ser>
        <c:ser>
          <c:idx val="1"/>
          <c:order val="1"/>
          <c:tx>
            <c:v>ROA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Products'!$B$119:$B$130</c:f>
              <c:strCache>
                <c:ptCount val="12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  <c:pt idx="11">
                  <c:v>INDIACEM</c:v>
                </c:pt>
              </c:strCache>
            </c:strRef>
          </c:cat>
          <c:val>
            <c:numRef>
              <c:f>'Cement &amp; cement Products'!$D$119:$D$130</c:f>
              <c:numCache>
                <c:formatCode>0.0%</c:formatCode>
                <c:ptCount val="12"/>
                <c:pt idx="0">
                  <c:v>5.3973252758242808E-2</c:v>
                </c:pt>
                <c:pt idx="1">
                  <c:v>5.6650430872986136E-2</c:v>
                </c:pt>
                <c:pt idx="2">
                  <c:v>4.750017686236066E-2</c:v>
                </c:pt>
                <c:pt idx="3">
                  <c:v>3.9977594478122991E-2</c:v>
                </c:pt>
                <c:pt idx="4">
                  <c:v>3.9575997652582157E-2</c:v>
                </c:pt>
                <c:pt idx="5">
                  <c:v>4.0604002600968137E-2</c:v>
                </c:pt>
                <c:pt idx="6">
                  <c:v>2.0056682484192588E-2</c:v>
                </c:pt>
                <c:pt idx="7">
                  <c:v>7.8338554162754094E-4</c:v>
                </c:pt>
                <c:pt idx="8">
                  <c:v>2.8099754127151387E-3</c:v>
                </c:pt>
                <c:pt idx="9">
                  <c:v>5.2895642201834861E-2</c:v>
                </c:pt>
                <c:pt idx="10">
                  <c:v>-2.3645895930947958E-2</c:v>
                </c:pt>
                <c:pt idx="11">
                  <c:v>-1.1122797463646248E-2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F31-4AD5-AAE3-838A2CD87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53836"/>
        <c:axId val="372612026"/>
      </c:barChart>
      <c:catAx>
        <c:axId val="5900538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72612026"/>
        <c:crosses val="autoZero"/>
        <c:auto val="1"/>
        <c:lblAlgn val="ctr"/>
        <c:lblOffset val="100"/>
        <c:noMultiLvlLbl val="1"/>
      </c:catAx>
      <c:valAx>
        <c:axId val="3726120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00538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SALES_H1_FY25_GR_%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'Cement &amp; cement Products'!$Q$27</c:f>
              <c:strCache>
                <c:ptCount val="1"/>
                <c:pt idx="0">
                  <c:v>SALES_H1_FY25_GR_%</c:v>
                </c:pt>
              </c:strCache>
            </c:strRef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'Cement &amp; cement Products'!$P$28:$P$38</c:f>
              <c:strCache>
                <c:ptCount val="11"/>
                <c:pt idx="0">
                  <c:v>ULTRACEMCO</c:v>
                </c:pt>
                <c:pt idx="1">
                  <c:v>AMBUJACEM</c:v>
                </c:pt>
                <c:pt idx="2">
                  <c:v>SHREECEM</c:v>
                </c:pt>
                <c:pt idx="3">
                  <c:v>ACC</c:v>
                </c:pt>
                <c:pt idx="4">
                  <c:v>DALBHARAT</c:v>
                </c:pt>
                <c:pt idx="5">
                  <c:v>JKCEMENT</c:v>
                </c:pt>
                <c:pt idx="6">
                  <c:v>RAMCOCEM</c:v>
                </c:pt>
                <c:pt idx="7">
                  <c:v>NUVOCO</c:v>
                </c:pt>
                <c:pt idx="8">
                  <c:v>BIRLACORPN</c:v>
                </c:pt>
                <c:pt idx="9">
                  <c:v>JKLAKSHMI</c:v>
                </c:pt>
                <c:pt idx="10">
                  <c:v>PRSMJOHNSN</c:v>
                </c:pt>
              </c:strCache>
            </c:strRef>
          </c:cat>
          <c:val>
            <c:numRef>
              <c:f>'Cement &amp; cement Products'!$Q$28:$Q$38</c:f>
              <c:numCache>
                <c:formatCode>0.0%</c:formatCode>
                <c:ptCount val="11"/>
                <c:pt idx="0">
                  <c:v>-1.2999999999999999E-3</c:v>
                </c:pt>
                <c:pt idx="1">
                  <c:v>-1.9099999999999999E-2</c:v>
                </c:pt>
                <c:pt idx="2">
                  <c:v>-6.4299999999999996E-2</c:v>
                </c:pt>
                <c:pt idx="3">
                  <c:v>1.38E-2</c:v>
                </c:pt>
                <c:pt idx="4">
                  <c:v>-2.0899999999999998E-2</c:v>
                </c:pt>
                <c:pt idx="5">
                  <c:v>-2.6800000000000001E-2</c:v>
                </c:pt>
                <c:pt idx="6">
                  <c:v>-0.12670000000000001</c:v>
                </c:pt>
                <c:pt idx="7">
                  <c:v>-0.1183</c:v>
                </c:pt>
                <c:pt idx="8">
                  <c:v>-0.14580000000000001</c:v>
                </c:pt>
                <c:pt idx="9">
                  <c:v>-0.21609999999999999</c:v>
                </c:pt>
                <c:pt idx="10">
                  <c:v>-8.2100000000000006E-2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D9B-42CC-92E8-8F3417E5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996538"/>
        <c:axId val="890767550"/>
      </c:barChart>
      <c:catAx>
        <c:axId val="9819965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90767550"/>
        <c:crosses val="autoZero"/>
        <c:auto val="1"/>
        <c:lblAlgn val="ctr"/>
        <c:lblOffset val="100"/>
        <c:noMultiLvlLbl val="1"/>
      </c:catAx>
      <c:valAx>
        <c:axId val="8907675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SALES_H1_FY25_GR_%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199653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48</xdr:row>
      <xdr:rowOff>28575</xdr:rowOff>
    </xdr:from>
    <xdr:ext cx="7077075" cy="29813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77A985EF-BF97-46DD-B9B0-A18D4F7082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9256395"/>
          <a:ext cx="7077075" cy="29813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8</xdr:row>
      <xdr:rowOff>57150</xdr:rowOff>
    </xdr:from>
    <xdr:ext cx="3876675" cy="2390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FE8864F3-6F8D-4940-8CE5-76DAB53B8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123825</xdr:colOff>
      <xdr:row>39</xdr:row>
      <xdr:rowOff>19050</xdr:rowOff>
    </xdr:from>
    <xdr:ext cx="4238625" cy="26193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6AE641AD-7D6C-4155-9EBE-9D9BB5B29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523875</xdr:colOff>
      <xdr:row>39</xdr:row>
      <xdr:rowOff>19050</xdr:rowOff>
    </xdr:from>
    <xdr:ext cx="4238625" cy="26193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638BC2F-203D-470D-BA82-55FCBE9A3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923925</xdr:colOff>
      <xdr:row>39</xdr:row>
      <xdr:rowOff>19050</xdr:rowOff>
    </xdr:from>
    <xdr:ext cx="4648200" cy="26193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D71EF260-BC6A-43AA-92D0-315049996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28575</xdr:colOff>
      <xdr:row>69</xdr:row>
      <xdr:rowOff>38100</xdr:rowOff>
    </xdr:from>
    <xdr:ext cx="4533900" cy="28003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43BE71FB-269C-4F5C-BCA3-4AA22B432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4</xdr:col>
      <xdr:colOff>723900</xdr:colOff>
      <xdr:row>69</xdr:row>
      <xdr:rowOff>38100</xdr:rowOff>
    </xdr:from>
    <xdr:ext cx="4581525" cy="28003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2F74C61C-FA35-4DD1-9CC8-D033696D6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9</xdr:col>
      <xdr:colOff>504825</xdr:colOff>
      <xdr:row>69</xdr:row>
      <xdr:rowOff>38100</xdr:rowOff>
    </xdr:from>
    <xdr:ext cx="4581525" cy="28384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EFFD269B-8622-4C4A-996A-BD9325B5A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123825</xdr:colOff>
      <xdr:row>100</xdr:row>
      <xdr:rowOff>19050</xdr:rowOff>
    </xdr:from>
    <xdr:ext cx="4438650" cy="27432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3A266CE6-4993-4A88-9CDB-D62328E1C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723900</xdr:colOff>
      <xdr:row>100</xdr:row>
      <xdr:rowOff>19050</xdr:rowOff>
    </xdr:from>
    <xdr:ext cx="4438650" cy="27432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FC7E6C50-1F46-4215-A139-53407A94F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9</xdr:col>
      <xdr:colOff>361950</xdr:colOff>
      <xdr:row>99</xdr:row>
      <xdr:rowOff>161925</xdr:rowOff>
    </xdr:from>
    <xdr:ext cx="4533900" cy="280035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3CC35760-87FF-4752-8C56-24D87E1A9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13</xdr:col>
      <xdr:colOff>771525</xdr:colOff>
      <xdr:row>39</xdr:row>
      <xdr:rowOff>19050</xdr:rowOff>
    </xdr:from>
    <xdr:ext cx="3667125" cy="26193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1B1214B8-2501-4A88-A09F-4318FE273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0</xdr:col>
      <xdr:colOff>219075</xdr:colOff>
      <xdr:row>130</xdr:row>
      <xdr:rowOff>19050</xdr:rowOff>
    </xdr:from>
    <xdr:ext cx="8143875" cy="283845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1E5491A6-902F-4112-959C-4B5CF01E2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17</xdr:col>
      <xdr:colOff>0</xdr:colOff>
      <xdr:row>39</xdr:row>
      <xdr:rowOff>19050</xdr:rowOff>
    </xdr:from>
    <xdr:ext cx="4200525" cy="261937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37B7C2EF-A0FD-4596-A9BD-A5F33F6C4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4</xdr:col>
      <xdr:colOff>914400</xdr:colOff>
      <xdr:row>5</xdr:row>
      <xdr:rowOff>9525</xdr:rowOff>
    </xdr:from>
    <xdr:ext cx="5162550" cy="3028950"/>
    <xdr:pic>
      <xdr:nvPicPr>
        <xdr:cNvPr id="15" name="image1.png" title="Image">
          <a:extLst>
            <a:ext uri="{FF2B5EF4-FFF2-40B4-BE49-F238E27FC236}">
              <a16:creationId xmlns:a16="http://schemas.microsoft.com/office/drawing/2014/main" id="{A0EB893C-DBA1-4E69-B4DF-D82DF573E70E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754880" y="1000125"/>
          <a:ext cx="5162550" cy="30289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ement%20(9).xlsx" TargetMode="External"/><Relationship Id="rId1" Type="http://schemas.openxmlformats.org/officeDocument/2006/relationships/externalLinkPath" Target="/Users/profi/Downloads/Cement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ment &amp; cement Products"/>
      <sheetName val="ULTRATECH"/>
      <sheetName val="Sheet1"/>
      <sheetName val="Sheet2"/>
      <sheetName val="Cement"/>
      <sheetName val="DASHBOARD"/>
      <sheetName val="GRASIM"/>
      <sheetName val="JKCEMENT"/>
      <sheetName val="SHREECEM"/>
    </sheetNames>
    <sheetDataSet>
      <sheetData sheetId="0">
        <row r="6">
          <cell r="B6" t="str">
            <v>WORLD</v>
          </cell>
          <cell r="C6">
            <v>525</v>
          </cell>
        </row>
        <row r="7">
          <cell r="B7" t="str">
            <v>CHINA</v>
          </cell>
          <cell r="C7">
            <v>1700</v>
          </cell>
        </row>
        <row r="8">
          <cell r="B8" t="str">
            <v>INDIA</v>
          </cell>
          <cell r="C8">
            <v>225</v>
          </cell>
        </row>
        <row r="27">
          <cell r="C27" t="str">
            <v>Market cap in Cr</v>
          </cell>
          <cell r="G27" t="str">
            <v>SALES_24</v>
          </cell>
          <cell r="K27" t="str">
            <v>PROFIT_24</v>
          </cell>
          <cell r="N27" t="str">
            <v>SALES_GR_5YR</v>
          </cell>
          <cell r="Q27" t="str">
            <v>SALES_H1_FY25_GR_%</v>
          </cell>
        </row>
        <row r="28">
          <cell r="B28" t="str">
            <v>ULTRACEMCO</v>
          </cell>
          <cell r="C28">
            <v>320512.22444999998</v>
          </cell>
          <cell r="F28" t="str">
            <v>ULTRACEMCO</v>
          </cell>
          <cell r="G28">
            <v>70908</v>
          </cell>
          <cell r="J28" t="str">
            <v>ULTRACEMCO</v>
          </cell>
          <cell r="K28">
            <v>7004</v>
          </cell>
          <cell r="M28" t="str">
            <v>ULTRACEMCO</v>
          </cell>
          <cell r="N28">
            <v>0.14378853354795118</v>
          </cell>
          <cell r="P28" t="str">
            <v>ULTRACEMCO</v>
          </cell>
          <cell r="Q28">
            <v>-1.2999999999999999E-3</v>
          </cell>
        </row>
        <row r="29">
          <cell r="B29" t="str">
            <v>GRASIM</v>
          </cell>
          <cell r="C29">
            <v>174984.42240000001</v>
          </cell>
          <cell r="F29" t="str">
            <v>AMBUJACEM</v>
          </cell>
          <cell r="G29">
            <v>33160</v>
          </cell>
          <cell r="J29" t="str">
            <v>AMBUJACEM</v>
          </cell>
          <cell r="K29">
            <v>4738</v>
          </cell>
          <cell r="M29" t="str">
            <v>AMBUJACEM</v>
          </cell>
          <cell r="N29">
            <v>8.3787908605924555E-2</v>
          </cell>
          <cell r="P29" t="str">
            <v>AMBUJACEM</v>
          </cell>
          <cell r="Q29">
            <v>-1.9099999999999999E-2</v>
          </cell>
        </row>
        <row r="30">
          <cell r="B30" t="str">
            <v>AMBUJACEM</v>
          </cell>
          <cell r="C30">
            <v>121678.2268</v>
          </cell>
          <cell r="F30" t="str">
            <v>SHREECEM</v>
          </cell>
          <cell r="G30">
            <v>20521</v>
          </cell>
          <cell r="J30" t="str">
            <v>SHREECEM</v>
          </cell>
          <cell r="K30">
            <v>2396</v>
          </cell>
          <cell r="M30" t="str">
            <v>SHREECEM</v>
          </cell>
          <cell r="N30">
            <v>0.11935329899769753</v>
          </cell>
          <cell r="P30" t="str">
            <v>SHREECEM</v>
          </cell>
          <cell r="Q30">
            <v>-6.4299999999999996E-2</v>
          </cell>
        </row>
        <row r="31">
          <cell r="B31" t="str">
            <v>SHREECEM</v>
          </cell>
          <cell r="C31">
            <v>90009.903281999999</v>
          </cell>
          <cell r="F31" t="str">
            <v>ACC</v>
          </cell>
          <cell r="G31">
            <v>19959</v>
          </cell>
          <cell r="J31" t="str">
            <v>ACC</v>
          </cell>
          <cell r="K31">
            <v>2336</v>
          </cell>
          <cell r="M31" t="str">
            <v>ACC</v>
          </cell>
          <cell r="N31">
            <v>8.4554798008566801E-2</v>
          </cell>
          <cell r="P31" t="str">
            <v>ACC</v>
          </cell>
          <cell r="Q31">
            <v>1.38E-2</v>
          </cell>
        </row>
        <row r="32">
          <cell r="B32" t="str">
            <v>ACC</v>
          </cell>
          <cell r="C32">
            <v>39664.411466999998</v>
          </cell>
          <cell r="F32" t="str">
            <v>DALBHARAT</v>
          </cell>
          <cell r="G32">
            <v>14691</v>
          </cell>
          <cell r="J32" t="str">
            <v>DALBHARAT</v>
          </cell>
          <cell r="K32">
            <v>854</v>
          </cell>
          <cell r="M32" t="str">
            <v>DALBHARAT</v>
          </cell>
          <cell r="N32">
            <v>8.9334121966899271E-2</v>
          </cell>
          <cell r="P32" t="str">
            <v>DALBHARAT</v>
          </cell>
          <cell r="Q32">
            <v>-2.0899999999999998E-2</v>
          </cell>
        </row>
        <row r="33">
          <cell r="B33" t="str">
            <v>DALBHARAT</v>
          </cell>
          <cell r="C33">
            <v>34193.9106273</v>
          </cell>
          <cell r="F33" t="str">
            <v>JKCEMENT</v>
          </cell>
          <cell r="G33">
            <v>11556</v>
          </cell>
          <cell r="J33" t="str">
            <v>JKCEMENT</v>
          </cell>
          <cell r="K33">
            <v>790</v>
          </cell>
          <cell r="M33" t="str">
            <v>JKCEMENT</v>
          </cell>
          <cell r="N33">
            <v>0.13591101311777432</v>
          </cell>
          <cell r="P33" t="str">
            <v>JKCEMENT</v>
          </cell>
          <cell r="Q33">
            <v>-2.6800000000000001E-2</v>
          </cell>
        </row>
        <row r="34">
          <cell r="B34" t="str">
            <v>JKCEMENT</v>
          </cell>
          <cell r="C34">
            <v>32291.175112000001</v>
          </cell>
          <cell r="F34" t="str">
            <v>RAMCOCEM</v>
          </cell>
          <cell r="G34">
            <v>9376</v>
          </cell>
          <cell r="J34" t="str">
            <v>RAMCOCEM</v>
          </cell>
          <cell r="K34">
            <v>356</v>
          </cell>
          <cell r="M34" t="str">
            <v>RAMCOCEM</v>
          </cell>
          <cell r="N34">
            <v>0.12221513344435553</v>
          </cell>
          <cell r="P34" t="str">
            <v>RAMCOCEM</v>
          </cell>
          <cell r="Q34">
            <v>-0.12670000000000001</v>
          </cell>
        </row>
        <row r="35">
          <cell r="B35" t="str">
            <v>RAMCOCEM</v>
          </cell>
          <cell r="C35">
            <v>22743.133875</v>
          </cell>
          <cell r="F35" t="str">
            <v>NUVOCO</v>
          </cell>
          <cell r="G35">
            <v>10733</v>
          </cell>
          <cell r="J35" t="str">
            <v>NUVOCO</v>
          </cell>
          <cell r="K35">
            <v>147</v>
          </cell>
          <cell r="M35" t="str">
            <v>NUVOCO</v>
          </cell>
          <cell r="N35">
            <v>0.10758726954949793</v>
          </cell>
          <cell r="P35" t="str">
            <v>NUVOCO</v>
          </cell>
          <cell r="Q35">
            <v>-0.1183</v>
          </cell>
        </row>
        <row r="36">
          <cell r="B36" t="str">
            <v>NUVOCO</v>
          </cell>
          <cell r="C36">
            <v>12105.8030559</v>
          </cell>
          <cell r="F36" t="str">
            <v>BIRLACORPN</v>
          </cell>
          <cell r="G36">
            <v>9663</v>
          </cell>
          <cell r="J36" t="str">
            <v>BIRLACORPN</v>
          </cell>
          <cell r="K36">
            <v>421</v>
          </cell>
          <cell r="M36" t="str">
            <v>BIRLACORPN</v>
          </cell>
          <cell r="N36">
            <v>7.8754971628323567E-2</v>
          </cell>
          <cell r="P36" t="str">
            <v>BIRLACORPN</v>
          </cell>
          <cell r="Q36">
            <v>-0.14580000000000001</v>
          </cell>
        </row>
        <row r="37">
          <cell r="B37" t="str">
            <v>OTHERS_20</v>
          </cell>
          <cell r="C37">
            <v>77557</v>
          </cell>
          <cell r="F37" t="str">
            <v>JKLAKSHMI</v>
          </cell>
          <cell r="G37">
            <v>6788</v>
          </cell>
          <cell r="J37" t="str">
            <v>JKLAKSHMI</v>
          </cell>
          <cell r="K37">
            <v>488</v>
          </cell>
          <cell r="M37" t="str">
            <v>JKLAKSHMI</v>
          </cell>
          <cell r="N37">
            <v>0.1082314041154413</v>
          </cell>
          <cell r="P37" t="str">
            <v>JKLAKSHMI</v>
          </cell>
          <cell r="Q37">
            <v>-0.21609999999999999</v>
          </cell>
        </row>
        <row r="38">
          <cell r="F38" t="str">
            <v>PRSMJOHNSN</v>
          </cell>
          <cell r="G38">
            <v>7587</v>
          </cell>
          <cell r="J38" t="str">
            <v>PRSMJOHNSN</v>
          </cell>
          <cell r="K38">
            <v>162</v>
          </cell>
          <cell r="M38" t="str">
            <v>PRSMJOHNSN</v>
          </cell>
          <cell r="N38">
            <v>5.4640252195051087E-2</v>
          </cell>
          <cell r="P38" t="str">
            <v>PRSMJOHNSN</v>
          </cell>
          <cell r="Q38">
            <v>-8.2100000000000006E-2</v>
          </cell>
        </row>
        <row r="58">
          <cell r="B58" t="str">
            <v>ULTRACEMCO</v>
          </cell>
          <cell r="C58">
            <v>9.9000000000000005E-2</v>
          </cell>
          <cell r="F58" t="str">
            <v>ULTRACEMCO</v>
          </cell>
          <cell r="G58">
            <v>0.83004552352048555</v>
          </cell>
          <cell r="J58" t="str">
            <v>ULTRACEMCO</v>
          </cell>
          <cell r="K58">
            <v>22.388636758962033</v>
          </cell>
        </row>
        <row r="59">
          <cell r="B59" t="str">
            <v>AMBUJACEM</v>
          </cell>
          <cell r="C59">
            <v>0.14299999999999999</v>
          </cell>
          <cell r="F59" t="str">
            <v>AMBUJACEM</v>
          </cell>
          <cell r="G59">
            <v>1.8225300575013068</v>
          </cell>
          <cell r="J59" t="str">
            <v>AMBUJACEM</v>
          </cell>
          <cell r="K59">
            <v>16.367208567686262</v>
          </cell>
        </row>
        <row r="60">
          <cell r="B60" t="str">
            <v>SHREECEM</v>
          </cell>
          <cell r="C60">
            <v>0.11700000000000001</v>
          </cell>
          <cell r="F60" t="str">
            <v>SHREECEM</v>
          </cell>
          <cell r="G60">
            <v>1.8125092856467537</v>
          </cell>
          <cell r="J60" t="str">
            <v>SHREECEM</v>
          </cell>
          <cell r="K60">
            <v>33.382410934349096</v>
          </cell>
        </row>
        <row r="61">
          <cell r="B61" t="str">
            <v>ACC</v>
          </cell>
          <cell r="C61">
            <v>0.11700000000000001</v>
          </cell>
          <cell r="F61" t="str">
            <v>ACC</v>
          </cell>
          <cell r="G61">
            <v>1.4658537655847841</v>
          </cell>
          <cell r="J61" t="str">
            <v>ACC</v>
          </cell>
          <cell r="K61">
            <v>24.34867176947321</v>
          </cell>
        </row>
        <row r="62">
          <cell r="B62" t="str">
            <v>DALBHARAT</v>
          </cell>
          <cell r="C62">
            <v>5.8000000000000003E-2</v>
          </cell>
          <cell r="F62" t="str">
            <v>DALBHARAT</v>
          </cell>
          <cell r="G62">
            <v>1.7400087834870444</v>
          </cell>
          <cell r="J62" t="str">
            <v>DALBHARAT</v>
          </cell>
          <cell r="K62">
            <v>20.379615952732642</v>
          </cell>
        </row>
        <row r="63">
          <cell r="B63" t="str">
            <v>JKCEMENT</v>
          </cell>
          <cell r="C63">
            <v>6.8000000000000005E-2</v>
          </cell>
          <cell r="F63" t="str">
            <v>JKCEMENT</v>
          </cell>
          <cell r="G63">
            <v>1.2537124802527646</v>
          </cell>
          <cell r="J63" t="str">
            <v>JKCEMENT</v>
          </cell>
          <cell r="K63">
            <v>26.164147588352968</v>
          </cell>
        </row>
        <row r="64">
          <cell r="B64" t="str">
            <v>RAMCOCEM</v>
          </cell>
          <cell r="C64">
            <v>3.7999999999999999E-2</v>
          </cell>
          <cell r="F64" t="str">
            <v>RAMCOCEM</v>
          </cell>
          <cell r="G64">
            <v>0.55813130027773783</v>
          </cell>
          <cell r="J64" t="str">
            <v>RAMCOCEM</v>
          </cell>
          <cell r="K64">
            <v>21.271306853009687</v>
          </cell>
        </row>
        <row r="65">
          <cell r="B65" t="str">
            <v>NUVOCO</v>
          </cell>
          <cell r="C65">
            <v>1.4E-2</v>
          </cell>
          <cell r="F65" t="str">
            <v>NUVOCO</v>
          </cell>
          <cell r="G65">
            <v>0.48481711463280291</v>
          </cell>
          <cell r="J65" t="str">
            <v>NUVOCO</v>
          </cell>
          <cell r="K65">
            <v>24.678703003967506</v>
          </cell>
        </row>
        <row r="66">
          <cell r="B66" t="str">
            <v>BIRLACORPN</v>
          </cell>
          <cell r="C66">
            <v>4.3999999999999997E-2</v>
          </cell>
          <cell r="F66" t="str">
            <v>BIRLACORPN</v>
          </cell>
          <cell r="G66">
            <v>1.1522801302931596</v>
          </cell>
          <cell r="J66" t="str">
            <v>BIRLACORPN</v>
          </cell>
          <cell r="K66">
            <v>19.759272057129696</v>
          </cell>
        </row>
        <row r="67">
          <cell r="B67" t="str">
            <v>JKLAKSHMI</v>
          </cell>
          <cell r="C67">
            <v>7.1999999999999995E-2</v>
          </cell>
          <cell r="F67" t="str">
            <v>JKLAKSHMI</v>
          </cell>
          <cell r="G67">
            <v>1.1486486486486487</v>
          </cell>
          <cell r="J67" t="str">
            <v>JKLAKSHMI</v>
          </cell>
          <cell r="K67">
            <v>8.3738955200744076</v>
          </cell>
        </row>
        <row r="68">
          <cell r="B68" t="str">
            <v>PRSMJOHNSN</v>
          </cell>
          <cell r="C68">
            <v>2.1000000000000001E-2</v>
          </cell>
          <cell r="F68" t="str">
            <v>PRSMJOHNSN</v>
          </cell>
          <cell r="G68">
            <v>0.78539214574129201</v>
          </cell>
          <cell r="J68" t="str">
            <v>PRSMJOHNSN</v>
          </cell>
          <cell r="K68">
            <v>36.793091032608693</v>
          </cell>
        </row>
        <row r="69">
          <cell r="B69" t="str">
            <v>INDIACEM</v>
          </cell>
          <cell r="C69">
            <v>-2.2289586305278174E-2</v>
          </cell>
          <cell r="F69" t="str">
            <v>INDIACEM</v>
          </cell>
          <cell r="G69">
            <v>1.0976922408782046</v>
          </cell>
          <cell r="J69" t="str">
            <v>INDIACEM</v>
          </cell>
          <cell r="K69">
            <v>55.426890156918695</v>
          </cell>
        </row>
        <row r="89">
          <cell r="B89" t="str">
            <v>ULTRACEMCO</v>
          </cell>
          <cell r="C89">
            <v>0.17</v>
          </cell>
          <cell r="F89" t="str">
            <v>ULTRACEMCO</v>
          </cell>
          <cell r="G89">
            <v>75.431626526344203</v>
          </cell>
          <cell r="J89" t="str">
            <v>ULTRACEMCO</v>
          </cell>
          <cell r="K89">
            <v>0.40202785373067634</v>
          </cell>
        </row>
        <row r="90">
          <cell r="B90" t="str">
            <v>AMBUJACEM</v>
          </cell>
          <cell r="C90">
            <v>0</v>
          </cell>
          <cell r="F90" t="str">
            <v>AMBUJACEM</v>
          </cell>
          <cell r="G90">
            <v>221.38053097345133</v>
          </cell>
          <cell r="J90" t="str">
            <v>AMBUJACEM</v>
          </cell>
          <cell r="K90">
            <v>0.24496065942300488</v>
          </cell>
        </row>
        <row r="91">
          <cell r="B91" t="str">
            <v>SHREECEM</v>
          </cell>
          <cell r="C91">
            <v>7.0000000000000007E-2</v>
          </cell>
          <cell r="F91" t="str">
            <v>SHREECEM</v>
          </cell>
          <cell r="G91">
            <v>64.139926428975656</v>
          </cell>
          <cell r="J91" t="str">
            <v>SHREECEM</v>
          </cell>
          <cell r="K91">
            <v>0.26874806527549916</v>
          </cell>
        </row>
        <row r="92">
          <cell r="B92" t="str">
            <v>ACC</v>
          </cell>
          <cell r="C92">
            <v>0</v>
          </cell>
          <cell r="F92" t="str">
            <v>ACC</v>
          </cell>
          <cell r="G92">
            <v>249.79562720029645</v>
          </cell>
          <cell r="J92" t="str">
            <v>ACC</v>
          </cell>
          <cell r="K92">
            <v>0.33042814422651257</v>
          </cell>
        </row>
        <row r="93">
          <cell r="B93" t="str">
            <v>DALBHARAT</v>
          </cell>
          <cell r="C93">
            <v>0.28000000000000003</v>
          </cell>
          <cell r="F93" t="str">
            <v>DALBHARAT</v>
          </cell>
          <cell r="G93">
            <v>38.945652173913047</v>
          </cell>
          <cell r="J93" t="str">
            <v>DALBHARAT</v>
          </cell>
          <cell r="K93">
            <v>0.40900088028169013</v>
          </cell>
        </row>
        <row r="94">
          <cell r="B94" t="str">
            <v>JKCEMENT</v>
          </cell>
          <cell r="C94">
            <v>0.99</v>
          </cell>
          <cell r="F94" t="str">
            <v>JKCEMENT</v>
          </cell>
          <cell r="G94">
            <v>18.241071428571427</v>
          </cell>
          <cell r="J94" t="str">
            <v>JKCEMENT</v>
          </cell>
          <cell r="K94">
            <v>0.65110902391445702</v>
          </cell>
        </row>
        <row r="95">
          <cell r="B95" t="str">
            <v>RAMCOCEM</v>
          </cell>
          <cell r="C95">
            <v>0.68</v>
          </cell>
          <cell r="F95" t="str">
            <v>RAMCOCEM</v>
          </cell>
          <cell r="G95">
            <v>19.086036872945545</v>
          </cell>
          <cell r="J95" t="str">
            <v>RAMCOCEM</v>
          </cell>
          <cell r="K95">
            <v>0.55033364993935086</v>
          </cell>
        </row>
        <row r="96">
          <cell r="B96" t="str">
            <v>NUVOCO</v>
          </cell>
          <cell r="C96">
            <v>0.48</v>
          </cell>
          <cell r="F96" t="str">
            <v>NUVOCO</v>
          </cell>
          <cell r="G96">
            <v>19.893260473588342</v>
          </cell>
          <cell r="J96" t="str">
            <v>NUVOCO</v>
          </cell>
          <cell r="K96">
            <v>0.53754244643993054</v>
          </cell>
        </row>
        <row r="97">
          <cell r="B97" t="str">
            <v>BIRLACORPN</v>
          </cell>
          <cell r="C97">
            <v>0.56999999999999995</v>
          </cell>
          <cell r="F97" t="str">
            <v>BIRLACORPN</v>
          </cell>
          <cell r="G97">
            <v>22.34375</v>
          </cell>
          <cell r="J97" t="str">
            <v>BIRLACORPN</v>
          </cell>
          <cell r="K97">
            <v>0.55827186512118021</v>
          </cell>
        </row>
        <row r="98">
          <cell r="B98" t="str">
            <v>JKLAKSHMI</v>
          </cell>
          <cell r="C98">
            <v>0.65</v>
          </cell>
          <cell r="F98" t="str">
            <v>JKLAKSHMI</v>
          </cell>
          <cell r="G98">
            <v>52.227272727272727</v>
          </cell>
          <cell r="J98" t="str">
            <v>JKLAKSHMI</v>
          </cell>
          <cell r="K98">
            <v>0.55977637614678899</v>
          </cell>
        </row>
        <row r="99">
          <cell r="B99" t="str">
            <v>PRSMJOHNSN</v>
          </cell>
          <cell r="C99">
            <v>1.5</v>
          </cell>
          <cell r="F99" t="str">
            <v>PRSMJOHNSN</v>
          </cell>
          <cell r="G99">
            <v>39.541707449700922</v>
          </cell>
          <cell r="J99" t="str">
            <v>PRSMJOHNSN</v>
          </cell>
          <cell r="K99">
            <v>0.7451996572098144</v>
          </cell>
        </row>
        <row r="100">
          <cell r="B100" t="str">
            <v>INDIACEM</v>
          </cell>
          <cell r="C100">
            <v>0.49936112343307343</v>
          </cell>
          <cell r="F100" t="str">
            <v>INDIACEM</v>
          </cell>
          <cell r="G100">
            <v>23.70009277220208</v>
          </cell>
          <cell r="J100" t="str">
            <v>INDIACEM</v>
          </cell>
          <cell r="K100">
            <v>0.49650477212502375</v>
          </cell>
        </row>
        <row r="119">
          <cell r="B119" t="str">
            <v>ULTRACEMCO</v>
          </cell>
          <cell r="C119">
            <v>9.0263691683569985E-2</v>
          </cell>
          <cell r="D119">
            <v>5.3973252758242808E-2</v>
          </cell>
        </row>
        <row r="120">
          <cell r="B120" t="str">
            <v>AMBUJACEM</v>
          </cell>
          <cell r="C120">
            <v>7.5029773719730047E-2</v>
          </cell>
          <cell r="D120">
            <v>5.6650430872986136E-2</v>
          </cell>
        </row>
        <row r="121">
          <cell r="B121" t="str">
            <v>SHREECEM</v>
          </cell>
          <cell r="C121">
            <v>6.4957334957693263E-2</v>
          </cell>
          <cell r="D121">
            <v>4.750017686236066E-2</v>
          </cell>
        </row>
        <row r="122">
          <cell r="B122" t="str">
            <v>ACC</v>
          </cell>
          <cell r="C122">
            <v>5.9706204992653104E-2</v>
          </cell>
          <cell r="D122">
            <v>3.9977594478122991E-2</v>
          </cell>
        </row>
        <row r="123">
          <cell r="B123" t="str">
            <v>DALBHARAT</v>
          </cell>
          <cell r="C123">
            <v>6.7391168571607027E-2</v>
          </cell>
          <cell r="D123">
            <v>3.9575997652582157E-2</v>
          </cell>
        </row>
        <row r="124">
          <cell r="B124" t="str">
            <v>JKCEMENT</v>
          </cell>
          <cell r="C124">
            <v>0.1163802029405674</v>
          </cell>
          <cell r="D124">
            <v>4.0604002600968137E-2</v>
          </cell>
        </row>
        <row r="125">
          <cell r="B125" t="str">
            <v>RAMCOCEM</v>
          </cell>
          <cell r="C125">
            <v>4.4603476514280919E-2</v>
          </cell>
          <cell r="D125">
            <v>2.0056682484192588E-2</v>
          </cell>
        </row>
        <row r="126">
          <cell r="B126" t="str">
            <v>NUVOCO</v>
          </cell>
          <cell r="C126">
            <v>1.6939620416985698E-3</v>
          </cell>
          <cell r="D126">
            <v>7.8338554162754094E-4</v>
          </cell>
        </row>
        <row r="127">
          <cell r="B127" t="str">
            <v>BIRLACORPN</v>
          </cell>
          <cell r="C127">
            <v>6.3623349769365359E-3</v>
          </cell>
          <cell r="D127">
            <v>2.8099754127151387E-3</v>
          </cell>
        </row>
        <row r="128">
          <cell r="B128" t="str">
            <v>JKLAKSHMI</v>
          </cell>
          <cell r="C128">
            <v>0.1268041237113402</v>
          </cell>
          <cell r="D128">
            <v>5.2895642201834861E-2</v>
          </cell>
        </row>
        <row r="129">
          <cell r="B129" t="str">
            <v>PRSMJOHNSN</v>
          </cell>
          <cell r="C129">
            <v>-0.11132619994752778</v>
          </cell>
          <cell r="D129">
            <v>-2.3645895930947958E-2</v>
          </cell>
        </row>
        <row r="130">
          <cell r="B130" t="str">
            <v>INDIACEM</v>
          </cell>
          <cell r="C130">
            <v>-2.2091167597735745E-2</v>
          </cell>
          <cell r="D130">
            <v>-1.1122797463646248E-2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BB65C-3F14-4E43-92D6-BBC34691B88D}">
  <sheetPr>
    <outlinePr summaryBelow="0" summaryRight="0"/>
  </sheetPr>
  <dimension ref="A1:V85"/>
  <sheetViews>
    <sheetView showGridLines="0" tabSelected="1" workbookViewId="0"/>
  </sheetViews>
  <sheetFormatPr defaultColWidth="14" defaultRowHeight="15" customHeight="1" x14ac:dyDescent="0.3"/>
  <cols>
    <col min="1" max="1" width="7.44140625" customWidth="1"/>
  </cols>
  <sheetData>
    <row r="1" spans="1:22" ht="15" customHeight="1" x14ac:dyDescent="0.3">
      <c r="A1" s="1"/>
      <c r="C1" s="2"/>
      <c r="D1" s="2"/>
      <c r="E1" s="3" t="s">
        <v>0</v>
      </c>
      <c r="F1" s="2"/>
      <c r="G1" s="2"/>
      <c r="H1" s="2"/>
      <c r="I1" s="3" t="s">
        <v>1</v>
      </c>
      <c r="J1" s="2"/>
      <c r="K1" s="2"/>
      <c r="L1" s="2"/>
      <c r="M1" s="2"/>
      <c r="N1" s="2"/>
      <c r="O1" s="2"/>
      <c r="P1" s="2"/>
      <c r="Q1" s="2"/>
      <c r="R1" s="3" t="s">
        <v>2</v>
      </c>
    </row>
    <row r="2" spans="1:22" ht="15" customHeight="1" x14ac:dyDescent="0.3">
      <c r="A2" s="1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</row>
    <row r="3" spans="1:22" ht="15" customHeight="1" x14ac:dyDescent="0.3">
      <c r="A3" s="1"/>
      <c r="B3" s="4" t="s">
        <v>24</v>
      </c>
      <c r="C3" s="5">
        <f ca="1">IFERROR(__xludf.DUMMYFUNCTION("GOOGLEFINANCE(""NSE:""&amp;B3,""price"")"),11125)</f>
        <v>11125</v>
      </c>
      <c r="D3" s="5">
        <f ca="1">IFERROR(__xludf.DUMMYFUNCTION("GOOGLEFINANCE(""NSE:""&amp;B3,""MARKETCAP"")/10000000"),320512.22445)</f>
        <v>320512.22444999998</v>
      </c>
      <c r="E3" s="5">
        <f t="shared" ref="E3:F3" si="0">D33</f>
        <v>70863</v>
      </c>
      <c r="F3" s="5">
        <f t="shared" si="0"/>
        <v>6553</v>
      </c>
      <c r="G3" s="5">
        <v>227</v>
      </c>
      <c r="H3" s="6">
        <v>10</v>
      </c>
      <c r="I3" s="6">
        <v>289</v>
      </c>
      <c r="J3" s="6">
        <v>59938</v>
      </c>
      <c r="K3" s="6">
        <f>7885+8036</f>
        <v>15921</v>
      </c>
      <c r="L3" s="6">
        <f>765+276</f>
        <v>1041</v>
      </c>
      <c r="M3" s="5">
        <v>23732</v>
      </c>
      <c r="N3" s="5">
        <v>26392</v>
      </c>
      <c r="O3" s="7">
        <v>107610</v>
      </c>
      <c r="P3" s="5">
        <v>42840</v>
      </c>
      <c r="Q3" s="6">
        <v>4363</v>
      </c>
      <c r="R3" s="8">
        <v>4490</v>
      </c>
      <c r="S3" s="8">
        <v>2826</v>
      </c>
      <c r="T3" s="8">
        <v>-6247</v>
      </c>
      <c r="U3" s="8">
        <v>3046</v>
      </c>
      <c r="V3" s="8">
        <f t="shared" ref="V3:V4" si="1">SUM(S3:U3)</f>
        <v>-375</v>
      </c>
    </row>
    <row r="4" spans="1:22" ht="15" customHeight="1" x14ac:dyDescent="0.3">
      <c r="A4" s="9"/>
      <c r="B4" s="4" t="s">
        <v>25</v>
      </c>
      <c r="C4" s="4">
        <v>9749</v>
      </c>
      <c r="D4" s="10">
        <f ca="1">C4*D3/C3</f>
        <v>280869.54392476851</v>
      </c>
      <c r="E4" s="4">
        <f t="shared" ref="E4:F4" si="2">D32</f>
        <v>70908</v>
      </c>
      <c r="F4" s="4">
        <f t="shared" si="2"/>
        <v>7003</v>
      </c>
      <c r="G4" s="10">
        <f>G32</f>
        <v>243.05</v>
      </c>
      <c r="H4" s="4">
        <v>10</v>
      </c>
      <c r="I4" s="4">
        <v>289</v>
      </c>
      <c r="J4" s="11">
        <v>54035</v>
      </c>
      <c r="K4" s="11">
        <f>5307+4990</f>
        <v>10297</v>
      </c>
      <c r="L4" s="11">
        <f>942+162</f>
        <v>1104</v>
      </c>
      <c r="M4" s="11">
        <v>23143</v>
      </c>
      <c r="N4" s="11">
        <v>26905</v>
      </c>
      <c r="O4" s="11">
        <v>100802</v>
      </c>
      <c r="P4" s="5">
        <v>40517</v>
      </c>
      <c r="Q4" s="11">
        <v>4278</v>
      </c>
      <c r="R4" s="8">
        <v>4087</v>
      </c>
      <c r="S4" s="8">
        <v>3357</v>
      </c>
      <c r="T4" s="8">
        <v>-2289</v>
      </c>
      <c r="U4" s="8">
        <v>-1252</v>
      </c>
      <c r="V4" s="8">
        <f t="shared" si="1"/>
        <v>-184</v>
      </c>
    </row>
    <row r="5" spans="1:22" ht="15" customHeight="1" x14ac:dyDescent="0.3">
      <c r="A5" s="9"/>
      <c r="B5" s="12" t="s">
        <v>26</v>
      </c>
      <c r="C5" s="13">
        <f t="shared" ref="C5:S5" ca="1" si="3">(C3/C4)-1</f>
        <v>0.14114268130064622</v>
      </c>
      <c r="D5" s="13">
        <f t="shared" ca="1" si="3"/>
        <v>0.14114268130064622</v>
      </c>
      <c r="E5" s="14">
        <f t="shared" si="3"/>
        <v>-6.3462514807921533E-4</v>
      </c>
      <c r="F5" s="15">
        <f t="shared" si="3"/>
        <v>-6.4258175067828049E-2</v>
      </c>
      <c r="G5" s="13">
        <f t="shared" si="3"/>
        <v>-6.6035795103888129E-2</v>
      </c>
      <c r="H5" s="13">
        <f t="shared" si="3"/>
        <v>0</v>
      </c>
      <c r="I5" s="13">
        <f t="shared" si="3"/>
        <v>0</v>
      </c>
      <c r="J5" s="13">
        <f t="shared" si="3"/>
        <v>0.10924400851300087</v>
      </c>
      <c r="K5" s="13">
        <f t="shared" si="3"/>
        <v>0.54617849859182277</v>
      </c>
      <c r="L5" s="13">
        <f t="shared" si="3"/>
        <v>-5.7065217391304324E-2</v>
      </c>
      <c r="M5" s="13">
        <f t="shared" si="3"/>
        <v>2.5450460182344647E-2</v>
      </c>
      <c r="N5" s="13">
        <f t="shared" si="3"/>
        <v>-1.9067087901876945E-2</v>
      </c>
      <c r="O5" s="13">
        <f t="shared" si="3"/>
        <v>6.7538342493204562E-2</v>
      </c>
      <c r="P5" s="13">
        <f t="shared" si="3"/>
        <v>5.7333958585285227E-2</v>
      </c>
      <c r="Q5" s="13">
        <f t="shared" si="3"/>
        <v>1.9869097709209971E-2</v>
      </c>
      <c r="R5" s="13">
        <f t="shared" si="3"/>
        <v>9.8605333985808619E-2</v>
      </c>
      <c r="S5" s="13">
        <f t="shared" si="3"/>
        <v>-0.1581769436997319</v>
      </c>
      <c r="T5" s="13">
        <v>-2.2200000000000002</v>
      </c>
      <c r="U5" s="13">
        <v>0.87</v>
      </c>
      <c r="V5" s="13">
        <v>1.26</v>
      </c>
    </row>
    <row r="6" spans="1:22" ht="15" customHeight="1" x14ac:dyDescent="0.3">
      <c r="A6" s="9"/>
      <c r="B6" s="16"/>
      <c r="C6" s="16"/>
      <c r="D6" s="16"/>
      <c r="E6" s="16"/>
      <c r="F6" s="16"/>
      <c r="G6" s="16"/>
      <c r="H6" s="16"/>
      <c r="I6" s="17"/>
      <c r="J6" s="18"/>
      <c r="K6" s="18"/>
      <c r="L6" s="18"/>
      <c r="M6" s="18"/>
      <c r="N6" s="18"/>
      <c r="O6" s="18"/>
      <c r="P6" s="18"/>
      <c r="Q6" s="18"/>
    </row>
    <row r="7" spans="1:22" ht="15" customHeight="1" x14ac:dyDescent="0.3">
      <c r="A7" s="1"/>
      <c r="B7" s="17" t="s">
        <v>26</v>
      </c>
      <c r="C7" s="19" t="s">
        <v>27</v>
      </c>
      <c r="F7" s="17" t="s">
        <v>28</v>
      </c>
      <c r="G7" s="17"/>
      <c r="H7" s="17" t="s">
        <v>29</v>
      </c>
      <c r="I7" s="17"/>
      <c r="J7" s="17"/>
      <c r="K7" s="17" t="s">
        <v>30</v>
      </c>
      <c r="L7" s="18"/>
      <c r="M7" s="18"/>
      <c r="N7" s="18" t="s">
        <v>31</v>
      </c>
      <c r="O7" s="18"/>
      <c r="P7" s="18"/>
      <c r="Q7" s="18"/>
      <c r="R7" s="18"/>
      <c r="S7" s="20" t="s">
        <v>32</v>
      </c>
      <c r="T7" s="21"/>
      <c r="U7" s="22"/>
    </row>
    <row r="8" spans="1:22" ht="15" customHeight="1" x14ac:dyDescent="0.3">
      <c r="A8" s="1"/>
      <c r="B8" s="23" t="s">
        <v>33</v>
      </c>
      <c r="C8" s="23" t="s">
        <v>34</v>
      </c>
      <c r="D8" s="23" t="s">
        <v>35</v>
      </c>
      <c r="E8" s="23" t="s">
        <v>36</v>
      </c>
      <c r="F8" s="23" t="s">
        <v>37</v>
      </c>
      <c r="G8" s="23" t="s">
        <v>38</v>
      </c>
      <c r="H8" s="23" t="s">
        <v>39</v>
      </c>
      <c r="I8" s="23" t="s">
        <v>40</v>
      </c>
      <c r="J8" s="23" t="s">
        <v>41</v>
      </c>
      <c r="K8" s="23" t="s">
        <v>42</v>
      </c>
      <c r="L8" s="23" t="s">
        <v>43</v>
      </c>
      <c r="M8" s="23" t="s">
        <v>44</v>
      </c>
      <c r="N8" s="23" t="s">
        <v>45</v>
      </c>
      <c r="O8" s="23" t="s">
        <v>46</v>
      </c>
      <c r="P8" s="23" t="s">
        <v>47</v>
      </c>
      <c r="Q8" s="23" t="s">
        <v>48</v>
      </c>
      <c r="R8" s="23" t="s">
        <v>49</v>
      </c>
      <c r="S8" s="23" t="s">
        <v>50</v>
      </c>
      <c r="T8" s="23" t="s">
        <v>51</v>
      </c>
      <c r="U8" s="23" t="s">
        <v>52</v>
      </c>
    </row>
    <row r="9" spans="1:22" ht="15" customHeight="1" x14ac:dyDescent="0.3">
      <c r="A9" s="1"/>
      <c r="B9" s="24">
        <f>L50</f>
        <v>-1.3333728406768053E-3</v>
      </c>
      <c r="C9" s="25">
        <f>J51/J50</f>
        <v>0.1501008782340375</v>
      </c>
      <c r="D9" s="25">
        <f>J53/J50</f>
        <v>0.13312959886066936</v>
      </c>
      <c r="E9" s="25">
        <f>J58</f>
        <v>7.4768573463090432E-2</v>
      </c>
      <c r="F9" s="26">
        <f>M3/N3</f>
        <v>0.89921188238860261</v>
      </c>
      <c r="G9" s="27">
        <f>(Q3/E3)*365</f>
        <v>22.472870186133807</v>
      </c>
      <c r="H9" s="24">
        <f>K3/J3</f>
        <v>0.26562447862791549</v>
      </c>
      <c r="I9" s="24">
        <f>P3/O3</f>
        <v>0.3981042654028436</v>
      </c>
      <c r="J9" s="28">
        <f>J59</f>
        <v>5.7867132867132867</v>
      </c>
      <c r="K9" s="24">
        <f>F3/J3</f>
        <v>0.10932964062864961</v>
      </c>
      <c r="L9" s="28">
        <f>F3/I3</f>
        <v>22.674740484429066</v>
      </c>
      <c r="M9" s="24">
        <f>F3/O3</f>
        <v>6.0895827525322924E-2</v>
      </c>
      <c r="N9" s="28">
        <f ca="1">C3/G3</f>
        <v>49.008810572687224</v>
      </c>
      <c r="O9" s="25">
        <f ca="1">G3/C3</f>
        <v>2.0404494382022471E-2</v>
      </c>
      <c r="P9" s="28">
        <f>J3/(I3/H3)</f>
        <v>2073.9792387543253</v>
      </c>
      <c r="Q9" s="28">
        <f ca="1">C3/P9</f>
        <v>5.3640845540391737</v>
      </c>
      <c r="R9" s="26">
        <f>T42</f>
        <v>46</v>
      </c>
      <c r="S9" s="26">
        <f>S3-N3</f>
        <v>-23566</v>
      </c>
      <c r="T9" s="26">
        <f>S3-K3</f>
        <v>-13095</v>
      </c>
      <c r="U9" s="26">
        <f>S3-R3</f>
        <v>-1664</v>
      </c>
    </row>
    <row r="10" spans="1:22" ht="15" customHeight="1" x14ac:dyDescent="0.3">
      <c r="A10" s="9"/>
      <c r="B10" s="9"/>
      <c r="C10" s="2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22" ht="15" customHeight="1" x14ac:dyDescent="0.35">
      <c r="B11" s="30" t="s">
        <v>53</v>
      </c>
      <c r="C11" s="16"/>
      <c r="D11" s="31">
        <f>CORREL(C13:C31,D13:D31)</f>
        <v>0.9870056053133508</v>
      </c>
      <c r="E11" s="16"/>
      <c r="F11" s="16"/>
      <c r="G11" s="16"/>
      <c r="H11" s="32">
        <f>CORREL(E13:E31,H13:H31)</f>
        <v>0.88835757741782484</v>
      </c>
      <c r="I11" s="16"/>
      <c r="J11" s="16"/>
      <c r="K11" s="16"/>
      <c r="L11" s="16"/>
      <c r="M11" s="16"/>
    </row>
    <row r="12" spans="1:22" ht="15" customHeight="1" x14ac:dyDescent="0.3">
      <c r="B12" s="33" t="s">
        <v>54</v>
      </c>
      <c r="C12" s="23" t="s">
        <v>55</v>
      </c>
      <c r="D12" s="23" t="s">
        <v>56</v>
      </c>
      <c r="E12" s="23" t="s">
        <v>7</v>
      </c>
      <c r="F12" s="23" t="s">
        <v>57</v>
      </c>
      <c r="G12" s="23" t="s">
        <v>8</v>
      </c>
      <c r="H12" s="23" t="s">
        <v>58</v>
      </c>
      <c r="I12" s="23" t="s">
        <v>59</v>
      </c>
      <c r="J12" s="23" t="s">
        <v>60</v>
      </c>
      <c r="K12" s="34" t="s">
        <v>61</v>
      </c>
      <c r="L12" s="34" t="s">
        <v>62</v>
      </c>
      <c r="M12" s="34" t="s">
        <v>63</v>
      </c>
    </row>
    <row r="13" spans="1:22" ht="15" customHeight="1" x14ac:dyDescent="0.3">
      <c r="B13" s="35" t="s">
        <v>64</v>
      </c>
      <c r="C13" s="36">
        <f>2.65+12.52</f>
        <v>15.17</v>
      </c>
      <c r="D13" s="37">
        <v>2703</v>
      </c>
      <c r="E13" s="38">
        <v>2.9</v>
      </c>
      <c r="F13" s="39">
        <f t="shared" ref="F13:F33" si="4">E13/D13</f>
        <v>1.072881982981872E-3</v>
      </c>
      <c r="G13" s="38">
        <v>0.23</v>
      </c>
      <c r="H13" s="40">
        <v>393</v>
      </c>
      <c r="I13" s="40">
        <v>249</v>
      </c>
      <c r="J13" s="41">
        <f t="shared" ref="J13:J33" si="5">H13/G13</f>
        <v>1708.695652173913</v>
      </c>
      <c r="K13" s="42">
        <f t="shared" ref="K13:K33" si="6">I13/G13</f>
        <v>1082.6086956521738</v>
      </c>
      <c r="L13" s="43"/>
      <c r="M13" s="44"/>
    </row>
    <row r="14" spans="1:22" ht="15" customHeight="1" x14ac:dyDescent="0.3">
      <c r="B14" s="35" t="s">
        <v>65</v>
      </c>
      <c r="C14" s="36">
        <f>1.32+14.23</f>
        <v>15.55</v>
      </c>
      <c r="D14" s="37">
        <v>3261</v>
      </c>
      <c r="E14" s="38">
        <v>166</v>
      </c>
      <c r="F14" s="45">
        <f t="shared" si="4"/>
        <v>5.0904630481447409E-2</v>
      </c>
      <c r="G14" s="38">
        <v>13.3</v>
      </c>
      <c r="H14" s="40">
        <v>689</v>
      </c>
      <c r="I14" s="40">
        <v>314</v>
      </c>
      <c r="J14" s="46">
        <f t="shared" si="5"/>
        <v>51.804511278195484</v>
      </c>
      <c r="K14" s="47">
        <f t="shared" si="6"/>
        <v>23.609022556390975</v>
      </c>
      <c r="L14" s="43">
        <v>0.75</v>
      </c>
      <c r="M14" s="48">
        <f t="shared" ref="M14:M32" si="7">L14/G14</f>
        <v>5.6390977443609019E-2</v>
      </c>
    </row>
    <row r="15" spans="1:22" ht="15" customHeight="1" x14ac:dyDescent="0.3">
      <c r="B15" s="35" t="s">
        <v>66</v>
      </c>
      <c r="C15" s="36">
        <f>2.5+15.17</f>
        <v>17.670000000000002</v>
      </c>
      <c r="D15" s="37">
        <v>4972</v>
      </c>
      <c r="E15" s="38">
        <v>782</v>
      </c>
      <c r="F15" s="49">
        <f t="shared" si="4"/>
        <v>0.15728077232502011</v>
      </c>
      <c r="G15" s="50">
        <v>62.84</v>
      </c>
      <c r="H15" s="40">
        <v>1204.95</v>
      </c>
      <c r="I15" s="40">
        <v>500.5</v>
      </c>
      <c r="J15" s="51">
        <f t="shared" si="5"/>
        <v>19.174888605983451</v>
      </c>
      <c r="K15" s="52">
        <f t="shared" si="6"/>
        <v>7.9646721833227243</v>
      </c>
      <c r="L15" s="53">
        <v>5.75</v>
      </c>
      <c r="M15" s="48">
        <f t="shared" si="7"/>
        <v>9.1502227880330994E-2</v>
      </c>
    </row>
    <row r="16" spans="1:22" ht="15" customHeight="1" x14ac:dyDescent="0.3">
      <c r="B16" s="35" t="s">
        <v>67</v>
      </c>
      <c r="C16" s="36">
        <f>2.09+15.02</f>
        <v>17.11</v>
      </c>
      <c r="D16" s="37">
        <v>5609</v>
      </c>
      <c r="E16" s="38">
        <v>1008</v>
      </c>
      <c r="F16" s="54">
        <f t="shared" si="4"/>
        <v>0.17971117846318416</v>
      </c>
      <c r="G16" s="38">
        <v>80.94</v>
      </c>
      <c r="H16" s="40">
        <v>1165</v>
      </c>
      <c r="I16" s="40">
        <v>662.3</v>
      </c>
      <c r="J16" s="55">
        <f t="shared" si="5"/>
        <v>14.393377810723994</v>
      </c>
      <c r="K16" s="56">
        <f t="shared" si="6"/>
        <v>8.182604398319743</v>
      </c>
      <c r="L16" s="53"/>
      <c r="M16" s="48">
        <f t="shared" si="7"/>
        <v>0</v>
      </c>
    </row>
    <row r="17" spans="2:15" ht="15" customHeight="1" x14ac:dyDescent="0.3">
      <c r="B17" s="35" t="s">
        <v>68</v>
      </c>
      <c r="C17" s="36">
        <f>2.38+15.8</f>
        <v>18.18</v>
      </c>
      <c r="D17" s="37">
        <v>6487</v>
      </c>
      <c r="E17" s="38">
        <v>977</v>
      </c>
      <c r="F17" s="57">
        <f t="shared" si="4"/>
        <v>0.15060891012794819</v>
      </c>
      <c r="G17" s="38">
        <v>78.48</v>
      </c>
      <c r="H17" s="40">
        <v>843</v>
      </c>
      <c r="I17" s="40">
        <v>250</v>
      </c>
      <c r="J17" s="58">
        <f t="shared" si="5"/>
        <v>10.741590214067278</v>
      </c>
      <c r="K17" s="59">
        <f t="shared" si="6"/>
        <v>3.1855249745158001</v>
      </c>
      <c r="L17" s="43">
        <v>5</v>
      </c>
      <c r="M17" s="48">
        <f t="shared" si="7"/>
        <v>6.3710499490316E-2</v>
      </c>
    </row>
    <row r="18" spans="2:15" ht="15" customHeight="1" x14ac:dyDescent="0.3">
      <c r="B18" s="35" t="s">
        <v>69</v>
      </c>
      <c r="C18" s="36">
        <f>2.46+17.47</f>
        <v>19.93</v>
      </c>
      <c r="D18" s="37">
        <v>7172</v>
      </c>
      <c r="E18" s="38">
        <v>1093</v>
      </c>
      <c r="F18" s="60">
        <f t="shared" si="4"/>
        <v>0.15239821528165087</v>
      </c>
      <c r="G18" s="38">
        <v>87.82</v>
      </c>
      <c r="H18" s="40">
        <v>1161.7</v>
      </c>
      <c r="I18" s="40">
        <v>526.04999999999995</v>
      </c>
      <c r="J18" s="61">
        <f t="shared" si="5"/>
        <v>13.228194033249832</v>
      </c>
      <c r="K18" s="62">
        <f t="shared" si="6"/>
        <v>5.9900933728080163</v>
      </c>
      <c r="L18" s="43">
        <v>5</v>
      </c>
      <c r="M18" s="48">
        <f t="shared" si="7"/>
        <v>5.6934639034388529E-2</v>
      </c>
    </row>
    <row r="19" spans="2:15" ht="15" customHeight="1" x14ac:dyDescent="0.3">
      <c r="B19" s="35" t="s">
        <v>70</v>
      </c>
      <c r="C19" s="36">
        <f>1.56+33.23</f>
        <v>34.79</v>
      </c>
      <c r="D19" s="37">
        <v>13497</v>
      </c>
      <c r="E19" s="38">
        <v>1404</v>
      </c>
      <c r="F19" s="63">
        <f t="shared" si="4"/>
        <v>0.10402311624805512</v>
      </c>
      <c r="G19" s="38">
        <v>62.74</v>
      </c>
      <c r="H19" s="40">
        <v>1174.9000000000001</v>
      </c>
      <c r="I19" s="40">
        <v>820</v>
      </c>
      <c r="J19" s="64">
        <f t="shared" si="5"/>
        <v>18.726490277335035</v>
      </c>
      <c r="K19" s="65">
        <f t="shared" si="6"/>
        <v>13.06981192221868</v>
      </c>
      <c r="L19" s="43">
        <v>6</v>
      </c>
      <c r="M19" s="48">
        <f t="shared" si="7"/>
        <v>9.5632770162575709E-2</v>
      </c>
    </row>
    <row r="20" spans="2:15" ht="15" customHeight="1" x14ac:dyDescent="0.3">
      <c r="B20" s="35" t="s">
        <v>71</v>
      </c>
      <c r="C20" s="36">
        <f>0.97+39.77</f>
        <v>40.74</v>
      </c>
      <c r="D20" s="37">
        <v>18313</v>
      </c>
      <c r="E20" s="38">
        <v>2446</v>
      </c>
      <c r="F20" s="66">
        <f t="shared" si="4"/>
        <v>0.13356631900835472</v>
      </c>
      <c r="G20" s="38">
        <v>89.26</v>
      </c>
      <c r="H20" s="40">
        <v>1542.1</v>
      </c>
      <c r="I20" s="40">
        <v>916.4</v>
      </c>
      <c r="J20" s="67">
        <f t="shared" si="5"/>
        <v>17.276495630741653</v>
      </c>
      <c r="K20" s="68">
        <f t="shared" si="6"/>
        <v>10.266636791395921</v>
      </c>
      <c r="L20" s="43">
        <v>6</v>
      </c>
      <c r="M20" s="48">
        <f t="shared" si="7"/>
        <v>6.7219359175442528E-2</v>
      </c>
    </row>
    <row r="21" spans="2:15" ht="15" customHeight="1" x14ac:dyDescent="0.3">
      <c r="B21" s="35" t="s">
        <v>72</v>
      </c>
      <c r="C21" s="36">
        <f>0.5+40.16</f>
        <v>40.659999999999997</v>
      </c>
      <c r="D21" s="37">
        <v>20175</v>
      </c>
      <c r="E21" s="38">
        <v>2655</v>
      </c>
      <c r="F21" s="54">
        <f t="shared" si="4"/>
        <v>0.13159851301115241</v>
      </c>
      <c r="G21" s="38">
        <v>96.87</v>
      </c>
      <c r="H21" s="40">
        <v>2074.8000000000002</v>
      </c>
      <c r="I21" s="40">
        <v>1254.9000000000001</v>
      </c>
      <c r="J21" s="69">
        <f t="shared" si="5"/>
        <v>21.418395788169711</v>
      </c>
      <c r="K21" s="70">
        <f t="shared" si="6"/>
        <v>12.954475069681017</v>
      </c>
      <c r="L21" s="43">
        <v>8</v>
      </c>
      <c r="M21" s="48">
        <f t="shared" si="7"/>
        <v>8.2584907608134611E-2</v>
      </c>
    </row>
    <row r="22" spans="2:15" ht="15" customHeight="1" x14ac:dyDescent="0.3">
      <c r="B22" s="35" t="s">
        <v>73</v>
      </c>
      <c r="C22" s="36">
        <f>0.34+41.13</f>
        <v>41.470000000000006</v>
      </c>
      <c r="D22" s="37">
        <v>20280</v>
      </c>
      <c r="E22" s="38">
        <v>2145</v>
      </c>
      <c r="F22" s="71">
        <f t="shared" si="4"/>
        <v>0.10576923076923077</v>
      </c>
      <c r="G22" s="38">
        <v>78.209999999999994</v>
      </c>
      <c r="H22" s="40">
        <v>2194</v>
      </c>
      <c r="I22" s="40">
        <v>1404.95</v>
      </c>
      <c r="J22" s="72">
        <f t="shared" si="5"/>
        <v>28.052678685590081</v>
      </c>
      <c r="K22" s="73">
        <f t="shared" si="6"/>
        <v>17.963815368878663</v>
      </c>
      <c r="L22" s="43">
        <v>9</v>
      </c>
      <c r="M22" s="48">
        <f t="shared" si="7"/>
        <v>0.11507479861910243</v>
      </c>
    </row>
    <row r="23" spans="2:15" ht="15" customHeight="1" x14ac:dyDescent="0.3">
      <c r="B23" s="35" t="s">
        <v>74</v>
      </c>
      <c r="C23" s="36">
        <v>44.85</v>
      </c>
      <c r="D23" s="37">
        <v>22936</v>
      </c>
      <c r="E23" s="38">
        <v>2015</v>
      </c>
      <c r="F23" s="74">
        <f t="shared" si="4"/>
        <v>8.7853156609696545E-2</v>
      </c>
      <c r="G23" s="38">
        <v>73.44</v>
      </c>
      <c r="H23" s="40">
        <v>3399</v>
      </c>
      <c r="I23" s="40">
        <v>1953</v>
      </c>
      <c r="J23" s="75">
        <f t="shared" si="5"/>
        <v>46.282679738562095</v>
      </c>
      <c r="K23" s="76">
        <f t="shared" si="6"/>
        <v>26.593137254901961</v>
      </c>
      <c r="L23" s="43">
        <v>9</v>
      </c>
      <c r="M23" s="48">
        <f t="shared" si="7"/>
        <v>0.12254901960784315</v>
      </c>
      <c r="O23" s="77"/>
    </row>
    <row r="24" spans="2:15" ht="15" customHeight="1" x14ac:dyDescent="0.3">
      <c r="B24" s="35" t="s">
        <v>75</v>
      </c>
      <c r="C24" s="36">
        <v>47.96</v>
      </c>
      <c r="D24" s="37">
        <v>25552</v>
      </c>
      <c r="E24" s="38">
        <v>2288</v>
      </c>
      <c r="F24" s="78">
        <f t="shared" si="4"/>
        <v>8.9542892924232939E-2</v>
      </c>
      <c r="G24" s="38">
        <v>83.33</v>
      </c>
      <c r="H24" s="40">
        <v>3369.5</v>
      </c>
      <c r="I24" s="40">
        <v>2530.8000000000002</v>
      </c>
      <c r="J24" s="79">
        <f t="shared" si="5"/>
        <v>40.435617424696986</v>
      </c>
      <c r="K24" s="80">
        <f t="shared" si="6"/>
        <v>30.370814832593307</v>
      </c>
      <c r="L24" s="43">
        <v>9</v>
      </c>
      <c r="M24" s="48">
        <f t="shared" si="7"/>
        <v>0.10800432017280691</v>
      </c>
    </row>
    <row r="25" spans="2:15" ht="15" customHeight="1" x14ac:dyDescent="0.3">
      <c r="B25" s="35" t="s">
        <v>76</v>
      </c>
      <c r="C25" s="36">
        <v>48.87</v>
      </c>
      <c r="D25" s="37">
        <v>29294</v>
      </c>
      <c r="E25" s="38">
        <v>2714</v>
      </c>
      <c r="F25" s="81">
        <f t="shared" si="4"/>
        <v>9.2646958421519765E-2</v>
      </c>
      <c r="G25" s="38">
        <v>98.92</v>
      </c>
      <c r="H25" s="40">
        <v>4130</v>
      </c>
      <c r="I25" s="40">
        <v>3050</v>
      </c>
      <c r="J25" s="82">
        <f t="shared" si="5"/>
        <v>41.750909826122118</v>
      </c>
      <c r="K25" s="64">
        <f t="shared" si="6"/>
        <v>30.83299636069551</v>
      </c>
      <c r="L25" s="43">
        <v>9.5</v>
      </c>
      <c r="M25" s="48">
        <f t="shared" si="7"/>
        <v>9.6037201779215528E-2</v>
      </c>
    </row>
    <row r="26" spans="2:15" ht="15" customHeight="1" x14ac:dyDescent="0.3">
      <c r="B26" s="35" t="s">
        <v>77</v>
      </c>
      <c r="C26" s="36">
        <v>63.28</v>
      </c>
      <c r="D26" s="37">
        <v>32888</v>
      </c>
      <c r="E26" s="38">
        <v>2225</v>
      </c>
      <c r="F26" s="83">
        <f t="shared" si="4"/>
        <v>6.7653855509608368E-2</v>
      </c>
      <c r="G26" s="38">
        <v>80.94</v>
      </c>
      <c r="H26" s="40">
        <v>4594.3</v>
      </c>
      <c r="I26" s="40">
        <v>3774</v>
      </c>
      <c r="J26" s="84">
        <f t="shared" si="5"/>
        <v>56.761798863355573</v>
      </c>
      <c r="K26" s="46">
        <f t="shared" si="6"/>
        <v>46.627131208302444</v>
      </c>
      <c r="L26" s="43">
        <v>10</v>
      </c>
      <c r="M26" s="48">
        <f t="shared" si="7"/>
        <v>0.12354830738818878</v>
      </c>
    </row>
    <row r="27" spans="2:15" ht="15" customHeight="1" x14ac:dyDescent="0.3">
      <c r="B27" s="35" t="s">
        <v>78</v>
      </c>
      <c r="C27" s="36">
        <v>85.05</v>
      </c>
      <c r="D27" s="37">
        <v>37379</v>
      </c>
      <c r="E27" s="38">
        <v>2432</v>
      </c>
      <c r="F27" s="85">
        <f t="shared" si="4"/>
        <v>6.5063270820514191E-2</v>
      </c>
      <c r="G27" s="38">
        <v>88.72</v>
      </c>
      <c r="H27" s="40">
        <v>4490</v>
      </c>
      <c r="I27" s="40">
        <v>3263.7</v>
      </c>
      <c r="J27" s="86">
        <f t="shared" si="5"/>
        <v>50.608656447249778</v>
      </c>
      <c r="K27" s="87">
        <f t="shared" si="6"/>
        <v>36.786519386834982</v>
      </c>
      <c r="L27" s="43">
        <v>10.5</v>
      </c>
      <c r="M27" s="48">
        <f t="shared" si="7"/>
        <v>0.11834986474301172</v>
      </c>
      <c r="O27" s="77"/>
    </row>
    <row r="28" spans="2:15" ht="14.4" x14ac:dyDescent="0.3">
      <c r="B28" s="35" t="s">
        <v>79</v>
      </c>
      <c r="C28" s="36">
        <v>81.8</v>
      </c>
      <c r="D28" s="88">
        <v>42125</v>
      </c>
      <c r="E28" s="89">
        <v>5811</v>
      </c>
      <c r="F28" s="90">
        <f t="shared" si="4"/>
        <v>0.13794658753709199</v>
      </c>
      <c r="G28" s="38">
        <v>201.61</v>
      </c>
      <c r="H28" s="91">
        <v>4905</v>
      </c>
      <c r="I28" s="91">
        <v>2911</v>
      </c>
      <c r="J28" s="92">
        <f t="shared" si="5"/>
        <v>24.32915033976489</v>
      </c>
      <c r="K28" s="93">
        <f t="shared" si="6"/>
        <v>14.438767918258021</v>
      </c>
      <c r="L28" s="43">
        <v>13</v>
      </c>
      <c r="M28" s="48">
        <f t="shared" si="7"/>
        <v>6.4480928525370768E-2</v>
      </c>
      <c r="N28" s="19">
        <f>8700/300</f>
        <v>29</v>
      </c>
    </row>
    <row r="29" spans="2:15" ht="14.4" x14ac:dyDescent="0.3">
      <c r="B29" s="35" t="s">
        <v>80</v>
      </c>
      <c r="C29" s="36">
        <v>85.1</v>
      </c>
      <c r="D29" s="88">
        <v>44726</v>
      </c>
      <c r="E29" s="89">
        <v>5462</v>
      </c>
      <c r="F29" s="94">
        <f t="shared" si="4"/>
        <v>0.12212136117694405</v>
      </c>
      <c r="G29" s="38">
        <v>189.4</v>
      </c>
      <c r="H29" s="91">
        <v>4905</v>
      </c>
      <c r="I29" s="91">
        <v>2911</v>
      </c>
      <c r="J29" s="95">
        <f t="shared" si="5"/>
        <v>25.897571277719113</v>
      </c>
      <c r="K29" s="96">
        <f t="shared" si="6"/>
        <v>15.369588173178458</v>
      </c>
      <c r="L29" s="43">
        <v>37</v>
      </c>
      <c r="M29" s="48">
        <f t="shared" si="7"/>
        <v>0.19535374868004224</v>
      </c>
    </row>
    <row r="30" spans="2:15" ht="14.4" x14ac:dyDescent="0.3">
      <c r="B30" s="35" t="s">
        <v>81</v>
      </c>
      <c r="C30" s="36">
        <v>92.5</v>
      </c>
      <c r="D30" s="8">
        <v>52589</v>
      </c>
      <c r="E30" s="8">
        <v>7334</v>
      </c>
      <c r="F30" s="97">
        <f t="shared" si="4"/>
        <v>0.13945882218714942</v>
      </c>
      <c r="G30" s="98">
        <v>254.54</v>
      </c>
      <c r="H30" s="8">
        <v>8269</v>
      </c>
      <c r="I30" s="8">
        <v>5629</v>
      </c>
      <c r="J30" s="95">
        <f t="shared" si="5"/>
        <v>32.486053272570125</v>
      </c>
      <c r="K30" s="96">
        <f t="shared" si="6"/>
        <v>22.114402451481105</v>
      </c>
      <c r="L30" s="98">
        <v>38</v>
      </c>
      <c r="M30" s="48">
        <f t="shared" si="7"/>
        <v>0.14928891333385716</v>
      </c>
      <c r="O30" s="77"/>
    </row>
    <row r="31" spans="2:15" ht="14.4" x14ac:dyDescent="0.3">
      <c r="B31" s="35" t="s">
        <v>82</v>
      </c>
      <c r="C31" s="36">
        <v>105.7</v>
      </c>
      <c r="D31" s="8">
        <v>63239</v>
      </c>
      <c r="E31" s="8">
        <v>5073</v>
      </c>
      <c r="F31" s="97">
        <f t="shared" si="4"/>
        <v>8.0219484811587791E-2</v>
      </c>
      <c r="G31" s="98">
        <v>175.57</v>
      </c>
      <c r="H31" s="8">
        <v>7824</v>
      </c>
      <c r="I31" s="8">
        <v>5157</v>
      </c>
      <c r="J31" s="95">
        <f t="shared" si="5"/>
        <v>44.563421996924305</v>
      </c>
      <c r="K31" s="96">
        <f t="shared" si="6"/>
        <v>29.372899698126105</v>
      </c>
      <c r="L31" s="98">
        <v>38</v>
      </c>
      <c r="M31" s="48">
        <f t="shared" si="7"/>
        <v>0.21643788802187164</v>
      </c>
    </row>
    <row r="32" spans="2:15" ht="14.4" x14ac:dyDescent="0.3">
      <c r="B32" s="35" t="s">
        <v>83</v>
      </c>
      <c r="C32" s="98">
        <v>119.04</v>
      </c>
      <c r="D32" s="8">
        <v>70908</v>
      </c>
      <c r="E32" s="8">
        <v>7003</v>
      </c>
      <c r="F32" s="97">
        <f t="shared" si="4"/>
        <v>9.876177582219213E-2</v>
      </c>
      <c r="G32" s="98">
        <v>243.05</v>
      </c>
      <c r="H32" s="8">
        <v>10526</v>
      </c>
      <c r="I32" s="8">
        <v>7300</v>
      </c>
      <c r="J32" s="95">
        <f t="shared" si="5"/>
        <v>43.307961324830281</v>
      </c>
      <c r="K32" s="96">
        <f t="shared" si="6"/>
        <v>30.034972227936638</v>
      </c>
      <c r="L32" s="8">
        <v>70</v>
      </c>
      <c r="M32" s="48">
        <f t="shared" si="7"/>
        <v>0.28800658300761162</v>
      </c>
    </row>
    <row r="33" spans="2:20" ht="14.4" x14ac:dyDescent="0.3">
      <c r="B33" s="35" t="s">
        <v>84</v>
      </c>
      <c r="C33" s="98">
        <f>C32+3.25</f>
        <v>122.29</v>
      </c>
      <c r="D33" s="8">
        <f>D32+J50-K50</f>
        <v>70863</v>
      </c>
      <c r="E33" s="8">
        <f>E32+J56-K56</f>
        <v>6553</v>
      </c>
      <c r="F33" s="97">
        <f t="shared" si="4"/>
        <v>9.2474210801123294E-2</v>
      </c>
      <c r="G33" s="98">
        <v>227.3</v>
      </c>
      <c r="H33" s="8">
        <v>11785</v>
      </c>
      <c r="I33" s="8">
        <v>9250</v>
      </c>
      <c r="J33" s="95">
        <f t="shared" si="5"/>
        <v>51.847778266608003</v>
      </c>
      <c r="K33" s="96">
        <f t="shared" si="6"/>
        <v>40.695116586009675</v>
      </c>
      <c r="L33" s="8"/>
      <c r="M33" s="48"/>
    </row>
    <row r="35" spans="2:20" ht="18" x14ac:dyDescent="0.35">
      <c r="B35" s="99" t="s">
        <v>85</v>
      </c>
      <c r="C35" s="3" t="s">
        <v>55</v>
      </c>
      <c r="D35" s="3" t="s">
        <v>56</v>
      </c>
      <c r="E35" s="3" t="s">
        <v>7</v>
      </c>
      <c r="F35" s="3" t="s">
        <v>57</v>
      </c>
      <c r="G35" s="3" t="s">
        <v>8</v>
      </c>
      <c r="H35" s="3" t="s">
        <v>58</v>
      </c>
      <c r="I35" s="3" t="s">
        <v>59</v>
      </c>
      <c r="J35" s="3" t="s">
        <v>60</v>
      </c>
      <c r="K35" s="3" t="s">
        <v>61</v>
      </c>
      <c r="L35" s="3" t="s">
        <v>62</v>
      </c>
      <c r="M35" s="3" t="s">
        <v>63</v>
      </c>
    </row>
    <row r="36" spans="2:20" ht="14.4" x14ac:dyDescent="0.3">
      <c r="B36" s="100" t="s">
        <v>86</v>
      </c>
      <c r="C36" s="101">
        <f t="shared" ref="C36:E36" si="8">(C32/C17)^(1/15)-1</f>
        <v>0.13346105495820471</v>
      </c>
      <c r="D36" s="101">
        <f t="shared" si="8"/>
        <v>0.17285256651709036</v>
      </c>
      <c r="E36" s="101">
        <f t="shared" si="8"/>
        <v>0.1403179766211331</v>
      </c>
      <c r="F36" s="102">
        <f>MEDIAN(F17:F32)</f>
        <v>0.10489617350864294</v>
      </c>
      <c r="G36" s="101">
        <f t="shared" ref="G36:I36" si="9">(G32/G17)^(1/15)-1</f>
        <v>7.827393885679057E-2</v>
      </c>
      <c r="H36" s="101">
        <f t="shared" si="9"/>
        <v>0.18330232927203527</v>
      </c>
      <c r="I36" s="101">
        <f t="shared" si="9"/>
        <v>0.25225331516432092</v>
      </c>
      <c r="J36" s="103">
        <f t="shared" ref="J36:K36" si="10">MEDIAN(J17:J32)</f>
        <v>30.269365979080103</v>
      </c>
      <c r="K36" s="103">
        <f t="shared" si="10"/>
        <v>20.039108910179884</v>
      </c>
      <c r="L36" s="104">
        <f>SUM(L17:L32)</f>
        <v>283</v>
      </c>
      <c r="M36" s="105">
        <f>MEDIAN(M17:M32)</f>
        <v>0.11153955939595467</v>
      </c>
    </row>
    <row r="37" spans="2:20" ht="14.4" x14ac:dyDescent="0.3">
      <c r="B37" s="100" t="s">
        <v>87</v>
      </c>
      <c r="C37" s="101">
        <f t="shared" ref="C37:E37" si="11">(C32/C22)^(1/10)-1</f>
        <v>0.11120935325939785</v>
      </c>
      <c r="D37" s="101">
        <f t="shared" si="11"/>
        <v>0.13334655418447583</v>
      </c>
      <c r="E37" s="101">
        <f t="shared" si="11"/>
        <v>0.12560414312882173</v>
      </c>
      <c r="F37" s="106">
        <f>MEDIAN(F22:F32)</f>
        <v>9.2646958421519765E-2</v>
      </c>
      <c r="G37" s="101">
        <f t="shared" ref="G37:I37" si="12">(G32/G22)^(1/10)-1</f>
        <v>0.12006527704868608</v>
      </c>
      <c r="H37" s="101">
        <f t="shared" si="12"/>
        <v>0.16977591228915379</v>
      </c>
      <c r="I37" s="101">
        <f t="shared" si="12"/>
        <v>0.17914224521972222</v>
      </c>
      <c r="J37" s="107">
        <f t="shared" ref="J37:K37" si="13">MEDIAN(J22:J32)</f>
        <v>41.750909826122118</v>
      </c>
      <c r="K37" s="107">
        <f t="shared" si="13"/>
        <v>29.372899698126105</v>
      </c>
      <c r="L37" s="104">
        <f>SUM(L22:L32)</f>
        <v>253</v>
      </c>
      <c r="M37" s="108">
        <f>MEDIAN(M22:M32)</f>
        <v>0.12254901960784315</v>
      </c>
      <c r="O37" s="109"/>
      <c r="P37" s="110"/>
    </row>
    <row r="38" spans="2:20" ht="14.4" x14ac:dyDescent="0.3">
      <c r="B38" s="100" t="s">
        <v>88</v>
      </c>
      <c r="C38" s="101">
        <f t="shared" ref="C38:E38" si="14">(C32/C27)^(1/5)-1</f>
        <v>6.9556472062257901E-2</v>
      </c>
      <c r="D38" s="101">
        <f t="shared" si="14"/>
        <v>0.13661533587252195</v>
      </c>
      <c r="E38" s="101">
        <f t="shared" si="14"/>
        <v>0.23556077137498099</v>
      </c>
      <c r="F38" s="111">
        <f>MEDIAN(F27:F32)</f>
        <v>0.1104415684995681</v>
      </c>
      <c r="G38" s="101">
        <f t="shared" ref="G38:I38" si="15">(G32/G27)^(1/5)-1</f>
        <v>0.22330519049632191</v>
      </c>
      <c r="H38" s="101">
        <f t="shared" si="15"/>
        <v>0.18577804481310922</v>
      </c>
      <c r="I38" s="101">
        <f t="shared" si="15"/>
        <v>0.17468798236426752</v>
      </c>
      <c r="J38" s="112">
        <f t="shared" ref="J38:K38" si="16">MEDIAN(J27:J32)</f>
        <v>37.897007298700203</v>
      </c>
      <c r="K38" s="112">
        <f t="shared" si="16"/>
        <v>25.743651074803605</v>
      </c>
      <c r="L38" s="104">
        <f>SUM(L27:L32)</f>
        <v>206.5</v>
      </c>
      <c r="M38" s="113">
        <f>MEDIAN(M27:M32)</f>
        <v>0.17232133100694969</v>
      </c>
      <c r="O38" s="109"/>
    </row>
    <row r="39" spans="2:20" ht="14.4" x14ac:dyDescent="0.3">
      <c r="B39" s="100" t="s">
        <v>89</v>
      </c>
      <c r="C39" s="101">
        <f t="shared" ref="C39:E39" si="17">(C32/C31)-1</f>
        <v>0.12620624408703884</v>
      </c>
      <c r="D39" s="101">
        <f t="shared" si="17"/>
        <v>0.12127010231028312</v>
      </c>
      <c r="E39" s="101">
        <f t="shared" si="17"/>
        <v>0.38044549576187658</v>
      </c>
      <c r="F39" s="114">
        <f>F32</f>
        <v>9.876177582219213E-2</v>
      </c>
      <c r="G39" s="101">
        <f t="shared" ref="G39:I39" si="18">(G32/G31)-1</f>
        <v>0.38434812325568157</v>
      </c>
      <c r="H39" s="101">
        <f t="shared" si="18"/>
        <v>0.34534764826175879</v>
      </c>
      <c r="I39" s="101">
        <f t="shared" si="18"/>
        <v>0.415551677331782</v>
      </c>
      <c r="J39" s="115">
        <f t="shared" ref="J39:M39" si="19">J32</f>
        <v>43.307961324830281</v>
      </c>
      <c r="K39" s="115">
        <f t="shared" si="19"/>
        <v>30.034972227936638</v>
      </c>
      <c r="L39" s="116">
        <f t="shared" si="19"/>
        <v>70</v>
      </c>
      <c r="M39" s="117">
        <f t="shared" si="19"/>
        <v>0.28800658300761162</v>
      </c>
    </row>
    <row r="41" spans="2:20" ht="18" x14ac:dyDescent="0.35">
      <c r="B41" s="118" t="s">
        <v>90</v>
      </c>
      <c r="C41" s="3" t="s">
        <v>55</v>
      </c>
      <c r="D41" s="119" t="s">
        <v>56</v>
      </c>
      <c r="E41" s="119" t="s">
        <v>7</v>
      </c>
      <c r="F41" s="120" t="s">
        <v>8</v>
      </c>
      <c r="G41" s="120" t="s">
        <v>91</v>
      </c>
      <c r="J41" s="121" t="s">
        <v>92</v>
      </c>
      <c r="K41" s="122" t="s">
        <v>93</v>
      </c>
      <c r="L41" s="122" t="s">
        <v>94</v>
      </c>
      <c r="M41" s="99" t="s">
        <v>95</v>
      </c>
      <c r="N41" s="99" t="s">
        <v>96</v>
      </c>
      <c r="O41" s="122" t="s">
        <v>97</v>
      </c>
      <c r="Q41" s="123" t="s">
        <v>98</v>
      </c>
      <c r="R41" s="123" t="s">
        <v>99</v>
      </c>
      <c r="S41" s="123" t="s">
        <v>100</v>
      </c>
      <c r="T41" s="123" t="s">
        <v>49</v>
      </c>
    </row>
    <row r="42" spans="2:20" ht="14.4" x14ac:dyDescent="0.3">
      <c r="B42" s="124" t="s">
        <v>101</v>
      </c>
      <c r="C42" s="125">
        <v>0.1</v>
      </c>
      <c r="D42" s="126">
        <v>0.13</v>
      </c>
      <c r="E42" s="126">
        <v>0.13</v>
      </c>
      <c r="F42" s="126">
        <v>0.13</v>
      </c>
      <c r="G42" s="126">
        <f>AVERAGE(F36:F39)</f>
        <v>0.10168661906298074</v>
      </c>
      <c r="J42" s="127" t="s">
        <v>6</v>
      </c>
      <c r="K42" s="128">
        <v>0.13</v>
      </c>
      <c r="L42" s="128">
        <v>0.12</v>
      </c>
      <c r="M42" s="128">
        <v>0.02</v>
      </c>
      <c r="N42" s="128">
        <v>-1.2999999999999999E-3</v>
      </c>
      <c r="O42" s="128">
        <v>0.05</v>
      </c>
      <c r="P42" s="129"/>
      <c r="Q42" s="130">
        <v>243.05</v>
      </c>
      <c r="R42" s="130">
        <f>O47</f>
        <v>227.31</v>
      </c>
      <c r="S42" s="130">
        <v>243</v>
      </c>
      <c r="T42" s="131">
        <f>46/1</f>
        <v>46</v>
      </c>
    </row>
    <row r="43" spans="2:20" ht="18" x14ac:dyDescent="0.35">
      <c r="B43" s="35" t="s">
        <v>102</v>
      </c>
      <c r="C43" s="125">
        <v>7.0000000000000007E-2</v>
      </c>
      <c r="D43" s="126">
        <v>0.05</v>
      </c>
      <c r="E43" s="125">
        <f>(E46/E32)-1</f>
        <v>-6.2550335570454862E-4</v>
      </c>
      <c r="F43" s="125">
        <v>0</v>
      </c>
      <c r="G43" s="126">
        <v>9.4E-2</v>
      </c>
      <c r="J43" s="127" t="s">
        <v>103</v>
      </c>
      <c r="K43" s="128">
        <v>0.39</v>
      </c>
      <c r="L43" s="128">
        <v>0.38</v>
      </c>
      <c r="M43" s="128">
        <v>0</v>
      </c>
      <c r="N43" s="128">
        <v>-0.15</v>
      </c>
      <c r="O43" s="128">
        <v>0</v>
      </c>
      <c r="P43" s="132"/>
      <c r="Q43" s="123" t="s">
        <v>104</v>
      </c>
      <c r="R43" s="123" t="s">
        <v>105</v>
      </c>
      <c r="S43" s="123" t="s">
        <v>106</v>
      </c>
      <c r="T43" s="133"/>
    </row>
    <row r="44" spans="2:20" ht="14.4" x14ac:dyDescent="0.3">
      <c r="B44" s="16"/>
      <c r="C44" s="16"/>
      <c r="D44" s="134"/>
      <c r="E44" s="16"/>
      <c r="F44" s="16"/>
      <c r="G44" s="16"/>
      <c r="J44" s="127" t="s">
        <v>91</v>
      </c>
      <c r="K44" s="135">
        <v>9.4E-2</v>
      </c>
      <c r="L44" s="135">
        <v>9.9000000000000005E-2</v>
      </c>
      <c r="M44" s="135">
        <v>9.4E-2</v>
      </c>
      <c r="N44" s="135">
        <v>7.4999999999999997E-2</v>
      </c>
      <c r="O44" s="135">
        <v>9.4E-2</v>
      </c>
      <c r="Q44" s="130">
        <f>C4/Q42</f>
        <v>40.111088253445793</v>
      </c>
      <c r="R44" s="130">
        <f ca="1">C3/R42</f>
        <v>48.941973516343317</v>
      </c>
      <c r="S44" s="130">
        <f ca="1">C3/S42</f>
        <v>45.781893004115226</v>
      </c>
      <c r="T44" s="133"/>
    </row>
    <row r="45" spans="2:20" ht="18" x14ac:dyDescent="0.35">
      <c r="B45" s="121" t="s">
        <v>107</v>
      </c>
      <c r="C45" s="3" t="s">
        <v>55</v>
      </c>
      <c r="D45" s="34" t="s">
        <v>56</v>
      </c>
      <c r="E45" s="34" t="s">
        <v>7</v>
      </c>
      <c r="F45" s="34" t="s">
        <v>91</v>
      </c>
      <c r="G45" s="34" t="s">
        <v>8</v>
      </c>
      <c r="H45" s="34" t="s">
        <v>108</v>
      </c>
      <c r="S45" s="109"/>
    </row>
    <row r="46" spans="2:20" ht="18" x14ac:dyDescent="0.35">
      <c r="B46" s="136" t="s">
        <v>109</v>
      </c>
      <c r="C46" s="137">
        <f t="shared" ref="C46:D46" si="20">FV(C43,1,0,-C32,0)</f>
        <v>127.37280000000001</v>
      </c>
      <c r="D46" s="137">
        <f t="shared" si="20"/>
        <v>74453.400000000009</v>
      </c>
      <c r="E46" s="137">
        <f>D46*G43</f>
        <v>6998.6196000000009</v>
      </c>
      <c r="F46" s="138">
        <v>9.4E-2</v>
      </c>
      <c r="G46" s="137">
        <f>FV(F43,1,0,-G32,0)</f>
        <v>243.05</v>
      </c>
      <c r="H46" s="139">
        <f t="shared" ref="H46:H48" si="21">G46*25</f>
        <v>6076.25</v>
      </c>
      <c r="J46" s="99" t="s">
        <v>110</v>
      </c>
      <c r="K46" s="140" t="s">
        <v>111</v>
      </c>
      <c r="L46" s="140" t="s">
        <v>112</v>
      </c>
      <c r="M46" s="99" t="s">
        <v>95</v>
      </c>
      <c r="N46" s="99" t="s">
        <v>113</v>
      </c>
      <c r="O46" s="140" t="s">
        <v>114</v>
      </c>
      <c r="S46" s="132"/>
    </row>
    <row r="47" spans="2:20" ht="14.4" x14ac:dyDescent="0.3">
      <c r="B47" s="136" t="s">
        <v>115</v>
      </c>
      <c r="C47" s="137">
        <f t="shared" ref="C47:D47" si="22">FV(C42,5,0,-C46,0)</f>
        <v>205.13516812800009</v>
      </c>
      <c r="D47" s="137">
        <f t="shared" si="22"/>
        <v>137175.56337849455</v>
      </c>
      <c r="E47" s="137">
        <f>D47*F47</f>
        <v>13991.907464606444</v>
      </c>
      <c r="F47" s="138">
        <v>0.10199999999999999</v>
      </c>
      <c r="G47" s="137">
        <f>(E47*G46)/E46</f>
        <v>485.91483801642772</v>
      </c>
      <c r="H47" s="139">
        <f t="shared" si="21"/>
        <v>12147.870950410694</v>
      </c>
      <c r="J47" s="141" t="s">
        <v>8</v>
      </c>
      <c r="K47" s="142">
        <v>61.66</v>
      </c>
      <c r="L47" s="142">
        <v>78.349999999999994</v>
      </c>
      <c r="M47" s="142">
        <v>58.87</v>
      </c>
      <c r="N47" s="142">
        <v>28.43</v>
      </c>
      <c r="O47" s="143">
        <f>SUM(K47:N47)</f>
        <v>227.31</v>
      </c>
    </row>
    <row r="48" spans="2:20" ht="14.4" x14ac:dyDescent="0.3">
      <c r="B48" s="136" t="s">
        <v>116</v>
      </c>
      <c r="C48" s="137">
        <f>FV(5%,5,0,-C47,0)</f>
        <v>261.81023290210419</v>
      </c>
      <c r="D48" s="137">
        <f t="shared" ref="D48:E48" si="23">FV(12%,5,0,-D47,0)</f>
        <v>241750.21325836444</v>
      </c>
      <c r="E48" s="137">
        <f t="shared" si="23"/>
        <v>24658.521752353172</v>
      </c>
      <c r="F48" s="138">
        <v>0.10199999999999999</v>
      </c>
      <c r="G48" s="137">
        <f>FV(12%,5,0,-G47,0)</f>
        <v>856.34797352172689</v>
      </c>
      <c r="H48" s="139">
        <f t="shared" si="21"/>
        <v>21408.69933804317</v>
      </c>
    </row>
    <row r="49" spans="9:22" ht="18" x14ac:dyDescent="0.35">
      <c r="I49" s="99" t="s">
        <v>117</v>
      </c>
      <c r="J49" s="99" t="s">
        <v>96</v>
      </c>
      <c r="K49" s="99" t="s">
        <v>118</v>
      </c>
      <c r="L49" s="3" t="s">
        <v>119</v>
      </c>
      <c r="N49" s="99" t="s">
        <v>117</v>
      </c>
      <c r="O49" s="99" t="s">
        <v>113</v>
      </c>
      <c r="P49" s="99" t="s">
        <v>120</v>
      </c>
      <c r="Q49" s="3" t="s">
        <v>119</v>
      </c>
      <c r="S49" s="99" t="s">
        <v>117</v>
      </c>
      <c r="T49" s="99" t="s">
        <v>95</v>
      </c>
      <c r="U49" s="99" t="s">
        <v>121</v>
      </c>
      <c r="V49" s="120" t="s">
        <v>119</v>
      </c>
    </row>
    <row r="50" spans="9:22" ht="14.4" x14ac:dyDescent="0.3">
      <c r="I50" s="4" t="s">
        <v>122</v>
      </c>
      <c r="J50" s="6">
        <v>33704</v>
      </c>
      <c r="K50" s="6">
        <v>33749</v>
      </c>
      <c r="L50" s="144">
        <f t="shared" ref="L50:L57" si="24">(J50/K50)-1</f>
        <v>-1.3333728406768053E-3</v>
      </c>
      <c r="M50" s="129"/>
      <c r="N50" s="4" t="s">
        <v>122</v>
      </c>
      <c r="O50" s="6">
        <v>15634</v>
      </c>
      <c r="P50" s="6">
        <v>16012</v>
      </c>
      <c r="Q50" s="101">
        <f t="shared" ref="Q50:Q58" si="25">(O50/P50)-1</f>
        <v>-2.3607294529103151E-2</v>
      </c>
      <c r="S50" s="145" t="s">
        <v>122</v>
      </c>
      <c r="T50" s="146">
        <v>18069</v>
      </c>
      <c r="U50" s="146">
        <v>17737</v>
      </c>
      <c r="V50" s="101">
        <v>1.8717934261712754E-2</v>
      </c>
    </row>
    <row r="51" spans="9:22" ht="14.4" x14ac:dyDescent="0.3">
      <c r="I51" s="8" t="s">
        <v>123</v>
      </c>
      <c r="J51" s="147">
        <f t="shared" ref="J51:K51" si="26">J50-(J63+J64+J65+J66+J68+J69+J71)</f>
        <v>5059</v>
      </c>
      <c r="K51" s="8">
        <f t="shared" si="26"/>
        <v>5602</v>
      </c>
      <c r="L51" s="101">
        <f t="shared" si="24"/>
        <v>-9.6929667975723E-2</v>
      </c>
      <c r="N51" s="4" t="s">
        <v>123</v>
      </c>
      <c r="O51" s="7">
        <v>1018</v>
      </c>
      <c r="P51" s="6">
        <v>1686</v>
      </c>
      <c r="Q51" s="101">
        <f t="shared" si="25"/>
        <v>-0.39620403321470932</v>
      </c>
      <c r="S51" s="145" t="s">
        <v>123</v>
      </c>
      <c r="T51" s="148">
        <v>3041</v>
      </c>
      <c r="U51" s="146">
        <v>3050</v>
      </c>
      <c r="V51" s="101">
        <v>-2.9508196721311775E-3</v>
      </c>
    </row>
    <row r="52" spans="9:22" ht="14.4" x14ac:dyDescent="0.3">
      <c r="I52" s="4" t="s">
        <v>124</v>
      </c>
      <c r="J52" s="6">
        <v>572</v>
      </c>
      <c r="K52" s="6">
        <v>444</v>
      </c>
      <c r="L52" s="101">
        <f t="shared" si="24"/>
        <v>0.28828828828828823</v>
      </c>
      <c r="N52" s="4" t="s">
        <v>124</v>
      </c>
      <c r="O52" s="6">
        <v>317</v>
      </c>
      <c r="P52" s="6">
        <v>234</v>
      </c>
      <c r="Q52" s="101">
        <f t="shared" si="25"/>
        <v>0.35470085470085477</v>
      </c>
      <c r="S52" s="145" t="s">
        <v>124</v>
      </c>
      <c r="T52" s="146">
        <v>255</v>
      </c>
      <c r="U52" s="146">
        <v>211</v>
      </c>
      <c r="V52" s="101">
        <v>0.20853080568720372</v>
      </c>
    </row>
    <row r="53" spans="9:22" ht="14.4" x14ac:dyDescent="0.3">
      <c r="I53" s="8" t="s">
        <v>125</v>
      </c>
      <c r="J53" s="147">
        <f t="shared" ref="J53:K53" si="27">J50-(J63+J64+J65+J66+J68+J69+J70+J71)</f>
        <v>4487</v>
      </c>
      <c r="K53" s="8">
        <f t="shared" si="27"/>
        <v>5158</v>
      </c>
      <c r="L53" s="101">
        <f t="shared" si="24"/>
        <v>-0.13008918185343155</v>
      </c>
      <c r="N53" s="4" t="s">
        <v>125</v>
      </c>
      <c r="O53" s="7">
        <v>1016</v>
      </c>
      <c r="P53" s="6">
        <v>1689</v>
      </c>
      <c r="Q53" s="101">
        <f t="shared" si="25"/>
        <v>-0.39846062759029011</v>
      </c>
      <c r="S53" s="145" t="s">
        <v>125</v>
      </c>
      <c r="T53" s="148">
        <v>2786</v>
      </c>
      <c r="U53" s="146">
        <v>2839</v>
      </c>
      <c r="V53" s="101">
        <v>-1.8668545262416347E-2</v>
      </c>
    </row>
    <row r="54" spans="9:22" ht="14.4" x14ac:dyDescent="0.3">
      <c r="I54" s="4" t="s">
        <v>126</v>
      </c>
      <c r="J54" s="6">
        <v>30966</v>
      </c>
      <c r="K54" s="6">
        <v>30140</v>
      </c>
      <c r="L54" s="101">
        <f t="shared" si="24"/>
        <v>2.740544127405431E-2</v>
      </c>
      <c r="N54" s="4" t="s">
        <v>126</v>
      </c>
      <c r="O54" s="6">
        <v>14837</v>
      </c>
      <c r="P54" s="6">
        <v>14493</v>
      </c>
      <c r="Q54" s="101">
        <f t="shared" si="25"/>
        <v>2.3735596494859568E-2</v>
      </c>
      <c r="S54" s="145" t="s">
        <v>126</v>
      </c>
      <c r="T54" s="146">
        <v>16128</v>
      </c>
      <c r="U54" s="146">
        <v>15647</v>
      </c>
      <c r="V54" s="101">
        <v>3.0740717070364854E-2</v>
      </c>
    </row>
    <row r="55" spans="9:22" ht="14.4" x14ac:dyDescent="0.3">
      <c r="I55" s="8" t="s">
        <v>127</v>
      </c>
      <c r="J55" s="8">
        <f t="shared" ref="J55:K55" si="28">J50-J54</f>
        <v>2738</v>
      </c>
      <c r="K55" s="8">
        <f t="shared" si="28"/>
        <v>3609</v>
      </c>
      <c r="L55" s="101">
        <f t="shared" si="24"/>
        <v>-0.24134109171515661</v>
      </c>
      <c r="N55" s="4" t="s">
        <v>127</v>
      </c>
      <c r="O55" s="6">
        <v>1016</v>
      </c>
      <c r="P55" s="6">
        <v>1689</v>
      </c>
      <c r="Q55" s="101">
        <f t="shared" si="25"/>
        <v>-0.39846062759029011</v>
      </c>
      <c r="S55" s="145" t="s">
        <v>127</v>
      </c>
      <c r="T55" s="146">
        <v>1941</v>
      </c>
      <c r="U55" s="146">
        <v>2090</v>
      </c>
      <c r="V55" s="101">
        <v>-7.1291866028708184E-2</v>
      </c>
    </row>
    <row r="56" spans="9:22" ht="14.4" x14ac:dyDescent="0.3">
      <c r="I56" s="4" t="s">
        <v>128</v>
      </c>
      <c r="J56" s="6">
        <v>2520</v>
      </c>
      <c r="K56" s="6">
        <v>2970</v>
      </c>
      <c r="L56" s="101">
        <f t="shared" si="24"/>
        <v>-0.15151515151515149</v>
      </c>
      <c r="M56" s="129"/>
      <c r="N56" s="4" t="s">
        <v>128</v>
      </c>
      <c r="O56" s="6">
        <v>825</v>
      </c>
      <c r="P56" s="6">
        <v>1280</v>
      </c>
      <c r="Q56" s="101">
        <f t="shared" si="25"/>
        <v>-0.35546875</v>
      </c>
      <c r="S56" s="145" t="s">
        <v>128</v>
      </c>
      <c r="T56" s="146">
        <v>1695</v>
      </c>
      <c r="U56" s="146">
        <v>1690</v>
      </c>
      <c r="V56" s="101">
        <v>2.9585798816567088E-3</v>
      </c>
    </row>
    <row r="57" spans="9:22" ht="14.4" x14ac:dyDescent="0.3">
      <c r="I57" s="4" t="s">
        <v>8</v>
      </c>
      <c r="J57" s="6">
        <v>87.32</v>
      </c>
      <c r="K57" s="6">
        <v>103.05</v>
      </c>
      <c r="L57" s="101">
        <f t="shared" si="24"/>
        <v>-0.15264434740417276</v>
      </c>
      <c r="N57" s="8" t="s">
        <v>8</v>
      </c>
      <c r="O57" s="8">
        <v>28.43</v>
      </c>
      <c r="P57" s="8">
        <v>44.46</v>
      </c>
      <c r="Q57" s="101">
        <f t="shared" si="25"/>
        <v>-0.36054880791722899</v>
      </c>
      <c r="S57" s="8" t="s">
        <v>8</v>
      </c>
      <c r="T57" s="8">
        <v>58.87</v>
      </c>
      <c r="U57" s="8">
        <v>58.57</v>
      </c>
      <c r="V57" s="101">
        <v>5.1220761481987065E-3</v>
      </c>
    </row>
    <row r="58" spans="9:22" ht="14.4" x14ac:dyDescent="0.3">
      <c r="I58" s="4" t="s">
        <v>129</v>
      </c>
      <c r="J58" s="149">
        <f t="shared" ref="J58:K58" si="29">J56/J50</f>
        <v>7.4768573463090432E-2</v>
      </c>
      <c r="K58" s="149">
        <f t="shared" si="29"/>
        <v>8.8002607484666207E-2</v>
      </c>
      <c r="L58" s="150">
        <f t="shared" ref="L58:L59" si="30">J58-K58</f>
        <v>-1.3234034021575775E-2</v>
      </c>
      <c r="N58" s="8" t="s">
        <v>129</v>
      </c>
      <c r="O58" s="150">
        <v>9.3807072887265489E-2</v>
      </c>
      <c r="P58" s="150">
        <v>9.5281050910526022E-2</v>
      </c>
      <c r="Q58" s="101">
        <f t="shared" si="25"/>
        <v>-1.5469791833474633E-2</v>
      </c>
      <c r="S58" s="8" t="s">
        <v>129</v>
      </c>
      <c r="T58" s="150">
        <v>9.3807072887265489E-2</v>
      </c>
      <c r="U58" s="150">
        <v>9.5281050910526022E-2</v>
      </c>
      <c r="V58" s="150">
        <v>-1.4739780232605332E-3</v>
      </c>
    </row>
    <row r="59" spans="9:22" ht="14.4" x14ac:dyDescent="0.3">
      <c r="I59" s="4" t="s">
        <v>41</v>
      </c>
      <c r="J59" s="5">
        <f t="shared" ref="J59:K59" si="31">(J50-J54+J52)/J52</f>
        <v>5.7867132867132867</v>
      </c>
      <c r="K59" s="5">
        <f t="shared" si="31"/>
        <v>9.128378378378379</v>
      </c>
      <c r="L59" s="151">
        <f t="shared" si="30"/>
        <v>-3.3416650916650923</v>
      </c>
      <c r="N59" s="8" t="s">
        <v>41</v>
      </c>
      <c r="O59" s="98">
        <v>8.6117647058823525</v>
      </c>
      <c r="P59" s="98">
        <v>10.90521327014218</v>
      </c>
      <c r="Q59" s="151">
        <v>-2.2934485642598279</v>
      </c>
      <c r="S59" s="8" t="s">
        <v>41</v>
      </c>
      <c r="T59" s="98">
        <v>8.6117647058823525</v>
      </c>
      <c r="U59" s="98">
        <v>10.90521327014218</v>
      </c>
      <c r="V59" s="151">
        <v>-2.2934485642598279</v>
      </c>
    </row>
    <row r="62" spans="9:22" ht="18" x14ac:dyDescent="0.35">
      <c r="I62" s="122" t="s">
        <v>130</v>
      </c>
      <c r="J62" s="99" t="s">
        <v>96</v>
      </c>
      <c r="K62" s="99" t="s">
        <v>118</v>
      </c>
      <c r="L62" s="120" t="s">
        <v>131</v>
      </c>
      <c r="M62" s="120" t="s">
        <v>119</v>
      </c>
      <c r="O62" s="30" t="s">
        <v>132</v>
      </c>
      <c r="P62" s="16"/>
      <c r="Q62" s="16"/>
      <c r="R62" s="16"/>
    </row>
    <row r="63" spans="9:22" ht="14.4" x14ac:dyDescent="0.3">
      <c r="I63" s="152" t="s">
        <v>133</v>
      </c>
      <c r="J63" s="152">
        <v>8331</v>
      </c>
      <c r="K63" s="152">
        <v>9266</v>
      </c>
      <c r="L63" s="153">
        <f t="shared" ref="L63:L71" si="32">J63/$J$73</f>
        <v>0.26906307528340279</v>
      </c>
      <c r="M63" s="153">
        <f t="shared" ref="M63:M71" si="33">(J63/K63)^(1/1)-1</f>
        <v>-0.10090654003885169</v>
      </c>
      <c r="O63" s="154" t="s">
        <v>134</v>
      </c>
      <c r="P63" s="154" t="s">
        <v>135</v>
      </c>
      <c r="Q63" s="154" t="s">
        <v>109</v>
      </c>
      <c r="R63" s="3" t="s">
        <v>119</v>
      </c>
    </row>
    <row r="64" spans="9:22" ht="14.4" x14ac:dyDescent="0.3">
      <c r="I64" s="152" t="s">
        <v>136</v>
      </c>
      <c r="J64" s="152">
        <v>7764</v>
      </c>
      <c r="K64" s="152">
        <v>7612</v>
      </c>
      <c r="L64" s="153">
        <f t="shared" si="32"/>
        <v>0.25075089623098534</v>
      </c>
      <c r="M64" s="153">
        <f t="shared" si="33"/>
        <v>1.9968470835522778E-2</v>
      </c>
      <c r="O64" s="4" t="s">
        <v>137</v>
      </c>
      <c r="P64" s="155">
        <v>51.1</v>
      </c>
      <c r="Q64" s="6">
        <v>60</v>
      </c>
      <c r="R64" s="156">
        <f t="shared" ref="R64:R67" si="34">(Q64/P64)-1</f>
        <v>0.17416829745596862</v>
      </c>
    </row>
    <row r="65" spans="9:18" ht="14.4" x14ac:dyDescent="0.3">
      <c r="I65" s="157" t="s">
        <v>138</v>
      </c>
      <c r="J65" s="158">
        <v>5337</v>
      </c>
      <c r="K65" s="158">
        <v>4908</v>
      </c>
      <c r="L65" s="153">
        <f t="shared" si="32"/>
        <v>0.17236701869973839</v>
      </c>
      <c r="M65" s="153">
        <f t="shared" si="33"/>
        <v>8.7408312958435097E-2</v>
      </c>
      <c r="O65" s="4" t="s">
        <v>139</v>
      </c>
      <c r="P65" s="155">
        <v>13.5</v>
      </c>
      <c r="Q65" s="5">
        <v>14.3</v>
      </c>
      <c r="R65" s="156">
        <f t="shared" si="34"/>
        <v>5.9259259259259345E-2</v>
      </c>
    </row>
    <row r="66" spans="9:18" ht="14.4" x14ac:dyDescent="0.3">
      <c r="I66" s="152" t="s">
        <v>140</v>
      </c>
      <c r="J66" s="152">
        <v>4758</v>
      </c>
      <c r="K66" s="152">
        <v>4312</v>
      </c>
      <c r="L66" s="153">
        <f t="shared" si="32"/>
        <v>0.15366728030229629</v>
      </c>
      <c r="M66" s="153">
        <f t="shared" si="33"/>
        <v>0.10343228200371057</v>
      </c>
      <c r="O66" s="4" t="s">
        <v>141</v>
      </c>
      <c r="P66" s="155">
        <v>4.8</v>
      </c>
      <c r="Q66" s="6">
        <v>18.5</v>
      </c>
      <c r="R66" s="156">
        <f t="shared" si="34"/>
        <v>2.854166666666667</v>
      </c>
    </row>
    <row r="67" spans="9:18" ht="14.4" x14ac:dyDescent="0.3">
      <c r="I67" s="152" t="s">
        <v>142</v>
      </c>
      <c r="J67" s="152">
        <v>1746</v>
      </c>
      <c r="K67" s="152">
        <v>1547</v>
      </c>
      <c r="L67" s="153">
        <f t="shared" si="32"/>
        <v>5.6389884701094857E-2</v>
      </c>
      <c r="M67" s="153">
        <f t="shared" si="33"/>
        <v>0.12863606981254039</v>
      </c>
      <c r="O67" s="4" t="s">
        <v>143</v>
      </c>
      <c r="P67" s="159">
        <v>30.6</v>
      </c>
      <c r="Q67" s="8">
        <v>7.2</v>
      </c>
      <c r="R67" s="156">
        <f t="shared" si="34"/>
        <v>-0.76470588235294112</v>
      </c>
    </row>
    <row r="68" spans="9:18" ht="14.4" x14ac:dyDescent="0.3">
      <c r="I68" s="152" t="s">
        <v>144</v>
      </c>
      <c r="J68" s="152">
        <v>1652</v>
      </c>
      <c r="K68" s="152">
        <v>1519</v>
      </c>
      <c r="L68" s="153">
        <f t="shared" si="32"/>
        <v>5.3354003165067984E-2</v>
      </c>
      <c r="M68" s="153">
        <f t="shared" si="33"/>
        <v>8.7557603686635899E-2</v>
      </c>
      <c r="O68" s="19"/>
      <c r="P68" s="160"/>
      <c r="Q68" s="19"/>
      <c r="R68" s="109"/>
    </row>
    <row r="69" spans="9:18" ht="14.4" x14ac:dyDescent="0.3">
      <c r="I69" s="157" t="s">
        <v>145</v>
      </c>
      <c r="J69" s="161">
        <v>913</v>
      </c>
      <c r="K69" s="152">
        <v>858</v>
      </c>
      <c r="L69" s="153">
        <f t="shared" si="32"/>
        <v>2.9486806833963118E-2</v>
      </c>
      <c r="M69" s="153">
        <f t="shared" si="33"/>
        <v>6.4102564102564097E-2</v>
      </c>
      <c r="O69" s="162" t="s">
        <v>146</v>
      </c>
      <c r="P69" s="163">
        <f t="shared" ref="P69:Q69" si="35">SUM(P64:P67)</f>
        <v>100</v>
      </c>
      <c r="Q69" s="162">
        <f t="shared" si="35"/>
        <v>100</v>
      </c>
      <c r="R69" s="164">
        <f>(Q69/P69)-1</f>
        <v>0</v>
      </c>
    </row>
    <row r="70" spans="9:18" ht="14.4" x14ac:dyDescent="0.3">
      <c r="I70" s="152" t="s">
        <v>147</v>
      </c>
      <c r="J70" s="152">
        <v>572</v>
      </c>
      <c r="K70" s="152">
        <v>444</v>
      </c>
      <c r="L70" s="153">
        <f t="shared" si="32"/>
        <v>1.8473662112844364E-2</v>
      </c>
      <c r="M70" s="153">
        <f t="shared" si="33"/>
        <v>0.28828828828828823</v>
      </c>
    </row>
    <row r="71" spans="9:18" ht="14.4" x14ac:dyDescent="0.3">
      <c r="I71" s="152" t="s">
        <v>148</v>
      </c>
      <c r="J71" s="152">
        <v>-110</v>
      </c>
      <c r="K71" s="152">
        <v>-328</v>
      </c>
      <c r="L71" s="153">
        <f t="shared" si="32"/>
        <v>-3.5526273293931465E-3</v>
      </c>
      <c r="M71" s="153">
        <f t="shared" si="33"/>
        <v>-0.66463414634146334</v>
      </c>
    </row>
    <row r="72" spans="9:18" ht="14.4" x14ac:dyDescent="0.3">
      <c r="I72" s="165"/>
      <c r="J72" s="165"/>
      <c r="K72" s="165"/>
      <c r="L72" s="165"/>
      <c r="M72" s="165"/>
    </row>
    <row r="73" spans="9:18" ht="14.4" x14ac:dyDescent="0.3">
      <c r="I73" s="166" t="s">
        <v>149</v>
      </c>
      <c r="J73" s="167">
        <f t="shared" ref="J73:K73" si="36">SUM(J63:J71)</f>
        <v>30963</v>
      </c>
      <c r="K73" s="167">
        <f t="shared" si="36"/>
        <v>30138</v>
      </c>
      <c r="L73" s="168">
        <f>J73/$J$73</f>
        <v>1</v>
      </c>
      <c r="M73" s="169">
        <f>(J73/K73)^(1/1)-1</f>
        <v>2.7374079235516602E-2</v>
      </c>
    </row>
    <row r="84" spans="2:14" ht="14.4" x14ac:dyDescent="0.3">
      <c r="B84" s="170" t="s">
        <v>150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</row>
    <row r="85" spans="2:14" ht="14.4" x14ac:dyDescent="0.3"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</row>
  </sheetData>
  <mergeCells count="2">
    <mergeCell ref="T42:T44"/>
    <mergeCell ref="B84:N85"/>
  </mergeCells>
  <conditionalFormatting sqref="C13:C31">
    <cfRule type="colorScale" priority="1">
      <colorScale>
        <cfvo type="min"/>
        <cfvo type="max"/>
        <color rgb="FFFFFFFF"/>
        <color rgb="FF57BB8A"/>
      </colorScale>
    </cfRule>
  </conditionalFormatting>
  <conditionalFormatting sqref="C35:C39 D36:D37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3:D31">
    <cfRule type="colorScale" priority="2">
      <colorScale>
        <cfvo type="min"/>
        <cfvo type="max"/>
        <color rgb="FFFFFFFF"/>
        <color rgb="FF57BB8A"/>
      </colorScale>
    </cfRule>
  </conditionalFormatting>
  <conditionalFormatting sqref="D35:D39 E38:E39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3:E31">
    <cfRule type="colorScale" priority="3">
      <colorScale>
        <cfvo type="min"/>
        <cfvo type="max"/>
        <color rgb="FFFFFFFF"/>
        <color rgb="FF57BB8A"/>
      </colorScale>
    </cfRule>
  </conditionalFormatting>
  <conditionalFormatting sqref="E35:E39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5:F39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3:G31">
    <cfRule type="colorScale" priority="4">
      <colorScale>
        <cfvo type="min"/>
        <cfvo type="max"/>
        <color rgb="FFFFFFFF"/>
        <color rgb="FF57BB8A"/>
      </colorScale>
    </cfRule>
  </conditionalFormatting>
  <conditionalFormatting sqref="G35:G39">
    <cfRule type="colorScale" priority="9">
      <colorScale>
        <cfvo type="min"/>
        <cfvo type="max"/>
        <color rgb="FFFFFFFF"/>
        <color rgb="FF57BB8A"/>
      </colorScale>
    </cfRule>
  </conditionalFormatting>
  <conditionalFormatting sqref="H13:H31">
    <cfRule type="colorScale" priority="5">
      <colorScale>
        <cfvo type="min"/>
        <cfvo type="max"/>
        <color rgb="FFFFFFFF"/>
        <color rgb="FF57BB8A"/>
      </colorScale>
    </cfRule>
  </conditionalFormatting>
  <conditionalFormatting sqref="H35:I39">
    <cfRule type="colorScale" priority="10">
      <colorScale>
        <cfvo type="min"/>
        <cfvo type="max"/>
        <color rgb="FFFFFFFF"/>
        <color rgb="FF57BB8A"/>
      </colorScale>
    </cfRule>
  </conditionalFormatting>
  <conditionalFormatting sqref="I13:I31">
    <cfRule type="colorScale" priority="6">
      <colorScale>
        <cfvo type="min"/>
        <cfvo type="max"/>
        <color rgb="FFFFFFFF"/>
        <color rgb="FF57BB8A"/>
      </colorScale>
    </cfRule>
  </conditionalFormatting>
  <conditionalFormatting sqref="J35:K39">
    <cfRule type="colorScale" priority="11">
      <colorScale>
        <cfvo type="min"/>
        <cfvo type="max"/>
        <color rgb="FFFFFFFF"/>
        <color rgb="FF57BB8A"/>
      </colorScale>
    </cfRule>
  </conditionalFormatting>
  <conditionalFormatting sqref="J42:N42">
    <cfRule type="colorScale" priority="13">
      <colorScale>
        <cfvo type="min"/>
        <cfvo type="max"/>
        <color rgb="FFFFFFFF"/>
        <color rgb="FF57BB8A"/>
      </colorScale>
    </cfRule>
  </conditionalFormatting>
  <conditionalFormatting sqref="J43:N43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4:N4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7:N47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4:L44 M44:M45 K47 L47:L49 Q48:Q49 V49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3:L31">
    <cfRule type="colorScale" priority="7">
      <colorScale>
        <cfvo type="min"/>
        <cfvo type="max"/>
        <color rgb="FFFFFFFF"/>
        <color rgb="FF57BB8A"/>
      </colorScale>
    </cfRule>
  </conditionalFormatting>
  <conditionalFormatting sqref="L49:L57 V49:V54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56:L75 V56">
    <cfRule type="colorScale" priority="15">
      <colorScale>
        <cfvo type="min"/>
        <cfvo type="max"/>
        <color rgb="FFFFFFFF"/>
        <color rgb="FF57BB8A"/>
      </colorScale>
    </cfRule>
  </conditionalFormatting>
  <conditionalFormatting sqref="M14:M33">
    <cfRule type="colorScale" priority="8">
      <colorScale>
        <cfvo type="min"/>
        <cfvo type="max"/>
        <color rgb="FFFFFFFF"/>
        <color rgb="FF57BB8A"/>
      </colorScale>
    </cfRule>
  </conditionalFormatting>
  <conditionalFormatting sqref="M35:M38">
    <cfRule type="colorScale" priority="12">
      <colorScale>
        <cfvo type="min"/>
        <cfvo type="max"/>
        <color rgb="FFFFFFFF"/>
        <color rgb="FF57BB8A"/>
      </colorScale>
    </cfRule>
  </conditionalFormatting>
  <conditionalFormatting sqref="M53:M7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42:S42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44:S44">
    <cfRule type="colorScale" priority="2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49:Q56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62:R67 R69:R70 R72:R73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4" r:id="rId1" xr:uid="{82E0A02B-1923-4AA3-AB08-6871C903564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0172-7764-4A67-9295-14D7C6ADB102}">
  <sheetPr>
    <outlinePr summaryBelow="0" summaryRight="0"/>
  </sheetPr>
  <dimension ref="A1:AI974"/>
  <sheetViews>
    <sheetView workbookViewId="0"/>
  </sheetViews>
  <sheetFormatPr defaultColWidth="14" defaultRowHeight="15" customHeight="1" x14ac:dyDescent="0.3"/>
  <cols>
    <col min="1" max="6" width="14" customWidth="1"/>
    <col min="17" max="17" width="22.6640625" customWidth="1"/>
    <col min="18" max="18" width="23.21875" customWidth="1"/>
  </cols>
  <sheetData>
    <row r="1" spans="1:6" ht="15.75" customHeight="1" x14ac:dyDescent="0.3"/>
    <row r="2" spans="1:6" ht="15.75" customHeight="1" x14ac:dyDescent="0.3"/>
    <row r="3" spans="1:6" ht="15.75" customHeight="1" x14ac:dyDescent="0.3">
      <c r="A3" s="172" t="s">
        <v>151</v>
      </c>
    </row>
    <row r="4" spans="1:6" ht="15.75" customHeight="1" x14ac:dyDescent="0.3">
      <c r="B4" s="172"/>
      <c r="C4" s="172"/>
      <c r="F4" s="173" t="s">
        <v>152</v>
      </c>
    </row>
    <row r="5" spans="1:6" ht="15.75" customHeight="1" x14ac:dyDescent="0.3">
      <c r="B5" s="174" t="s">
        <v>153</v>
      </c>
      <c r="C5" s="174" t="s">
        <v>154</v>
      </c>
    </row>
    <row r="6" spans="1:6" ht="15.75" customHeight="1" x14ac:dyDescent="0.3">
      <c r="B6" s="175" t="s">
        <v>155</v>
      </c>
      <c r="C6" s="175">
        <v>525</v>
      </c>
    </row>
    <row r="7" spans="1:6" ht="15.75" customHeight="1" x14ac:dyDescent="0.3">
      <c r="B7" s="175" t="s">
        <v>156</v>
      </c>
      <c r="C7" s="175">
        <v>1700</v>
      </c>
    </row>
    <row r="8" spans="1:6" ht="15.75" customHeight="1" x14ac:dyDescent="0.3">
      <c r="B8" s="175" t="s">
        <v>157</v>
      </c>
      <c r="C8" s="175">
        <v>225</v>
      </c>
    </row>
    <row r="9" spans="1:6" ht="15.75" customHeight="1" x14ac:dyDescent="0.3"/>
    <row r="10" spans="1:6" ht="15.75" customHeight="1" x14ac:dyDescent="0.3"/>
    <row r="11" spans="1:6" ht="15.75" customHeight="1" x14ac:dyDescent="0.3"/>
    <row r="12" spans="1:6" ht="15.75" customHeight="1" x14ac:dyDescent="0.3"/>
    <row r="13" spans="1:6" ht="15.75" customHeight="1" x14ac:dyDescent="0.3"/>
    <row r="14" spans="1:6" ht="15.75" customHeight="1" x14ac:dyDescent="0.3"/>
    <row r="15" spans="1:6" ht="15.75" customHeight="1" x14ac:dyDescent="0.3"/>
    <row r="16" spans="1:6" ht="15.75" customHeight="1" x14ac:dyDescent="0.3"/>
    <row r="17" spans="1:19" ht="15.75" customHeight="1" x14ac:dyDescent="0.3"/>
    <row r="18" spans="1:19" ht="15.75" customHeight="1" x14ac:dyDescent="0.3"/>
    <row r="19" spans="1:19" ht="15.75" customHeight="1" x14ac:dyDescent="0.3"/>
    <row r="20" spans="1:19" ht="15.75" customHeight="1" x14ac:dyDescent="0.3"/>
    <row r="21" spans="1:19" ht="15.75" customHeight="1" x14ac:dyDescent="0.3"/>
    <row r="22" spans="1:19" ht="15.75" customHeight="1" x14ac:dyDescent="0.3"/>
    <row r="23" spans="1:19" ht="15.75" customHeight="1" x14ac:dyDescent="0.3">
      <c r="C23" s="173"/>
      <c r="D23" s="173"/>
      <c r="E23" s="173"/>
    </row>
    <row r="24" spans="1:19" ht="15.75" customHeight="1" x14ac:dyDescent="0.3"/>
    <row r="25" spans="1:19" ht="15.75" customHeight="1" x14ac:dyDescent="0.3">
      <c r="A25" s="172" t="s">
        <v>158</v>
      </c>
    </row>
    <row r="26" spans="1:19" ht="15.75" customHeight="1" x14ac:dyDescent="0.3"/>
    <row r="27" spans="1:19" ht="15.75" customHeight="1" x14ac:dyDescent="0.3">
      <c r="B27" s="172" t="s">
        <v>159</v>
      </c>
      <c r="C27" s="172" t="s">
        <v>160</v>
      </c>
      <c r="F27" s="172" t="s">
        <v>159</v>
      </c>
      <c r="G27" s="172" t="s">
        <v>161</v>
      </c>
      <c r="J27" s="172" t="s">
        <v>159</v>
      </c>
      <c r="K27" s="172" t="s">
        <v>162</v>
      </c>
      <c r="M27" s="172" t="s">
        <v>159</v>
      </c>
      <c r="N27" s="172" t="s">
        <v>163</v>
      </c>
      <c r="P27" s="174" t="s">
        <v>159</v>
      </c>
      <c r="Q27" s="174" t="s">
        <v>164</v>
      </c>
      <c r="R27" s="174" t="s">
        <v>165</v>
      </c>
    </row>
    <row r="28" spans="1:19" ht="15.75" customHeight="1" x14ac:dyDescent="0.3">
      <c r="B28" s="145" t="s">
        <v>24</v>
      </c>
      <c r="C28" s="5">
        <f ca="1">IFERROR(__xludf.DUMMYFUNCTION("GOOGLEFINANCE(""NSE:""&amp;B28,""MARKETCAP"")/10000000"),320512.22445)</f>
        <v>320512.22444999998</v>
      </c>
      <c r="F28" s="145" t="s">
        <v>24</v>
      </c>
      <c r="G28" s="176">
        <v>70908</v>
      </c>
      <c r="J28" s="145" t="s">
        <v>24</v>
      </c>
      <c r="K28" s="176">
        <v>7004</v>
      </c>
      <c r="M28" s="175" t="s">
        <v>24</v>
      </c>
      <c r="N28" s="177">
        <v>0.14378853354795118</v>
      </c>
      <c r="P28" s="175" t="s">
        <v>24</v>
      </c>
      <c r="Q28" s="150">
        <v>-1.2999999999999999E-3</v>
      </c>
      <c r="R28" s="144">
        <v>-0.1515</v>
      </c>
      <c r="S28" s="132"/>
    </row>
    <row r="29" spans="1:19" ht="15.75" customHeight="1" x14ac:dyDescent="0.3">
      <c r="B29" s="145" t="s">
        <v>166</v>
      </c>
      <c r="C29" s="5">
        <f ca="1">IFERROR(__xludf.DUMMYFUNCTION("GOOGLEFINANCE(""NSE:""&amp;B29,""MARKETCAP"")/10000000"),174984.4224)</f>
        <v>174984.42240000001</v>
      </c>
      <c r="F29" s="145" t="s">
        <v>167</v>
      </c>
      <c r="G29" s="176">
        <v>33160</v>
      </c>
      <c r="J29" s="145" t="s">
        <v>167</v>
      </c>
      <c r="K29" s="176">
        <v>4738</v>
      </c>
      <c r="M29" s="175" t="s">
        <v>167</v>
      </c>
      <c r="N29" s="177">
        <v>8.3787908605924555E-2</v>
      </c>
      <c r="P29" s="175" t="s">
        <v>167</v>
      </c>
      <c r="Q29" s="150">
        <v>-1.9099999999999999E-2</v>
      </c>
      <c r="R29" s="144">
        <v>-0.42120000000000002</v>
      </c>
    </row>
    <row r="30" spans="1:19" ht="15.75" customHeight="1" x14ac:dyDescent="0.3">
      <c r="B30" s="145" t="s">
        <v>167</v>
      </c>
      <c r="C30" s="5">
        <f ca="1">IFERROR(__xludf.DUMMYFUNCTION("GOOGLEFINANCE(""NSE:""&amp;B30,""MARKETCAP"")/10000000"),121678.2268)</f>
        <v>121678.2268</v>
      </c>
      <c r="F30" s="145" t="s">
        <v>168</v>
      </c>
      <c r="G30" s="176">
        <v>20521</v>
      </c>
      <c r="J30" s="145" t="s">
        <v>168</v>
      </c>
      <c r="K30" s="176">
        <v>2396</v>
      </c>
      <c r="M30" s="175" t="s">
        <v>168</v>
      </c>
      <c r="N30" s="177">
        <v>0.11935329899769753</v>
      </c>
      <c r="P30" s="175" t="s">
        <v>168</v>
      </c>
      <c r="Q30" s="150">
        <v>-6.4299999999999996E-2</v>
      </c>
      <c r="R30" s="144">
        <v>-0.65129999999999999</v>
      </c>
    </row>
    <row r="31" spans="1:19" ht="15.75" customHeight="1" x14ac:dyDescent="0.3">
      <c r="B31" s="145" t="s">
        <v>168</v>
      </c>
      <c r="C31" s="5">
        <f ca="1">IFERROR(__xludf.DUMMYFUNCTION("GOOGLEFINANCE(""NSE:""&amp;B31,""MARKETCAP"")/10000000"),90009.903282)</f>
        <v>90009.903281999999</v>
      </c>
      <c r="F31" s="145" t="s">
        <v>169</v>
      </c>
      <c r="G31" s="176">
        <v>19959</v>
      </c>
      <c r="J31" s="145" t="s">
        <v>169</v>
      </c>
      <c r="K31" s="176">
        <v>2336</v>
      </c>
      <c r="M31" s="175" t="s">
        <v>169</v>
      </c>
      <c r="N31" s="177">
        <v>8.4554798008566801E-2</v>
      </c>
      <c r="P31" s="175" t="s">
        <v>169</v>
      </c>
      <c r="Q31" s="150">
        <v>1.38E-2</v>
      </c>
      <c r="R31" s="144">
        <v>-0.377</v>
      </c>
    </row>
    <row r="32" spans="1:19" ht="15.75" customHeight="1" x14ac:dyDescent="0.3">
      <c r="B32" s="145" t="s">
        <v>169</v>
      </c>
      <c r="C32" s="5">
        <f ca="1">IFERROR(__xludf.DUMMYFUNCTION("GOOGLEFINANCE(""NSE:""&amp;B32,""MARKETCAP"")/10000000"),39664.411467)</f>
        <v>39664.411466999998</v>
      </c>
      <c r="F32" s="145" t="s">
        <v>170</v>
      </c>
      <c r="G32" s="176">
        <v>14691</v>
      </c>
      <c r="J32" s="145" t="s">
        <v>170</v>
      </c>
      <c r="K32" s="176">
        <v>854</v>
      </c>
      <c r="M32" s="175" t="s">
        <v>170</v>
      </c>
      <c r="N32" s="177">
        <v>8.9334121966899271E-2</v>
      </c>
      <c r="P32" s="175" t="s">
        <v>170</v>
      </c>
      <c r="Q32" s="150">
        <v>-2.0899999999999998E-2</v>
      </c>
      <c r="R32" s="144">
        <v>-0.61329999999999996</v>
      </c>
    </row>
    <row r="33" spans="2:18" ht="15.75" customHeight="1" x14ac:dyDescent="0.3">
      <c r="B33" s="145" t="s">
        <v>170</v>
      </c>
      <c r="C33" s="5">
        <f ca="1">IFERROR(__xludf.DUMMYFUNCTION("GOOGLEFINANCE(""NSE:""&amp;B33,""MARKETCAP"")/10000000"),34193.9106273)</f>
        <v>34193.9106273</v>
      </c>
      <c r="F33" s="145" t="s">
        <v>171</v>
      </c>
      <c r="G33" s="176">
        <v>11556</v>
      </c>
      <c r="J33" s="145" t="s">
        <v>171</v>
      </c>
      <c r="K33" s="176">
        <v>790</v>
      </c>
      <c r="M33" s="175" t="s">
        <v>171</v>
      </c>
      <c r="N33" s="177">
        <v>0.13591101311777432</v>
      </c>
      <c r="P33" s="175" t="s">
        <v>171</v>
      </c>
      <c r="Q33" s="150">
        <v>-2.6800000000000001E-2</v>
      </c>
      <c r="R33" s="144">
        <v>-0.75</v>
      </c>
    </row>
    <row r="34" spans="2:18" ht="15.75" customHeight="1" x14ac:dyDescent="0.3">
      <c r="B34" s="145" t="s">
        <v>171</v>
      </c>
      <c r="C34" s="5">
        <f ca="1">IFERROR(__xludf.DUMMYFUNCTION("GOOGLEFINANCE(""NSE:""&amp;B34,""MARKETCAP"")/10000000"),32291.175112)</f>
        <v>32291.175112000001</v>
      </c>
      <c r="F34" s="145" t="s">
        <v>172</v>
      </c>
      <c r="G34" s="176">
        <v>9376</v>
      </c>
      <c r="J34" s="145" t="s">
        <v>172</v>
      </c>
      <c r="K34" s="176">
        <v>356</v>
      </c>
      <c r="M34" s="175" t="s">
        <v>172</v>
      </c>
      <c r="N34" s="177">
        <v>0.12221513344435553</v>
      </c>
      <c r="P34" s="175" t="s">
        <v>172</v>
      </c>
      <c r="Q34" s="178">
        <v>-0.12670000000000001</v>
      </c>
      <c r="R34" s="144">
        <v>-0.64300000000000002</v>
      </c>
    </row>
    <row r="35" spans="2:18" ht="15.75" customHeight="1" x14ac:dyDescent="0.3">
      <c r="B35" s="145" t="s">
        <v>172</v>
      </c>
      <c r="C35" s="5">
        <f ca="1">IFERROR(__xludf.DUMMYFUNCTION("GOOGLEFINANCE(""NSE:""&amp;B35,""MARKETCAP"")/10000000"),22743.133875)</f>
        <v>22743.133875</v>
      </c>
      <c r="F35" s="145" t="s">
        <v>173</v>
      </c>
      <c r="G35" s="176">
        <v>10733</v>
      </c>
      <c r="J35" s="145" t="s">
        <v>173</v>
      </c>
      <c r="K35" s="176">
        <v>147</v>
      </c>
      <c r="M35" s="175" t="s">
        <v>173</v>
      </c>
      <c r="N35" s="177">
        <v>0.10758726954949793</v>
      </c>
      <c r="P35" s="175" t="s">
        <v>173</v>
      </c>
      <c r="Q35" s="178">
        <v>-0.1183</v>
      </c>
      <c r="R35" s="101">
        <v>-56.67</v>
      </c>
    </row>
    <row r="36" spans="2:18" ht="15.75" customHeight="1" x14ac:dyDescent="0.3">
      <c r="B36" s="145" t="s">
        <v>173</v>
      </c>
      <c r="C36" s="5">
        <f ca="1">IFERROR(__xludf.DUMMYFUNCTION("GOOGLEFINANCE(""NSE:""&amp;B36,""MARKETCAP"")/10000000"),12105.8030559)</f>
        <v>12105.8030559</v>
      </c>
      <c r="D36" s="179" t="s">
        <v>174</v>
      </c>
      <c r="F36" s="145" t="s">
        <v>175</v>
      </c>
      <c r="G36" s="176">
        <v>9663</v>
      </c>
      <c r="J36" s="145" t="s">
        <v>175</v>
      </c>
      <c r="K36" s="176">
        <v>421</v>
      </c>
      <c r="M36" s="175" t="s">
        <v>175</v>
      </c>
      <c r="N36" s="177">
        <v>7.8754971628323567E-2</v>
      </c>
      <c r="P36" s="175" t="s">
        <v>175</v>
      </c>
      <c r="Q36" s="178">
        <v>-0.14580000000000001</v>
      </c>
      <c r="R36" s="101">
        <v>-1.43</v>
      </c>
    </row>
    <row r="37" spans="2:18" ht="15.75" customHeight="1" x14ac:dyDescent="0.3">
      <c r="B37" s="145" t="s">
        <v>176</v>
      </c>
      <c r="C37" s="180">
        <v>77557</v>
      </c>
      <c r="D37" s="179" t="s">
        <v>177</v>
      </c>
      <c r="F37" s="145" t="s">
        <v>178</v>
      </c>
      <c r="G37" s="176">
        <v>6788</v>
      </c>
      <c r="J37" s="145" t="s">
        <v>178</v>
      </c>
      <c r="K37" s="176">
        <v>488</v>
      </c>
      <c r="M37" s="175" t="s">
        <v>178</v>
      </c>
      <c r="N37" s="177">
        <v>0.1082314041154413</v>
      </c>
      <c r="P37" s="175" t="s">
        <v>178</v>
      </c>
      <c r="Q37" s="178">
        <v>-0.21609999999999999</v>
      </c>
      <c r="R37" s="101">
        <v>-1.1499999999999999</v>
      </c>
    </row>
    <row r="38" spans="2:18" ht="15.75" customHeight="1" x14ac:dyDescent="0.3">
      <c r="B38" s="145"/>
      <c r="C38" s="180"/>
      <c r="F38" s="145" t="s">
        <v>179</v>
      </c>
      <c r="G38" s="176">
        <v>7587</v>
      </c>
      <c r="H38" s="179"/>
      <c r="J38" s="145" t="s">
        <v>179</v>
      </c>
      <c r="K38" s="176">
        <v>162</v>
      </c>
      <c r="M38" s="175" t="s">
        <v>179</v>
      </c>
      <c r="N38" s="177">
        <v>5.4640252195051087E-2</v>
      </c>
      <c r="P38" s="175" t="s">
        <v>179</v>
      </c>
      <c r="Q38" s="178">
        <v>-8.2100000000000006E-2</v>
      </c>
      <c r="R38" s="101">
        <v>-7.03</v>
      </c>
    </row>
    <row r="39" spans="2:18" ht="15.75" customHeight="1" x14ac:dyDescent="0.3">
      <c r="B39" s="145"/>
      <c r="C39" s="180"/>
      <c r="F39" s="145"/>
      <c r="G39" s="176"/>
      <c r="H39" s="179"/>
      <c r="J39" s="145"/>
      <c r="K39" s="176"/>
      <c r="M39" s="175"/>
      <c r="N39" s="177"/>
    </row>
    <row r="40" spans="2:18" ht="15.75" customHeight="1" x14ac:dyDescent="0.3">
      <c r="B40" s="145"/>
      <c r="C40" s="180"/>
      <c r="F40" s="145"/>
      <c r="G40" s="176"/>
      <c r="J40" s="145" t="s">
        <v>180</v>
      </c>
      <c r="K40" s="176">
        <v>247</v>
      </c>
    </row>
    <row r="41" spans="2:18" ht="15.75" customHeight="1" x14ac:dyDescent="0.3">
      <c r="B41" s="145"/>
      <c r="C41" s="180"/>
      <c r="F41" s="145"/>
      <c r="G41" s="176"/>
      <c r="J41" s="145" t="s">
        <v>181</v>
      </c>
      <c r="K41" s="176">
        <v>122</v>
      </c>
    </row>
    <row r="42" spans="2:18" ht="15.75" customHeight="1" x14ac:dyDescent="0.3">
      <c r="B42" s="145"/>
      <c r="C42" s="180"/>
      <c r="F42" s="145"/>
      <c r="G42" s="176"/>
      <c r="J42" s="145" t="s">
        <v>182</v>
      </c>
      <c r="K42" s="176">
        <v>-194</v>
      </c>
    </row>
    <row r="43" spans="2:18" ht="15.75" customHeight="1" x14ac:dyDescent="0.3">
      <c r="B43" s="145"/>
      <c r="C43" s="180"/>
      <c r="F43" s="145"/>
      <c r="G43" s="176"/>
      <c r="J43" s="145" t="s">
        <v>183</v>
      </c>
      <c r="K43" s="176">
        <v>99</v>
      </c>
    </row>
    <row r="44" spans="2:18" ht="15.75" customHeight="1" x14ac:dyDescent="0.3">
      <c r="B44" s="145"/>
      <c r="C44" s="180"/>
      <c r="F44" s="145"/>
      <c r="G44" s="176"/>
      <c r="J44" s="145" t="s">
        <v>184</v>
      </c>
      <c r="K44" s="176">
        <v>8</v>
      </c>
    </row>
    <row r="45" spans="2:18" ht="15.75" customHeight="1" x14ac:dyDescent="0.3">
      <c r="B45" s="145"/>
      <c r="C45" s="180"/>
      <c r="F45" s="145"/>
      <c r="G45" s="176"/>
      <c r="J45" s="145" t="s">
        <v>185</v>
      </c>
      <c r="K45" s="176">
        <v>-325</v>
      </c>
    </row>
    <row r="46" spans="2:18" ht="15.75" customHeight="1" x14ac:dyDescent="0.3">
      <c r="B46" s="145"/>
      <c r="C46" s="180"/>
      <c r="F46" s="145"/>
      <c r="G46" s="176"/>
      <c r="J46" s="145" t="s">
        <v>186</v>
      </c>
      <c r="K46" s="176">
        <v>42</v>
      </c>
    </row>
    <row r="47" spans="2:18" ht="15.75" customHeight="1" x14ac:dyDescent="0.3">
      <c r="B47" s="145"/>
      <c r="C47" s="180"/>
      <c r="F47" s="145"/>
      <c r="G47" s="176"/>
      <c r="J47" s="145" t="s">
        <v>187</v>
      </c>
      <c r="K47" s="176">
        <v>17</v>
      </c>
    </row>
    <row r="48" spans="2:18" ht="15.75" customHeight="1" x14ac:dyDescent="0.3">
      <c r="B48" s="145"/>
      <c r="C48" s="180"/>
      <c r="F48" s="145"/>
      <c r="G48" s="176"/>
      <c r="J48" s="145" t="s">
        <v>188</v>
      </c>
      <c r="K48" s="176">
        <v>35</v>
      </c>
    </row>
    <row r="49" spans="1:11" ht="15.75" customHeight="1" x14ac:dyDescent="0.3">
      <c r="B49" s="145"/>
      <c r="C49" s="180"/>
      <c r="F49" s="145"/>
      <c r="G49" s="176"/>
      <c r="J49" s="145" t="s">
        <v>189</v>
      </c>
      <c r="K49" s="176">
        <v>58</v>
      </c>
    </row>
    <row r="50" spans="1:11" ht="15.75" customHeight="1" x14ac:dyDescent="0.3">
      <c r="B50" s="145"/>
      <c r="C50" s="180"/>
    </row>
    <row r="51" spans="1:11" ht="15.75" customHeight="1" x14ac:dyDescent="0.3">
      <c r="B51" s="181"/>
      <c r="C51" s="182"/>
      <c r="F51" s="181"/>
      <c r="G51" s="182"/>
      <c r="J51" s="181"/>
      <c r="K51" s="182"/>
    </row>
    <row r="52" spans="1:11" ht="15.75" customHeight="1" x14ac:dyDescent="0.3">
      <c r="B52" s="181" t="s">
        <v>149</v>
      </c>
      <c r="C52" s="180">
        <v>883986.77631659992</v>
      </c>
      <c r="D52" s="179">
        <f>C52*90%</f>
        <v>795588.09868493991</v>
      </c>
      <c r="F52" s="181" t="s">
        <v>149</v>
      </c>
      <c r="G52" s="176">
        <f>SUM(G28:G51)</f>
        <v>214942</v>
      </c>
      <c r="H52" s="179">
        <f>G52*90%</f>
        <v>193447.80000000002</v>
      </c>
      <c r="J52" s="181" t="s">
        <v>149</v>
      </c>
      <c r="K52" s="176">
        <f>SUM(K28:K51)</f>
        <v>19801</v>
      </c>
    </row>
    <row r="53" spans="1:11" ht="15.75" customHeight="1" x14ac:dyDescent="0.3"/>
    <row r="54" spans="1:11" ht="15.75" customHeight="1" x14ac:dyDescent="0.3"/>
    <row r="55" spans="1:11" ht="15.75" customHeight="1" x14ac:dyDescent="0.3">
      <c r="A55" s="172" t="s">
        <v>28</v>
      </c>
    </row>
    <row r="56" spans="1:11" ht="15.75" customHeight="1" x14ac:dyDescent="0.3"/>
    <row r="57" spans="1:11" ht="15.75" customHeight="1" x14ac:dyDescent="0.3">
      <c r="B57" s="174" t="s">
        <v>159</v>
      </c>
      <c r="C57" s="174" t="s">
        <v>190</v>
      </c>
      <c r="F57" s="174" t="s">
        <v>159</v>
      </c>
      <c r="G57" s="183" t="s">
        <v>191</v>
      </c>
      <c r="J57" s="174" t="s">
        <v>159</v>
      </c>
      <c r="K57" s="183" t="s">
        <v>192</v>
      </c>
    </row>
    <row r="58" spans="1:11" ht="15.75" customHeight="1" x14ac:dyDescent="0.3">
      <c r="B58" s="175" t="s">
        <v>24</v>
      </c>
      <c r="C58" s="178">
        <v>9.9000000000000005E-2</v>
      </c>
      <c r="F58" s="175" t="s">
        <v>24</v>
      </c>
      <c r="G58" s="184">
        <v>0.83004552352048555</v>
      </c>
      <c r="J58" s="145" t="s">
        <v>24</v>
      </c>
      <c r="K58" s="180">
        <v>22.388636758962033</v>
      </c>
    </row>
    <row r="59" spans="1:11" ht="15.75" customHeight="1" x14ac:dyDescent="0.3">
      <c r="B59" s="175" t="s">
        <v>167</v>
      </c>
      <c r="C59" s="178">
        <v>0.14299999999999999</v>
      </c>
      <c r="F59" s="175" t="s">
        <v>167</v>
      </c>
      <c r="G59" s="184">
        <v>1.8225300575013068</v>
      </c>
      <c r="J59" s="145" t="s">
        <v>167</v>
      </c>
      <c r="K59" s="180">
        <v>16.367208567686262</v>
      </c>
    </row>
    <row r="60" spans="1:11" ht="15.75" customHeight="1" x14ac:dyDescent="0.3">
      <c r="B60" s="175" t="s">
        <v>168</v>
      </c>
      <c r="C60" s="178">
        <v>0.11700000000000001</v>
      </c>
      <c r="F60" s="175" t="s">
        <v>168</v>
      </c>
      <c r="G60" s="184">
        <v>1.8125092856467537</v>
      </c>
      <c r="J60" s="145" t="s">
        <v>168</v>
      </c>
      <c r="K60" s="180">
        <v>33.382410934349096</v>
      </c>
    </row>
    <row r="61" spans="1:11" ht="15.75" customHeight="1" x14ac:dyDescent="0.3">
      <c r="B61" s="175" t="s">
        <v>169</v>
      </c>
      <c r="C61" s="178">
        <v>0.11700000000000001</v>
      </c>
      <c r="F61" s="175" t="s">
        <v>169</v>
      </c>
      <c r="G61" s="184">
        <v>1.4658537655847841</v>
      </c>
      <c r="J61" s="145" t="s">
        <v>169</v>
      </c>
      <c r="K61" s="180">
        <v>24.34867176947321</v>
      </c>
    </row>
    <row r="62" spans="1:11" ht="15.75" customHeight="1" x14ac:dyDescent="0.3">
      <c r="B62" s="175" t="s">
        <v>170</v>
      </c>
      <c r="C62" s="178">
        <v>5.8000000000000003E-2</v>
      </c>
      <c r="F62" s="175" t="s">
        <v>170</v>
      </c>
      <c r="G62" s="184">
        <v>1.7400087834870444</v>
      </c>
      <c r="J62" s="145" t="s">
        <v>170</v>
      </c>
      <c r="K62" s="180">
        <v>20.379615952732642</v>
      </c>
    </row>
    <row r="63" spans="1:11" ht="15.75" customHeight="1" x14ac:dyDescent="0.3">
      <c r="B63" s="175" t="s">
        <v>171</v>
      </c>
      <c r="C63" s="178">
        <v>6.8000000000000005E-2</v>
      </c>
      <c r="F63" s="175" t="s">
        <v>171</v>
      </c>
      <c r="G63" s="184">
        <v>1.2537124802527646</v>
      </c>
      <c r="J63" s="145" t="s">
        <v>171</v>
      </c>
      <c r="K63" s="180">
        <v>26.164147588352968</v>
      </c>
    </row>
    <row r="64" spans="1:11" ht="15.75" customHeight="1" x14ac:dyDescent="0.3">
      <c r="B64" s="175" t="s">
        <v>172</v>
      </c>
      <c r="C64" s="178">
        <v>3.7999999999999999E-2</v>
      </c>
      <c r="F64" s="175" t="s">
        <v>172</v>
      </c>
      <c r="G64" s="184">
        <v>0.55813130027773783</v>
      </c>
      <c r="J64" s="145" t="s">
        <v>172</v>
      </c>
      <c r="K64" s="180">
        <v>21.271306853009687</v>
      </c>
    </row>
    <row r="65" spans="2:11" ht="15.75" customHeight="1" x14ac:dyDescent="0.3">
      <c r="B65" s="175" t="s">
        <v>173</v>
      </c>
      <c r="C65" s="178">
        <v>1.4E-2</v>
      </c>
      <c r="F65" s="175" t="s">
        <v>173</v>
      </c>
      <c r="G65" s="184">
        <v>0.48481711463280291</v>
      </c>
      <c r="J65" s="145" t="s">
        <v>173</v>
      </c>
      <c r="K65" s="180">
        <v>24.678703003967506</v>
      </c>
    </row>
    <row r="66" spans="2:11" ht="15.75" customHeight="1" x14ac:dyDescent="0.3">
      <c r="B66" s="175" t="s">
        <v>175</v>
      </c>
      <c r="C66" s="178">
        <v>4.3999999999999997E-2</v>
      </c>
      <c r="F66" s="175" t="s">
        <v>175</v>
      </c>
      <c r="G66" s="184">
        <v>1.1522801302931596</v>
      </c>
      <c r="J66" s="145" t="s">
        <v>175</v>
      </c>
      <c r="K66" s="180">
        <v>19.759272057129696</v>
      </c>
    </row>
    <row r="67" spans="2:11" ht="15.75" customHeight="1" x14ac:dyDescent="0.3">
      <c r="B67" s="175" t="s">
        <v>178</v>
      </c>
      <c r="C67" s="178">
        <v>7.1999999999999995E-2</v>
      </c>
      <c r="F67" s="175" t="s">
        <v>178</v>
      </c>
      <c r="G67" s="184">
        <v>1.1486486486486487</v>
      </c>
      <c r="J67" s="145" t="s">
        <v>178</v>
      </c>
      <c r="K67" s="180">
        <v>8.3738955200744076</v>
      </c>
    </row>
    <row r="68" spans="2:11" ht="15.75" customHeight="1" x14ac:dyDescent="0.3">
      <c r="B68" s="175" t="s">
        <v>179</v>
      </c>
      <c r="C68" s="178">
        <v>2.1000000000000001E-2</v>
      </c>
      <c r="F68" s="175" t="s">
        <v>179</v>
      </c>
      <c r="G68" s="184">
        <v>0.78539214574129201</v>
      </c>
      <c r="J68" s="145" t="s">
        <v>179</v>
      </c>
      <c r="K68" s="180">
        <v>36.793091032608693</v>
      </c>
    </row>
    <row r="69" spans="2:11" ht="15.75" customHeight="1" x14ac:dyDescent="0.3">
      <c r="B69" s="175" t="s">
        <v>193</v>
      </c>
      <c r="C69" s="178">
        <v>-2.2289586305278174E-2</v>
      </c>
      <c r="F69" s="175" t="s">
        <v>193</v>
      </c>
      <c r="G69" s="184">
        <v>1.0976922408782046</v>
      </c>
      <c r="J69" s="145" t="s">
        <v>193</v>
      </c>
      <c r="K69" s="180">
        <v>55.426890156918695</v>
      </c>
    </row>
    <row r="70" spans="2:11" ht="15.75" customHeight="1" x14ac:dyDescent="0.3"/>
    <row r="71" spans="2:11" ht="15.75" customHeight="1" x14ac:dyDescent="0.3"/>
    <row r="72" spans="2:11" ht="15.75" customHeight="1" x14ac:dyDescent="0.3"/>
    <row r="73" spans="2:11" ht="15.75" customHeight="1" x14ac:dyDescent="0.3"/>
    <row r="74" spans="2:11" ht="15.75" customHeight="1" x14ac:dyDescent="0.3"/>
    <row r="75" spans="2:11" ht="15.75" customHeight="1" x14ac:dyDescent="0.3"/>
    <row r="76" spans="2:11" ht="15.75" customHeight="1" x14ac:dyDescent="0.3"/>
    <row r="77" spans="2:11" ht="15.75" customHeight="1" x14ac:dyDescent="0.3"/>
    <row r="78" spans="2:11" ht="15.75" customHeight="1" x14ac:dyDescent="0.3"/>
    <row r="79" spans="2:11" ht="15.75" customHeight="1" x14ac:dyDescent="0.3"/>
    <row r="80" spans="2:11" ht="15.75" customHeight="1" x14ac:dyDescent="0.3"/>
    <row r="81" spans="1:11" ht="15.75" customHeight="1" x14ac:dyDescent="0.3"/>
    <row r="82" spans="1:11" ht="15.75" customHeight="1" x14ac:dyDescent="0.3"/>
    <row r="83" spans="1:11" ht="15.75" customHeight="1" x14ac:dyDescent="0.3"/>
    <row r="84" spans="1:11" ht="15.75" customHeight="1" x14ac:dyDescent="0.3"/>
    <row r="85" spans="1:11" ht="15.75" customHeight="1" x14ac:dyDescent="0.3"/>
    <row r="86" spans="1:11" ht="15.75" customHeight="1" x14ac:dyDescent="0.3">
      <c r="A86" s="172" t="s">
        <v>29</v>
      </c>
    </row>
    <row r="87" spans="1:11" ht="15.75" customHeight="1" x14ac:dyDescent="0.3"/>
    <row r="88" spans="1:11" ht="15.75" customHeight="1" x14ac:dyDescent="0.3">
      <c r="B88" s="174" t="s">
        <v>159</v>
      </c>
      <c r="C88" s="174" t="s">
        <v>39</v>
      </c>
      <c r="F88" s="174" t="s">
        <v>159</v>
      </c>
      <c r="G88" s="174" t="s">
        <v>41</v>
      </c>
      <c r="J88" s="174" t="s">
        <v>159</v>
      </c>
      <c r="K88" s="185" t="s">
        <v>40</v>
      </c>
    </row>
    <row r="89" spans="1:11" ht="15.75" customHeight="1" x14ac:dyDescent="0.3">
      <c r="B89" s="175" t="s">
        <v>24</v>
      </c>
      <c r="C89" s="184">
        <v>0.17</v>
      </c>
      <c r="F89" s="175" t="s">
        <v>24</v>
      </c>
      <c r="G89" s="186">
        <v>75.431626526344203</v>
      </c>
      <c r="J89" s="175" t="s">
        <v>24</v>
      </c>
      <c r="K89" s="184">
        <v>0.40202785373067634</v>
      </c>
    </row>
    <row r="90" spans="1:11" ht="15.75" customHeight="1" x14ac:dyDescent="0.3">
      <c r="B90" s="175" t="s">
        <v>167</v>
      </c>
      <c r="C90" s="184">
        <v>0</v>
      </c>
      <c r="F90" s="175" t="s">
        <v>167</v>
      </c>
      <c r="G90" s="186">
        <v>221.38053097345133</v>
      </c>
      <c r="J90" s="175" t="s">
        <v>167</v>
      </c>
      <c r="K90" s="184">
        <v>0.24496065942300488</v>
      </c>
    </row>
    <row r="91" spans="1:11" ht="15.75" customHeight="1" x14ac:dyDescent="0.3">
      <c r="B91" s="175" t="s">
        <v>168</v>
      </c>
      <c r="C91" s="184">
        <v>7.0000000000000007E-2</v>
      </c>
      <c r="F91" s="175" t="s">
        <v>168</v>
      </c>
      <c r="G91" s="186">
        <v>64.139926428975656</v>
      </c>
      <c r="J91" s="175" t="s">
        <v>168</v>
      </c>
      <c r="K91" s="184">
        <v>0.26874806527549916</v>
      </c>
    </row>
    <row r="92" spans="1:11" ht="15.75" customHeight="1" x14ac:dyDescent="0.3">
      <c r="B92" s="175" t="s">
        <v>169</v>
      </c>
      <c r="C92" s="184">
        <v>0</v>
      </c>
      <c r="F92" s="175" t="s">
        <v>169</v>
      </c>
      <c r="G92" s="186">
        <v>249.79562720029645</v>
      </c>
      <c r="J92" s="175" t="s">
        <v>169</v>
      </c>
      <c r="K92" s="184">
        <v>0.33042814422651257</v>
      </c>
    </row>
    <row r="93" spans="1:11" ht="15.75" customHeight="1" x14ac:dyDescent="0.3">
      <c r="B93" s="175" t="s">
        <v>170</v>
      </c>
      <c r="C93" s="184">
        <v>0.28000000000000003</v>
      </c>
      <c r="F93" s="175" t="s">
        <v>170</v>
      </c>
      <c r="G93" s="186">
        <v>38.945652173913047</v>
      </c>
      <c r="J93" s="175" t="s">
        <v>170</v>
      </c>
      <c r="K93" s="184">
        <v>0.40900088028169013</v>
      </c>
    </row>
    <row r="94" spans="1:11" ht="15.75" customHeight="1" x14ac:dyDescent="0.3">
      <c r="B94" s="175" t="s">
        <v>171</v>
      </c>
      <c r="C94" s="184">
        <v>0.99</v>
      </c>
      <c r="F94" s="175" t="s">
        <v>171</v>
      </c>
      <c r="G94" s="186">
        <v>18.241071428571427</v>
      </c>
      <c r="J94" s="175" t="s">
        <v>171</v>
      </c>
      <c r="K94" s="184">
        <v>0.65110902391445702</v>
      </c>
    </row>
    <row r="95" spans="1:11" ht="15.75" customHeight="1" x14ac:dyDescent="0.3">
      <c r="B95" s="175" t="s">
        <v>172</v>
      </c>
      <c r="C95" s="184">
        <v>0.68</v>
      </c>
      <c r="F95" s="175" t="s">
        <v>172</v>
      </c>
      <c r="G95" s="186">
        <v>19.086036872945545</v>
      </c>
      <c r="J95" s="175" t="s">
        <v>172</v>
      </c>
      <c r="K95" s="184">
        <v>0.55033364993935086</v>
      </c>
    </row>
    <row r="96" spans="1:11" ht="15.75" customHeight="1" x14ac:dyDescent="0.3">
      <c r="B96" s="175" t="s">
        <v>173</v>
      </c>
      <c r="C96" s="184">
        <v>0.48</v>
      </c>
      <c r="F96" s="175" t="s">
        <v>173</v>
      </c>
      <c r="G96" s="186">
        <v>19.893260473588342</v>
      </c>
      <c r="J96" s="175" t="s">
        <v>173</v>
      </c>
      <c r="K96" s="184">
        <v>0.53754244643993054</v>
      </c>
    </row>
    <row r="97" spans="2:11" ht="15.75" customHeight="1" x14ac:dyDescent="0.3">
      <c r="B97" s="175" t="s">
        <v>175</v>
      </c>
      <c r="C97" s="184">
        <v>0.56999999999999995</v>
      </c>
      <c r="F97" s="175" t="s">
        <v>175</v>
      </c>
      <c r="G97" s="186">
        <v>22.34375</v>
      </c>
      <c r="J97" s="175" t="s">
        <v>175</v>
      </c>
      <c r="K97" s="184">
        <v>0.55827186512118021</v>
      </c>
    </row>
    <row r="98" spans="2:11" ht="15.75" customHeight="1" x14ac:dyDescent="0.3">
      <c r="B98" s="175" t="s">
        <v>178</v>
      </c>
      <c r="C98" s="184">
        <v>0.65</v>
      </c>
      <c r="F98" s="175" t="s">
        <v>178</v>
      </c>
      <c r="G98" s="186">
        <v>52.227272727272727</v>
      </c>
      <c r="J98" s="175" t="s">
        <v>178</v>
      </c>
      <c r="K98" s="184">
        <v>0.55977637614678899</v>
      </c>
    </row>
    <row r="99" spans="2:11" ht="15.75" customHeight="1" x14ac:dyDescent="0.3">
      <c r="B99" s="175" t="s">
        <v>179</v>
      </c>
      <c r="C99" s="184">
        <v>1.5</v>
      </c>
      <c r="F99" s="175" t="s">
        <v>179</v>
      </c>
      <c r="G99" s="186">
        <v>39.541707449700922</v>
      </c>
      <c r="J99" s="175" t="s">
        <v>179</v>
      </c>
      <c r="K99" s="184">
        <v>0.7451996572098144</v>
      </c>
    </row>
    <row r="100" spans="2:11" ht="15.75" customHeight="1" x14ac:dyDescent="0.3">
      <c r="B100" s="175" t="s">
        <v>193</v>
      </c>
      <c r="C100" s="184">
        <v>0.49936112343307343</v>
      </c>
      <c r="F100" s="175" t="s">
        <v>193</v>
      </c>
      <c r="G100" s="186">
        <v>23.70009277220208</v>
      </c>
      <c r="J100" s="175" t="s">
        <v>193</v>
      </c>
      <c r="K100" s="184">
        <v>0.49650477212502375</v>
      </c>
    </row>
    <row r="101" spans="2:11" ht="15.75" customHeight="1" x14ac:dyDescent="0.3"/>
    <row r="102" spans="2:11" ht="15.75" customHeight="1" x14ac:dyDescent="0.3"/>
    <row r="103" spans="2:11" ht="15.75" customHeight="1" x14ac:dyDescent="0.3"/>
    <row r="104" spans="2:11" ht="15.75" customHeight="1" x14ac:dyDescent="0.3"/>
    <row r="105" spans="2:11" ht="15.75" customHeight="1" x14ac:dyDescent="0.3"/>
    <row r="106" spans="2:11" ht="15.75" customHeight="1" x14ac:dyDescent="0.3"/>
    <row r="107" spans="2:11" ht="15.75" customHeight="1" x14ac:dyDescent="0.3"/>
    <row r="108" spans="2:11" ht="15.75" customHeight="1" x14ac:dyDescent="0.3"/>
    <row r="109" spans="2:11" ht="15.75" customHeight="1" x14ac:dyDescent="0.3"/>
    <row r="110" spans="2:11" ht="15.75" customHeight="1" x14ac:dyDescent="0.3"/>
    <row r="111" spans="2:11" ht="15.75" customHeight="1" x14ac:dyDescent="0.3"/>
    <row r="112" spans="2:11" ht="15.75" customHeight="1" x14ac:dyDescent="0.3"/>
    <row r="113" spans="1:4" ht="15.75" customHeight="1" x14ac:dyDescent="0.3"/>
    <row r="114" spans="1:4" ht="15.75" customHeight="1" x14ac:dyDescent="0.3"/>
    <row r="115" spans="1:4" ht="15.75" customHeight="1" x14ac:dyDescent="0.3"/>
    <row r="116" spans="1:4" ht="15.75" customHeight="1" x14ac:dyDescent="0.3">
      <c r="A116" s="172" t="s">
        <v>27</v>
      </c>
    </row>
    <row r="117" spans="1:4" ht="15.75" customHeight="1" x14ac:dyDescent="0.3"/>
    <row r="118" spans="1:4" ht="15.75" customHeight="1" x14ac:dyDescent="0.3">
      <c r="B118" s="174" t="s">
        <v>159</v>
      </c>
      <c r="C118" s="174" t="s">
        <v>42</v>
      </c>
      <c r="D118" s="174" t="s">
        <v>44</v>
      </c>
    </row>
    <row r="119" spans="1:4" ht="15.75" customHeight="1" x14ac:dyDescent="0.3">
      <c r="B119" s="175" t="s">
        <v>24</v>
      </c>
      <c r="C119" s="178">
        <v>9.0263691683569985E-2</v>
      </c>
      <c r="D119" s="178">
        <v>5.3973252758242808E-2</v>
      </c>
    </row>
    <row r="120" spans="1:4" ht="15.75" customHeight="1" x14ac:dyDescent="0.3">
      <c r="B120" s="175" t="s">
        <v>167</v>
      </c>
      <c r="C120" s="178">
        <v>7.5029773719730047E-2</v>
      </c>
      <c r="D120" s="178">
        <v>5.6650430872986136E-2</v>
      </c>
    </row>
    <row r="121" spans="1:4" ht="15.75" customHeight="1" x14ac:dyDescent="0.3">
      <c r="B121" s="175" t="s">
        <v>168</v>
      </c>
      <c r="C121" s="178">
        <v>6.4957334957693263E-2</v>
      </c>
      <c r="D121" s="178">
        <v>4.750017686236066E-2</v>
      </c>
    </row>
    <row r="122" spans="1:4" ht="15.75" customHeight="1" x14ac:dyDescent="0.3">
      <c r="B122" s="175" t="s">
        <v>169</v>
      </c>
      <c r="C122" s="178">
        <v>5.9706204992653104E-2</v>
      </c>
      <c r="D122" s="178">
        <v>3.9977594478122991E-2</v>
      </c>
    </row>
    <row r="123" spans="1:4" ht="15.75" customHeight="1" x14ac:dyDescent="0.3">
      <c r="B123" s="175" t="s">
        <v>170</v>
      </c>
      <c r="C123" s="178">
        <v>6.7391168571607027E-2</v>
      </c>
      <c r="D123" s="178">
        <v>3.9575997652582157E-2</v>
      </c>
    </row>
    <row r="124" spans="1:4" ht="15.75" customHeight="1" x14ac:dyDescent="0.3">
      <c r="B124" s="175" t="s">
        <v>171</v>
      </c>
      <c r="C124" s="178">
        <v>0.1163802029405674</v>
      </c>
      <c r="D124" s="178">
        <v>4.0604002600968137E-2</v>
      </c>
    </row>
    <row r="125" spans="1:4" ht="15.75" customHeight="1" x14ac:dyDescent="0.3">
      <c r="B125" s="175" t="s">
        <v>172</v>
      </c>
      <c r="C125" s="178">
        <v>4.4603476514280919E-2</v>
      </c>
      <c r="D125" s="178">
        <v>2.0056682484192588E-2</v>
      </c>
    </row>
    <row r="126" spans="1:4" ht="15.75" customHeight="1" x14ac:dyDescent="0.3">
      <c r="B126" s="175" t="s">
        <v>173</v>
      </c>
      <c r="C126" s="178">
        <v>1.6939620416985698E-3</v>
      </c>
      <c r="D126" s="178">
        <v>7.8338554162754094E-4</v>
      </c>
    </row>
    <row r="127" spans="1:4" ht="15.75" customHeight="1" x14ac:dyDescent="0.3">
      <c r="B127" s="175" t="s">
        <v>175</v>
      </c>
      <c r="C127" s="178">
        <v>6.3623349769365359E-3</v>
      </c>
      <c r="D127" s="178">
        <v>2.8099754127151387E-3</v>
      </c>
    </row>
    <row r="128" spans="1:4" ht="15.75" customHeight="1" x14ac:dyDescent="0.3">
      <c r="B128" s="175" t="s">
        <v>178</v>
      </c>
      <c r="C128" s="178">
        <v>0.1268041237113402</v>
      </c>
      <c r="D128" s="178">
        <v>5.2895642201834861E-2</v>
      </c>
    </row>
    <row r="129" spans="2:4" ht="15.75" customHeight="1" x14ac:dyDescent="0.3">
      <c r="B129" s="175" t="s">
        <v>179</v>
      </c>
      <c r="C129" s="178">
        <v>-0.11132619994752778</v>
      </c>
      <c r="D129" s="178">
        <v>-2.3645895930947958E-2</v>
      </c>
    </row>
    <row r="130" spans="2:4" ht="15.75" customHeight="1" x14ac:dyDescent="0.3">
      <c r="B130" s="175" t="s">
        <v>193</v>
      </c>
      <c r="C130" s="178">
        <v>-2.2091167597735745E-2</v>
      </c>
      <c r="D130" s="178">
        <v>-1.1122797463646248E-2</v>
      </c>
    </row>
    <row r="131" spans="2:4" ht="15.75" customHeight="1" x14ac:dyDescent="0.3"/>
    <row r="132" spans="2:4" ht="15.75" customHeight="1" x14ac:dyDescent="0.3"/>
    <row r="133" spans="2:4" ht="15.75" customHeight="1" x14ac:dyDescent="0.3"/>
    <row r="134" spans="2:4" ht="15.75" customHeight="1" x14ac:dyDescent="0.3"/>
    <row r="135" spans="2:4" ht="15.75" customHeight="1" x14ac:dyDescent="0.3"/>
    <row r="136" spans="2:4" ht="15.75" customHeight="1" x14ac:dyDescent="0.3"/>
    <row r="137" spans="2:4" ht="15.75" customHeight="1" x14ac:dyDescent="0.3"/>
    <row r="138" spans="2:4" ht="15.75" customHeight="1" x14ac:dyDescent="0.3"/>
    <row r="139" spans="2:4" ht="15.75" customHeight="1" x14ac:dyDescent="0.3"/>
    <row r="140" spans="2:4" ht="15.75" customHeight="1" x14ac:dyDescent="0.3"/>
    <row r="141" spans="2:4" ht="15.75" customHeight="1" x14ac:dyDescent="0.3"/>
    <row r="142" spans="2:4" ht="15.75" customHeight="1" x14ac:dyDescent="0.3"/>
    <row r="143" spans="2:4" ht="15.75" customHeight="1" x14ac:dyDescent="0.3"/>
    <row r="144" spans="2:4" ht="15.75" customHeight="1" x14ac:dyDescent="0.3"/>
    <row r="145" spans="1:35" ht="15.75" customHeight="1" x14ac:dyDescent="0.3"/>
    <row r="146" spans="1:35" ht="15.75" customHeight="1" x14ac:dyDescent="0.3">
      <c r="A146" s="172" t="s">
        <v>194</v>
      </c>
      <c r="B146" s="172" t="s">
        <v>159</v>
      </c>
      <c r="C146" s="172" t="s">
        <v>4</v>
      </c>
      <c r="D146" s="172" t="s">
        <v>195</v>
      </c>
      <c r="E146" s="172" t="s">
        <v>196</v>
      </c>
      <c r="F146" s="172" t="s">
        <v>197</v>
      </c>
      <c r="G146" s="172" t="s">
        <v>198</v>
      </c>
      <c r="H146" s="172" t="s">
        <v>199</v>
      </c>
      <c r="I146" s="172" t="s">
        <v>200</v>
      </c>
      <c r="J146" s="172" t="s">
        <v>201</v>
      </c>
      <c r="K146" s="172" t="s">
        <v>202</v>
      </c>
      <c r="L146" s="172" t="s">
        <v>203</v>
      </c>
      <c r="M146" s="172" t="s">
        <v>9</v>
      </c>
      <c r="N146" s="172" t="s">
        <v>204</v>
      </c>
      <c r="O146" s="172" t="s">
        <v>205</v>
      </c>
      <c r="P146" s="172" t="s">
        <v>206</v>
      </c>
      <c r="Q146" s="172" t="s">
        <v>207</v>
      </c>
      <c r="R146" s="172" t="s">
        <v>208</v>
      </c>
      <c r="S146" s="172" t="s">
        <v>209</v>
      </c>
      <c r="T146" s="172" t="s">
        <v>147</v>
      </c>
      <c r="U146" s="172" t="s">
        <v>210</v>
      </c>
      <c r="V146" s="172" t="s">
        <v>163</v>
      </c>
      <c r="W146" s="172" t="s">
        <v>211</v>
      </c>
      <c r="X146" s="172" t="s">
        <v>41</v>
      </c>
      <c r="Y146" s="172" t="s">
        <v>191</v>
      </c>
      <c r="Z146" s="172" t="s">
        <v>212</v>
      </c>
      <c r="AA146" s="172" t="s">
        <v>39</v>
      </c>
      <c r="AB146" s="172" t="s">
        <v>40</v>
      </c>
      <c r="AC146" s="172" t="s">
        <v>42</v>
      </c>
      <c r="AD146" s="172" t="s">
        <v>43</v>
      </c>
      <c r="AE146" s="172" t="s">
        <v>44</v>
      </c>
      <c r="AF146" s="172" t="s">
        <v>105</v>
      </c>
      <c r="AG146" s="172" t="s">
        <v>213</v>
      </c>
      <c r="AH146" s="172" t="s">
        <v>47</v>
      </c>
      <c r="AI146" s="172" t="s">
        <v>48</v>
      </c>
    </row>
    <row r="147" spans="1:35" ht="15.75" customHeight="1" x14ac:dyDescent="0.3">
      <c r="A147" s="187">
        <v>532538</v>
      </c>
      <c r="B147" s="188" t="s">
        <v>24</v>
      </c>
      <c r="C147" s="175">
        <f ca="1">IFERROR(__xludf.DUMMYFUNCTION("GOOGLEFINANCE(""bom:""&amp;A147,""price"")"),11121.1)</f>
        <v>11121.1</v>
      </c>
      <c r="D147" s="189">
        <f ca="1">IFERROR(__xludf.DUMMYFUNCTION("GOOGLEFINANCE(""bom:""&amp;A147,""marketcap"")/10000000"),320219.6856245)</f>
        <v>320219.68562449998</v>
      </c>
      <c r="E147" s="190">
        <v>20239</v>
      </c>
      <c r="F147" s="190">
        <v>24383</v>
      </c>
      <c r="G147" s="190">
        <v>93991</v>
      </c>
      <c r="H147" s="190">
        <v>37787</v>
      </c>
      <c r="I147" s="190">
        <v>288</v>
      </c>
      <c r="J147" s="190">
        <v>56202</v>
      </c>
      <c r="K147" s="190">
        <v>10318</v>
      </c>
      <c r="L147" s="190">
        <v>3879</v>
      </c>
      <c r="M147" s="190">
        <v>10</v>
      </c>
      <c r="N147" s="190"/>
      <c r="O147" s="190">
        <v>192</v>
      </c>
      <c r="P147" s="191">
        <v>0.32490000000000002</v>
      </c>
      <c r="Q147" s="175">
        <v>32304</v>
      </c>
      <c r="R147" s="175">
        <v>63239</v>
      </c>
      <c r="S147" s="175">
        <v>5073</v>
      </c>
      <c r="T147" s="190">
        <v>445</v>
      </c>
      <c r="U147" s="190">
        <v>30140</v>
      </c>
      <c r="V147" s="177">
        <v>0.14380000000000001</v>
      </c>
      <c r="W147" s="177">
        <v>8.0199999999999994E-2</v>
      </c>
      <c r="X147" s="189">
        <v>75</v>
      </c>
      <c r="Y147" s="184">
        <v>0.83</v>
      </c>
      <c r="Z147" s="189">
        <v>22</v>
      </c>
      <c r="AA147" s="184">
        <v>0.18</v>
      </c>
      <c r="AB147" s="184">
        <v>0.4</v>
      </c>
      <c r="AC147" s="177">
        <v>9.0300000000000005E-2</v>
      </c>
      <c r="AD147" s="189">
        <v>18</v>
      </c>
      <c r="AE147" s="177">
        <v>5.3999999999999999E-2</v>
      </c>
      <c r="AF147" s="189">
        <v>52</v>
      </c>
      <c r="AG147" s="177">
        <v>1.9300000000000001E-2</v>
      </c>
      <c r="AH147" s="192">
        <v>1951.46</v>
      </c>
      <c r="AI147" s="189">
        <v>5</v>
      </c>
    </row>
    <row r="148" spans="1:35" ht="15.75" customHeight="1" x14ac:dyDescent="0.3">
      <c r="A148" s="187">
        <v>500300</v>
      </c>
      <c r="B148" s="188" t="s">
        <v>166</v>
      </c>
      <c r="C148" s="175">
        <f ca="1">IFERROR(__xludf.DUMMYFUNCTION("GOOGLEFINANCE(""bom:""&amp;A148,""price"")"),2615.85)</f>
        <v>2615.85</v>
      </c>
      <c r="D148" s="189">
        <f ca="1">IFERROR(__xludf.DUMMYFUNCTION("GOOGLEFINANCE(""bom:""&amp;A148,""marketcap"")/10000000"),174984.4224)</f>
        <v>174984.42240000001</v>
      </c>
      <c r="E148" s="190">
        <v>77419</v>
      </c>
      <c r="F148" s="190">
        <v>77558</v>
      </c>
      <c r="G148" s="190">
        <v>371569</v>
      </c>
      <c r="H148" s="190">
        <v>240677</v>
      </c>
      <c r="I148" s="190">
        <v>132</v>
      </c>
      <c r="J148" s="190">
        <v>130893</v>
      </c>
      <c r="K148" s="190">
        <v>120068</v>
      </c>
      <c r="L148" s="190">
        <v>5944</v>
      </c>
      <c r="M148" s="190">
        <v>2</v>
      </c>
      <c r="N148" s="190"/>
      <c r="O148" s="190">
        <v>23</v>
      </c>
      <c r="P148" s="191">
        <v>0.16370000000000001</v>
      </c>
      <c r="Q148" s="175">
        <v>57338</v>
      </c>
      <c r="R148" s="175">
        <v>117627</v>
      </c>
      <c r="S148" s="175">
        <v>11078</v>
      </c>
      <c r="T148" s="190">
        <v>4258</v>
      </c>
      <c r="U148" s="190">
        <v>55562</v>
      </c>
      <c r="V148" s="177">
        <v>0.15459999999999999</v>
      </c>
      <c r="W148" s="177">
        <v>9.4200000000000006E-2</v>
      </c>
      <c r="X148" s="189">
        <v>16</v>
      </c>
      <c r="Y148" s="184">
        <v>1</v>
      </c>
      <c r="Z148" s="189">
        <v>18</v>
      </c>
      <c r="AA148" s="184">
        <v>0.92</v>
      </c>
      <c r="AB148" s="184">
        <v>0.65</v>
      </c>
      <c r="AC148" s="177">
        <v>8.4599999999999995E-2</v>
      </c>
      <c r="AD148" s="189">
        <v>84</v>
      </c>
      <c r="AE148" s="177">
        <v>2.98E-2</v>
      </c>
      <c r="AF148" s="189">
        <v>23</v>
      </c>
      <c r="AG148" s="177">
        <v>1.0699999999999999E-2</v>
      </c>
      <c r="AH148" s="192">
        <v>1987.74</v>
      </c>
      <c r="AI148" s="189">
        <v>1</v>
      </c>
    </row>
    <row r="149" spans="1:35" ht="15.75" customHeight="1" x14ac:dyDescent="0.3">
      <c r="A149" s="187">
        <v>500425</v>
      </c>
      <c r="B149" s="188" t="s">
        <v>167</v>
      </c>
      <c r="C149" s="175">
        <f ca="1">IFERROR(__xludf.DUMMYFUNCTION("GOOGLEFINANCE(""bom:""&amp;A149,""price"")"),493.45)</f>
        <v>493.45</v>
      </c>
      <c r="D149" s="189">
        <f ca="1">IFERROR(__xludf.DUMMYFUNCTION("GOOGLEFINANCE(""bom:""&amp;A149,""marketcap"")/10000000"),121678.2268)</f>
        <v>121678.2268</v>
      </c>
      <c r="E149" s="190">
        <v>20919</v>
      </c>
      <c r="F149" s="190">
        <v>11478</v>
      </c>
      <c r="G149" s="190">
        <v>53380</v>
      </c>
      <c r="H149" s="190">
        <v>13076</v>
      </c>
      <c r="I149" s="190">
        <v>397</v>
      </c>
      <c r="J149" s="190">
        <v>40304</v>
      </c>
      <c r="K149" s="190">
        <v>43</v>
      </c>
      <c r="L149" s="190">
        <v>1746</v>
      </c>
      <c r="M149" s="190">
        <v>2</v>
      </c>
      <c r="N149" s="190"/>
      <c r="O149" s="190">
        <v>11</v>
      </c>
      <c r="P149" s="191">
        <v>0.12839999999999999</v>
      </c>
      <c r="Q149" s="175">
        <v>26040</v>
      </c>
      <c r="R149" s="175">
        <v>38937</v>
      </c>
      <c r="S149" s="175">
        <v>3024</v>
      </c>
      <c r="T149" s="190">
        <v>113</v>
      </c>
      <c r="U149" s="190">
        <v>14034</v>
      </c>
      <c r="V149" s="177">
        <v>8.3799999999999999E-2</v>
      </c>
      <c r="W149" s="177">
        <v>7.7700000000000005E-2</v>
      </c>
      <c r="X149" s="189">
        <v>221</v>
      </c>
      <c r="Y149" s="184">
        <v>1.82</v>
      </c>
      <c r="Z149" s="189">
        <v>16</v>
      </c>
      <c r="AA149" s="184">
        <v>0</v>
      </c>
      <c r="AB149" s="184">
        <v>0.24</v>
      </c>
      <c r="AC149" s="177">
        <v>7.4999999999999997E-2</v>
      </c>
      <c r="AD149" s="189">
        <v>8</v>
      </c>
      <c r="AE149" s="177">
        <v>5.67E-2</v>
      </c>
      <c r="AF149" s="189">
        <v>52</v>
      </c>
      <c r="AG149" s="177">
        <v>1.9099999999999999E-2</v>
      </c>
      <c r="AH149" s="192">
        <v>203.04</v>
      </c>
      <c r="AI149" s="189">
        <v>3</v>
      </c>
    </row>
    <row r="150" spans="1:35" ht="15.75" customHeight="1" x14ac:dyDescent="0.3">
      <c r="A150" s="187">
        <v>500387</v>
      </c>
      <c r="B150" s="188" t="s">
        <v>168</v>
      </c>
      <c r="C150" s="175">
        <f ca="1">IFERROR(__xludf.DUMMYFUNCTION("GOOGLEFINANCE(""bom:""&amp;A150,""price"")"),24979.4)</f>
        <v>24979.4</v>
      </c>
      <c r="D150" s="189">
        <f ca="1">IFERROR(__xludf.DUMMYFUNCTION("GOOGLEFINANCE(""bom:""&amp;A150,""marketcap"")/10000000"),90406.1226925)</f>
        <v>90406.122692499994</v>
      </c>
      <c r="E150" s="190">
        <v>10736</v>
      </c>
      <c r="F150" s="190">
        <v>5923</v>
      </c>
      <c r="G150" s="190">
        <v>26716</v>
      </c>
      <c r="H150" s="190">
        <v>7180</v>
      </c>
      <c r="I150" s="190">
        <v>36</v>
      </c>
      <c r="J150" s="190">
        <v>19536</v>
      </c>
      <c r="K150" s="190">
        <v>1821</v>
      </c>
      <c r="L150" s="190">
        <v>1633</v>
      </c>
      <c r="M150" s="190">
        <v>10</v>
      </c>
      <c r="N150" s="190"/>
      <c r="O150" s="190">
        <v>525</v>
      </c>
      <c r="P150" s="191">
        <v>0.1152</v>
      </c>
      <c r="Q150" s="175">
        <v>10159</v>
      </c>
      <c r="R150" s="175">
        <v>17852</v>
      </c>
      <c r="S150" s="175">
        <v>1269</v>
      </c>
      <c r="T150" s="190">
        <v>141</v>
      </c>
      <c r="U150" s="190">
        <v>8927</v>
      </c>
      <c r="V150" s="177">
        <v>0.11940000000000001</v>
      </c>
      <c r="W150" s="177">
        <v>7.1099999999999997E-2</v>
      </c>
      <c r="X150" s="189">
        <v>64</v>
      </c>
      <c r="Y150" s="184">
        <v>1.81</v>
      </c>
      <c r="Z150" s="189">
        <v>33</v>
      </c>
      <c r="AA150" s="184">
        <v>0.09</v>
      </c>
      <c r="AB150" s="184">
        <v>0.27</v>
      </c>
      <c r="AC150" s="177">
        <v>6.5000000000000002E-2</v>
      </c>
      <c r="AD150" s="189">
        <v>35</v>
      </c>
      <c r="AE150" s="177">
        <v>4.7500000000000001E-2</v>
      </c>
      <c r="AF150" s="189">
        <v>54</v>
      </c>
      <c r="AG150" s="177">
        <v>1.8700000000000001E-2</v>
      </c>
      <c r="AH150" s="192">
        <v>5414.61</v>
      </c>
      <c r="AI150" s="189">
        <v>5</v>
      </c>
    </row>
    <row r="151" spans="1:35" ht="15.75" customHeight="1" x14ac:dyDescent="0.3">
      <c r="A151" s="187">
        <v>500410</v>
      </c>
      <c r="B151" s="188" t="s">
        <v>169</v>
      </c>
      <c r="C151" s="175">
        <f ca="1">IFERROR(__xludf.DUMMYFUNCTION("GOOGLEFINANCE(""bom:""&amp;A151,""price"")"),2113.5)</f>
        <v>2113.5</v>
      </c>
      <c r="D151" s="189">
        <f ca="1">IFERROR(__xludf.DUMMYFUNCTION("GOOGLEFINANCE(""bom:""&amp;A151,""marketcap"")/10000000"),39664.411467)</f>
        <v>39664.411466999998</v>
      </c>
      <c r="E151" s="190">
        <v>9352</v>
      </c>
      <c r="F151" s="190">
        <v>6380</v>
      </c>
      <c r="G151" s="190">
        <v>22137</v>
      </c>
      <c r="H151" s="190">
        <v>7315</v>
      </c>
      <c r="I151" s="190">
        <v>188</v>
      </c>
      <c r="J151" s="190">
        <v>14823</v>
      </c>
      <c r="K151" s="190">
        <v>0</v>
      </c>
      <c r="L151" s="190">
        <v>1482</v>
      </c>
      <c r="M151" s="190">
        <v>10</v>
      </c>
      <c r="N151" s="190"/>
      <c r="O151" s="190">
        <v>64</v>
      </c>
      <c r="P151" s="191">
        <v>5.33E-2</v>
      </c>
      <c r="Q151" s="175">
        <v>14801</v>
      </c>
      <c r="R151" s="175">
        <v>22210</v>
      </c>
      <c r="S151" s="175">
        <v>885</v>
      </c>
      <c r="T151" s="190">
        <v>54</v>
      </c>
      <c r="U151" s="190">
        <v>8783</v>
      </c>
      <c r="V151" s="177">
        <v>8.4599999999999995E-2</v>
      </c>
      <c r="W151" s="177">
        <v>3.9800000000000002E-2</v>
      </c>
      <c r="X151" s="189">
        <v>250</v>
      </c>
      <c r="Y151" s="184">
        <v>1.47</v>
      </c>
      <c r="Z151" s="189">
        <v>24</v>
      </c>
      <c r="AA151" s="184">
        <v>0</v>
      </c>
      <c r="AB151" s="184">
        <v>0.33</v>
      </c>
      <c r="AC151" s="177">
        <v>5.9700000000000003E-2</v>
      </c>
      <c r="AD151" s="189">
        <v>5</v>
      </c>
      <c r="AE151" s="177">
        <v>0.04</v>
      </c>
      <c r="AF151" s="189">
        <v>39</v>
      </c>
      <c r="AG151" s="177">
        <v>2.53E-2</v>
      </c>
      <c r="AH151" s="192">
        <v>788.48</v>
      </c>
      <c r="AI151" s="189">
        <v>3</v>
      </c>
    </row>
    <row r="152" spans="1:35" ht="15.75" customHeight="1" x14ac:dyDescent="0.3">
      <c r="A152" s="187">
        <v>542216</v>
      </c>
      <c r="B152" s="188" t="s">
        <v>170</v>
      </c>
      <c r="C152" s="175">
        <f ca="1">IFERROR(__xludf.DUMMYFUNCTION("GOOGLEFINANCE(""bom:""&amp;A152,""price"")"),1822.05)</f>
        <v>1822.05</v>
      </c>
      <c r="D152" s="189">
        <f ca="1">IFERROR(__xludf.DUMMYFUNCTION("GOOGLEFINANCE(""bom:""&amp;A152,""marketcap"")/10000000"),34136.7026)</f>
        <v>34136.702599999997</v>
      </c>
      <c r="E152" s="190">
        <v>7924</v>
      </c>
      <c r="F152" s="190">
        <v>4554</v>
      </c>
      <c r="G152" s="190">
        <v>27264</v>
      </c>
      <c r="H152" s="190">
        <v>11151</v>
      </c>
      <c r="I152" s="190">
        <v>38</v>
      </c>
      <c r="J152" s="190">
        <v>16011</v>
      </c>
      <c r="K152" s="190">
        <v>5273</v>
      </c>
      <c r="L152" s="190">
        <v>756</v>
      </c>
      <c r="M152" s="190">
        <v>2</v>
      </c>
      <c r="N152" s="190"/>
      <c r="O152" s="190">
        <v>10</v>
      </c>
      <c r="P152" s="191">
        <v>4.8099999999999997E-2</v>
      </c>
      <c r="Q152" s="175">
        <v>8827</v>
      </c>
      <c r="R152" s="175">
        <v>13540</v>
      </c>
      <c r="S152" s="175">
        <v>1079</v>
      </c>
      <c r="T152" s="190">
        <v>184</v>
      </c>
      <c r="U152" s="190">
        <v>6558</v>
      </c>
      <c r="V152" s="177">
        <v>8.9300000000000004E-2</v>
      </c>
      <c r="W152" s="177">
        <v>7.9699999999999993E-2</v>
      </c>
      <c r="X152" s="189">
        <v>39</v>
      </c>
      <c r="Y152" s="184">
        <v>1.74</v>
      </c>
      <c r="Z152" s="189">
        <v>20</v>
      </c>
      <c r="AA152" s="184">
        <v>0.33</v>
      </c>
      <c r="AB152" s="184">
        <v>0.41</v>
      </c>
      <c r="AC152" s="177">
        <v>6.7400000000000002E-2</v>
      </c>
      <c r="AD152" s="189">
        <v>28</v>
      </c>
      <c r="AE152" s="177">
        <v>3.9600000000000003E-2</v>
      </c>
      <c r="AF152" s="189">
        <v>221</v>
      </c>
      <c r="AG152" s="177">
        <v>4.4999999999999997E-3</v>
      </c>
      <c r="AH152" s="192">
        <v>842.68</v>
      </c>
      <c r="AI152" s="189">
        <v>3</v>
      </c>
    </row>
    <row r="153" spans="1:35" ht="15.75" customHeight="1" x14ac:dyDescent="0.3">
      <c r="A153" s="187">
        <v>532644</v>
      </c>
      <c r="B153" s="188" t="s">
        <v>171</v>
      </c>
      <c r="C153" s="175">
        <f ca="1">IFERROR(__xludf.DUMMYFUNCTION("GOOGLEFINANCE(""bom:""&amp;A153,""price"")"),4191.5)</f>
        <v>4191.5</v>
      </c>
      <c r="D153" s="189">
        <f ca="1">IFERROR(__xludf.DUMMYFUNCTION("GOOGLEFINANCE(""bom:""&amp;A153,""marketcap"")/10000000"),32291.175112)</f>
        <v>32291.175112000001</v>
      </c>
      <c r="E153" s="190">
        <v>3968</v>
      </c>
      <c r="F153" s="190">
        <v>3165</v>
      </c>
      <c r="G153" s="190">
        <v>13841</v>
      </c>
      <c r="H153" s="190">
        <v>9012</v>
      </c>
      <c r="I153" s="190">
        <v>77</v>
      </c>
      <c r="J153" s="190">
        <v>4829</v>
      </c>
      <c r="K153" s="190">
        <v>5054</v>
      </c>
      <c r="L153" s="190">
        <v>645</v>
      </c>
      <c r="M153" s="190">
        <v>10</v>
      </c>
      <c r="N153" s="190"/>
      <c r="O153" s="190">
        <v>73</v>
      </c>
      <c r="P153" s="191">
        <v>3.7999999999999999E-2</v>
      </c>
      <c r="Q153" s="175">
        <v>4758</v>
      </c>
      <c r="R153" s="175">
        <v>8998</v>
      </c>
      <c r="S153" s="175">
        <v>562</v>
      </c>
      <c r="T153" s="190">
        <v>224</v>
      </c>
      <c r="U153" s="190">
        <v>5136</v>
      </c>
      <c r="V153" s="177">
        <v>0.13589999999999999</v>
      </c>
      <c r="W153" s="177">
        <v>6.25E-2</v>
      </c>
      <c r="X153" s="189">
        <v>18</v>
      </c>
      <c r="Y153" s="184">
        <v>1.25</v>
      </c>
      <c r="Z153" s="189">
        <v>26</v>
      </c>
      <c r="AA153" s="184">
        <v>1.05</v>
      </c>
      <c r="AB153" s="184">
        <v>0.65</v>
      </c>
      <c r="AC153" s="177">
        <v>0.1164</v>
      </c>
      <c r="AD153" s="189">
        <v>7</v>
      </c>
      <c r="AE153" s="177">
        <v>4.0599999999999997E-2</v>
      </c>
      <c r="AF153" s="189">
        <v>60</v>
      </c>
      <c r="AG153" s="177">
        <v>1.67E-2</v>
      </c>
      <c r="AH153" s="192">
        <v>627.14</v>
      </c>
      <c r="AI153" s="189">
        <v>7</v>
      </c>
    </row>
    <row r="154" spans="1:35" ht="15.75" customHeight="1" x14ac:dyDescent="0.3">
      <c r="A154" s="187">
        <v>500260</v>
      </c>
      <c r="B154" s="188" t="s">
        <v>172</v>
      </c>
      <c r="C154" s="175">
        <f ca="1">IFERROR(__xludf.DUMMYFUNCTION("GOOGLEFINANCE(""bom:""&amp;A154,""price"")"),960.8)</f>
        <v>960.8</v>
      </c>
      <c r="D154" s="189">
        <f ca="1">IFERROR(__xludf.DUMMYFUNCTION("GOOGLEFINANCE(""bom:""&amp;A154,""marketcap"")/10000000"),22743.133875)</f>
        <v>22743.133875</v>
      </c>
      <c r="E154" s="190">
        <v>2018</v>
      </c>
      <c r="F154" s="190">
        <v>3615</v>
      </c>
      <c r="G154" s="190">
        <v>15656</v>
      </c>
      <c r="H154" s="190">
        <v>8616</v>
      </c>
      <c r="I154" s="190">
        <v>24</v>
      </c>
      <c r="J154" s="190">
        <v>7040</v>
      </c>
      <c r="K154" s="190">
        <v>5044</v>
      </c>
      <c r="L154" s="190">
        <v>475</v>
      </c>
      <c r="M154" s="190">
        <v>1</v>
      </c>
      <c r="N154" s="190"/>
      <c r="O154" s="190">
        <v>17</v>
      </c>
      <c r="P154" s="191">
        <v>2.63E-2</v>
      </c>
      <c r="Q154" s="175">
        <v>4583</v>
      </c>
      <c r="R154" s="175">
        <v>8157</v>
      </c>
      <c r="S154" s="175">
        <v>314</v>
      </c>
      <c r="T154" s="190">
        <v>210</v>
      </c>
      <c r="U154" s="190">
        <v>4361</v>
      </c>
      <c r="V154" s="177">
        <v>0.1222</v>
      </c>
      <c r="W154" s="177">
        <v>3.85E-2</v>
      </c>
      <c r="X154" s="189">
        <v>19</v>
      </c>
      <c r="Y154" s="184">
        <v>0.56000000000000005</v>
      </c>
      <c r="Z154" s="189">
        <v>21</v>
      </c>
      <c r="AA154" s="184">
        <v>0.72</v>
      </c>
      <c r="AB154" s="184">
        <v>0.55000000000000004</v>
      </c>
      <c r="AC154" s="177">
        <v>4.4600000000000001E-2</v>
      </c>
      <c r="AD154" s="189">
        <v>13</v>
      </c>
      <c r="AE154" s="177">
        <v>2.01E-2</v>
      </c>
      <c r="AF154" s="189">
        <v>58</v>
      </c>
      <c r="AG154" s="177">
        <v>1.72E-2</v>
      </c>
      <c r="AH154" s="192">
        <v>297.92</v>
      </c>
      <c r="AI154" s="189">
        <v>3</v>
      </c>
    </row>
    <row r="155" spans="1:35" ht="15.75" customHeight="1" x14ac:dyDescent="0.3">
      <c r="A155" s="187">
        <v>543334</v>
      </c>
      <c r="B155" s="188" t="s">
        <v>173</v>
      </c>
      <c r="C155" s="175">
        <f ca="1">IFERROR(__xludf.DUMMYFUNCTION("GOOGLEFINANCE(""bom:""&amp;A155,""price"")"),339.9)</f>
        <v>339.9</v>
      </c>
      <c r="D155" s="189">
        <f ca="1">IFERROR(__xludf.DUMMYFUNCTION("GOOGLEFINANCE(""bom:""&amp;A155,""marketcap"")/10000000"),12105.8030559)</f>
        <v>12105.8030559</v>
      </c>
      <c r="E155" s="190">
        <v>2702</v>
      </c>
      <c r="F155" s="190">
        <v>5574</v>
      </c>
      <c r="G155" s="190">
        <v>19148</v>
      </c>
      <c r="H155" s="190">
        <v>10293</v>
      </c>
      <c r="I155" s="190">
        <v>357</v>
      </c>
      <c r="J155" s="190">
        <v>8855</v>
      </c>
      <c r="K155" s="190">
        <v>4880</v>
      </c>
      <c r="L155" s="190">
        <v>716</v>
      </c>
      <c r="M155" s="190">
        <v>10</v>
      </c>
      <c r="N155" s="190"/>
      <c r="O155" s="190">
        <v>5</v>
      </c>
      <c r="P155" s="191">
        <v>1.44E-2</v>
      </c>
      <c r="Q155" s="175">
        <v>6351</v>
      </c>
      <c r="R155" s="175">
        <v>10586</v>
      </c>
      <c r="S155" s="175">
        <v>15</v>
      </c>
      <c r="T155" s="190">
        <v>275</v>
      </c>
      <c r="U155" s="190">
        <v>5400</v>
      </c>
      <c r="V155" s="177">
        <v>0.1076</v>
      </c>
      <c r="W155" s="177">
        <v>1.4E-3</v>
      </c>
      <c r="X155" s="189">
        <v>20</v>
      </c>
      <c r="Y155" s="184">
        <v>0.48</v>
      </c>
      <c r="Z155" s="189">
        <v>25</v>
      </c>
      <c r="AA155" s="184">
        <v>0.55000000000000004</v>
      </c>
      <c r="AB155" s="184">
        <v>0.54</v>
      </c>
      <c r="AC155" s="177">
        <v>1.6999999999999999E-3</v>
      </c>
      <c r="AD155" s="189">
        <v>0</v>
      </c>
      <c r="AE155" s="177">
        <v>8.0000000000000004E-4</v>
      </c>
      <c r="AF155" s="189">
        <v>71</v>
      </c>
      <c r="AG155" s="177">
        <v>1.41E-2</v>
      </c>
      <c r="AH155" s="192">
        <v>247.93</v>
      </c>
      <c r="AI155" s="189">
        <v>1</v>
      </c>
    </row>
    <row r="156" spans="1:35" ht="15.75" customHeight="1" x14ac:dyDescent="0.3">
      <c r="A156" s="187">
        <v>500335</v>
      </c>
      <c r="B156" s="188" t="s">
        <v>175</v>
      </c>
      <c r="C156" s="175">
        <f ca="1">IFERROR(__xludf.DUMMYFUNCTION("GOOGLEFINANCE(""bom:""&amp;A156,""price"")"),1137.25)</f>
        <v>1137.25</v>
      </c>
      <c r="D156" s="189">
        <f ca="1">IFERROR(__xludf.DUMMYFUNCTION("GOOGLEFINANCE(""bom:""&amp;A156,""marketcap"")/10000000"),8757.8176942)</f>
        <v>8757.8176941999991</v>
      </c>
      <c r="E156" s="190">
        <v>2830</v>
      </c>
      <c r="F156" s="190">
        <v>2456</v>
      </c>
      <c r="G156" s="190">
        <v>14235</v>
      </c>
      <c r="H156" s="190">
        <v>7947</v>
      </c>
      <c r="I156" s="190">
        <v>77</v>
      </c>
      <c r="J156" s="190">
        <v>6287</v>
      </c>
      <c r="K156" s="190">
        <v>3991</v>
      </c>
      <c r="L156" s="190">
        <v>470</v>
      </c>
      <c r="M156" s="190">
        <v>10</v>
      </c>
      <c r="N156" s="190"/>
      <c r="O156" s="190">
        <v>18</v>
      </c>
      <c r="P156" s="191">
        <v>1.3299999999999999E-2</v>
      </c>
      <c r="Q156" s="175">
        <v>5943</v>
      </c>
      <c r="R156" s="175">
        <v>8682</v>
      </c>
      <c r="S156" s="175">
        <v>40</v>
      </c>
      <c r="T156" s="190">
        <v>192</v>
      </c>
      <c r="U156" s="190">
        <v>4584</v>
      </c>
      <c r="V156" s="177">
        <v>7.8799999999999995E-2</v>
      </c>
      <c r="W156" s="177">
        <v>4.5999999999999999E-3</v>
      </c>
      <c r="X156" s="189">
        <v>22</v>
      </c>
      <c r="Y156" s="184">
        <v>1.1499999999999999</v>
      </c>
      <c r="Z156" s="189">
        <v>20</v>
      </c>
      <c r="AA156" s="184">
        <v>0.63</v>
      </c>
      <c r="AB156" s="184">
        <v>0.56000000000000005</v>
      </c>
      <c r="AC156" s="177">
        <v>6.4000000000000003E-3</v>
      </c>
      <c r="AD156" s="189">
        <v>1</v>
      </c>
      <c r="AE156" s="177">
        <v>2.8E-3</v>
      </c>
      <c r="AF156" s="189">
        <v>86</v>
      </c>
      <c r="AG156" s="177">
        <v>1.1599999999999999E-2</v>
      </c>
      <c r="AH156" s="192">
        <v>816.49</v>
      </c>
      <c r="AI156" s="189">
        <v>2</v>
      </c>
    </row>
    <row r="157" spans="1:35" ht="15.75" customHeight="1" x14ac:dyDescent="0.3">
      <c r="A157" s="187">
        <v>500380</v>
      </c>
      <c r="B157" s="188" t="s">
        <v>178</v>
      </c>
      <c r="C157" s="175">
        <f ca="1">IFERROR(__xludf.DUMMYFUNCTION("GOOGLEFINANCE(""bom:""&amp;A157,""price"")"),775.25)</f>
        <v>775.25</v>
      </c>
      <c r="D157" s="189">
        <f ca="1">IFERROR(__xludf.DUMMYFUNCTION("GOOGLEFINANCE(""bom:""&amp;A157,""marketcap"")/10000000"),9125.3085)</f>
        <v>9125.3084999999992</v>
      </c>
      <c r="E157" s="190">
        <v>1955</v>
      </c>
      <c r="F157" s="190">
        <v>1702</v>
      </c>
      <c r="G157" s="190">
        <v>6976</v>
      </c>
      <c r="H157" s="190">
        <v>3905</v>
      </c>
      <c r="I157" s="190">
        <v>58</v>
      </c>
      <c r="J157" s="190">
        <v>2910</v>
      </c>
      <c r="K157" s="190">
        <v>1974</v>
      </c>
      <c r="L157" s="190">
        <v>148</v>
      </c>
      <c r="M157" s="190">
        <v>5</v>
      </c>
      <c r="N157" s="190"/>
      <c r="O157" s="190">
        <v>28</v>
      </c>
      <c r="P157" s="191">
        <v>1.21E-2</v>
      </c>
      <c r="Q157" s="175">
        <v>3859</v>
      </c>
      <c r="R157" s="175">
        <v>6451</v>
      </c>
      <c r="S157" s="175">
        <v>369</v>
      </c>
      <c r="T157" s="190">
        <v>66</v>
      </c>
      <c r="U157" s="190">
        <v>3070</v>
      </c>
      <c r="V157" s="177">
        <v>0.1082</v>
      </c>
      <c r="W157" s="177">
        <v>5.7200000000000001E-2</v>
      </c>
      <c r="X157" s="189">
        <v>52</v>
      </c>
      <c r="Y157" s="184">
        <v>1.1499999999999999</v>
      </c>
      <c r="Z157" s="189">
        <v>8</v>
      </c>
      <c r="AA157" s="184">
        <v>0.68</v>
      </c>
      <c r="AB157" s="184">
        <v>0.56000000000000005</v>
      </c>
      <c r="AC157" s="177">
        <v>0.1268</v>
      </c>
      <c r="AD157" s="189">
        <v>6</v>
      </c>
      <c r="AE157" s="177">
        <v>5.2900000000000003E-2</v>
      </c>
      <c r="AF157" s="189">
        <v>32</v>
      </c>
      <c r="AG157" s="177">
        <v>3.0800000000000001E-2</v>
      </c>
      <c r="AH157" s="192">
        <v>250.86</v>
      </c>
      <c r="AI157" s="189">
        <v>4</v>
      </c>
    </row>
    <row r="158" spans="1:35" ht="15.75" customHeight="1" x14ac:dyDescent="0.3">
      <c r="A158" s="187">
        <v>500338</v>
      </c>
      <c r="B158" s="188" t="s">
        <v>179</v>
      </c>
      <c r="C158" s="175">
        <f ca="1">IFERROR(__xludf.DUMMYFUNCTION("GOOGLEFINANCE(""bom:""&amp;A158,""price"")"),182.25)</f>
        <v>182.25</v>
      </c>
      <c r="D158" s="189">
        <f ca="1">IFERROR(__xludf.DUMMYFUNCTION("GOOGLEFINANCE(""bom:""&amp;A158,""marketcap"")/10000000"),9161.0883)</f>
        <v>9161.0882999999994</v>
      </c>
      <c r="E158" s="190">
        <v>2562</v>
      </c>
      <c r="F158" s="190">
        <v>3262</v>
      </c>
      <c r="G158" s="190">
        <v>6640</v>
      </c>
      <c r="H158" s="190">
        <v>4948</v>
      </c>
      <c r="I158" s="190">
        <v>503</v>
      </c>
      <c r="J158" s="190">
        <v>1410</v>
      </c>
      <c r="K158" s="190">
        <v>1296</v>
      </c>
      <c r="L158" s="190">
        <v>742</v>
      </c>
      <c r="M158" s="190">
        <v>10</v>
      </c>
      <c r="N158" s="190"/>
      <c r="O158" s="190">
        <v>3</v>
      </c>
      <c r="P158" s="191">
        <v>9.7999999999999997E-3</v>
      </c>
      <c r="Q158" s="175">
        <v>5641</v>
      </c>
      <c r="R158" s="175">
        <v>7360</v>
      </c>
      <c r="S158" s="175">
        <v>-157</v>
      </c>
      <c r="T158" s="190">
        <v>92</v>
      </c>
      <c r="U158" s="190">
        <v>3816</v>
      </c>
      <c r="V158" s="177">
        <v>5.4600000000000003E-2</v>
      </c>
      <c r="W158" s="177">
        <v>-2.1299999999999999E-2</v>
      </c>
      <c r="X158" s="189">
        <v>40</v>
      </c>
      <c r="Y158" s="184">
        <v>0.79</v>
      </c>
      <c r="Z158" s="189">
        <v>37</v>
      </c>
      <c r="AA158" s="184">
        <v>0.92</v>
      </c>
      <c r="AB158" s="184">
        <v>0.75</v>
      </c>
      <c r="AC158" s="177">
        <v>-0.1113</v>
      </c>
      <c r="AD158" s="189">
        <v>0</v>
      </c>
      <c r="AE158" s="177">
        <v>-2.3599999999999999E-2</v>
      </c>
      <c r="AF158" s="189">
        <v>58</v>
      </c>
      <c r="AG158" s="177">
        <v>1.7100000000000001E-2</v>
      </c>
      <c r="AH158" s="192">
        <v>28.02</v>
      </c>
      <c r="AI158" s="189">
        <v>6</v>
      </c>
    </row>
    <row r="159" spans="1:35" ht="15.75" customHeight="1" x14ac:dyDescent="0.3">
      <c r="A159" s="187">
        <v>530005</v>
      </c>
      <c r="B159" s="188" t="s">
        <v>193</v>
      </c>
      <c r="C159" s="175">
        <f ca="1">IFERROR(__xludf.DUMMYFUNCTION("GOOGLEFINANCE(""bom:""&amp;A159,""price"")"),359.2)</f>
        <v>359.2</v>
      </c>
      <c r="D159" s="189">
        <f ca="1">IFERROR(__xludf.DUMMYFUNCTION("GOOGLEFINANCE(""bom:""&amp;A159,""marketcap"")/10000000"),11120.7417)</f>
        <v>11120.7417</v>
      </c>
      <c r="E159" s="190">
        <v>3286</v>
      </c>
      <c r="F159" s="190">
        <v>2993</v>
      </c>
      <c r="G159" s="190">
        <v>11238</v>
      </c>
      <c r="H159" s="190">
        <v>5580</v>
      </c>
      <c r="I159" s="190">
        <v>310</v>
      </c>
      <c r="J159" s="190">
        <v>5658</v>
      </c>
      <c r="K159" s="190">
        <v>2826</v>
      </c>
      <c r="L159" s="190">
        <v>852</v>
      </c>
      <c r="M159" s="190">
        <v>10</v>
      </c>
      <c r="N159" s="190"/>
      <c r="O159" s="190">
        <v>-9</v>
      </c>
      <c r="P159" s="191">
        <v>9.1999999999999998E-3</v>
      </c>
      <c r="Q159" s="175">
        <v>5432</v>
      </c>
      <c r="R159" s="175">
        <v>5608</v>
      </c>
      <c r="S159" s="175">
        <v>-125</v>
      </c>
      <c r="T159" s="190">
        <v>119</v>
      </c>
      <c r="U159" s="190">
        <v>2916</v>
      </c>
      <c r="V159" s="177">
        <v>6.4000000000000003E-3</v>
      </c>
      <c r="W159" s="177">
        <v>-2.23E-2</v>
      </c>
      <c r="X159" s="189">
        <v>24</v>
      </c>
      <c r="Y159" s="184">
        <v>1.1000000000000001</v>
      </c>
      <c r="Z159" s="189">
        <v>55</v>
      </c>
      <c r="AA159" s="184">
        <v>0.5</v>
      </c>
      <c r="AB159" s="184">
        <v>0.5</v>
      </c>
      <c r="AC159" s="177">
        <v>-2.2100000000000002E-2</v>
      </c>
      <c r="AD159" s="189">
        <v>0</v>
      </c>
      <c r="AE159" s="177">
        <v>-1.11E-2</v>
      </c>
      <c r="AF159" s="189">
        <v>-28</v>
      </c>
      <c r="AG159" s="177">
        <v>-3.5200000000000002E-2</v>
      </c>
      <c r="AH159" s="192">
        <v>182.59</v>
      </c>
      <c r="AI159" s="189">
        <v>1</v>
      </c>
    </row>
    <row r="160" spans="1:35" ht="15.75" customHeight="1" x14ac:dyDescent="0.3">
      <c r="A160" s="187">
        <v>540575</v>
      </c>
      <c r="B160" s="188" t="s">
        <v>180</v>
      </c>
      <c r="C160" s="175">
        <f ca="1">IFERROR(__xludf.DUMMYFUNCTION("GOOGLEFINANCE(""bom:""&amp;A160,""price"")"),173.3)</f>
        <v>173.3</v>
      </c>
      <c r="D160" s="189">
        <f ca="1">IFERROR(__xludf.DUMMYFUNCTION("GOOGLEFINANCE(""bom:""&amp;A160,""marketcap"")/10000000"),6996.3629706)</f>
        <v>6996.3629706000002</v>
      </c>
      <c r="E160" s="190">
        <v>795</v>
      </c>
      <c r="F160" s="190">
        <v>657</v>
      </c>
      <c r="G160" s="190">
        <v>3235</v>
      </c>
      <c r="H160" s="190">
        <v>686</v>
      </c>
      <c r="I160" s="190">
        <v>40</v>
      </c>
      <c r="J160" s="190">
        <v>2549</v>
      </c>
      <c r="K160" s="190">
        <v>16</v>
      </c>
      <c r="L160" s="190">
        <v>98</v>
      </c>
      <c r="M160" s="190">
        <v>1</v>
      </c>
      <c r="N160" s="190"/>
      <c r="O160" s="190">
        <v>5</v>
      </c>
      <c r="P160" s="191">
        <v>8.5000000000000006E-3</v>
      </c>
      <c r="Q160" s="175">
        <v>1633</v>
      </c>
      <c r="R160" s="175">
        <v>2704</v>
      </c>
      <c r="S160" s="175">
        <v>247</v>
      </c>
      <c r="T160" s="190">
        <v>5</v>
      </c>
      <c r="U160" s="190">
        <v>1191</v>
      </c>
      <c r="V160" s="177">
        <v>0.1061</v>
      </c>
      <c r="W160" s="177">
        <v>9.1300000000000006E-2</v>
      </c>
      <c r="X160" s="189">
        <v>304</v>
      </c>
      <c r="Y160" s="184">
        <v>1.21</v>
      </c>
      <c r="Z160" s="189">
        <v>13</v>
      </c>
      <c r="AA160" s="184">
        <v>0.01</v>
      </c>
      <c r="AB160" s="184">
        <v>0.21</v>
      </c>
      <c r="AC160" s="177">
        <v>9.69E-2</v>
      </c>
      <c r="AD160" s="189">
        <v>6</v>
      </c>
      <c r="AE160" s="177">
        <v>7.6399999999999996E-2</v>
      </c>
      <c r="AF160" s="189">
        <v>39</v>
      </c>
      <c r="AG160" s="177">
        <v>2.5399999999999999E-2</v>
      </c>
      <c r="AH160" s="192">
        <v>63.73</v>
      </c>
      <c r="AI160" s="189">
        <v>3</v>
      </c>
    </row>
    <row r="161" spans="1:35" ht="15.75" customHeight="1" x14ac:dyDescent="0.3">
      <c r="A161" s="187">
        <v>535754</v>
      </c>
      <c r="B161" s="188" t="s">
        <v>181</v>
      </c>
      <c r="C161" s="175">
        <f ca="1">IFERROR(__xludf.DUMMYFUNCTION("GOOGLEFINANCE(""bom:""&amp;A161,""price"")"),329.15)</f>
        <v>329.15</v>
      </c>
      <c r="D161" s="189">
        <f ca="1">IFERROR(__xludf.DUMMYFUNCTION("GOOGLEFINANCE(""bom:""&amp;A161,""marketcap"")/10000000"),6730.9608884)</f>
        <v>6730.9608883999999</v>
      </c>
      <c r="E161" s="190">
        <v>621</v>
      </c>
      <c r="F161" s="190">
        <v>687</v>
      </c>
      <c r="G161" s="190">
        <v>2800</v>
      </c>
      <c r="H161" s="190">
        <v>1155</v>
      </c>
      <c r="I161" s="190">
        <v>20</v>
      </c>
      <c r="J161" s="190">
        <v>1644</v>
      </c>
      <c r="K161" s="190">
        <v>252</v>
      </c>
      <c r="L161" s="190">
        <v>203</v>
      </c>
      <c r="M161" s="190">
        <v>1</v>
      </c>
      <c r="N161" s="190"/>
      <c r="O161" s="190">
        <v>8</v>
      </c>
      <c r="P161" s="191">
        <v>6.4999999999999997E-3</v>
      </c>
      <c r="Q161" s="175">
        <v>2242</v>
      </c>
      <c r="R161" s="175">
        <v>2937</v>
      </c>
      <c r="S161" s="175">
        <v>122</v>
      </c>
      <c r="T161" s="190">
        <v>18</v>
      </c>
      <c r="U161" s="190">
        <v>1452</v>
      </c>
      <c r="V161" s="177">
        <v>5.5500000000000001E-2</v>
      </c>
      <c r="W161" s="177">
        <v>4.1500000000000002E-2</v>
      </c>
      <c r="X161" s="189">
        <v>84</v>
      </c>
      <c r="Y161" s="184">
        <v>0.9</v>
      </c>
      <c r="Z161" s="189">
        <v>25</v>
      </c>
      <c r="AA161" s="184">
        <v>0.15</v>
      </c>
      <c r="AB161" s="184">
        <v>0.41</v>
      </c>
      <c r="AC161" s="177">
        <v>7.4200000000000002E-2</v>
      </c>
      <c r="AD161" s="189">
        <v>6</v>
      </c>
      <c r="AE161" s="177">
        <v>4.36E-2</v>
      </c>
      <c r="AF161" s="189">
        <v>36</v>
      </c>
      <c r="AG161" s="177">
        <v>2.75E-2</v>
      </c>
      <c r="AH161" s="192">
        <v>82.2</v>
      </c>
      <c r="AI161" s="189">
        <v>3</v>
      </c>
    </row>
    <row r="162" spans="1:35" ht="15.75" customHeight="1" x14ac:dyDescent="0.3">
      <c r="A162" s="187">
        <v>502937</v>
      </c>
      <c r="B162" s="188" t="s">
        <v>182</v>
      </c>
      <c r="C162" s="175">
        <f ca="1">IFERROR(__xludf.DUMMYFUNCTION("GOOGLEFINANCE(""bom:""&amp;A162,""price"")"),212.95)</f>
        <v>212.95</v>
      </c>
      <c r="D162" s="189">
        <f ca="1">IFERROR(__xludf.DUMMYFUNCTION("GOOGLEFINANCE(""bom:""&amp;A162,""marketcap"")/10000000"),6612.1639486)</f>
        <v>6612.1639486000004</v>
      </c>
      <c r="E162" s="190">
        <v>900</v>
      </c>
      <c r="F162" s="190">
        <v>944</v>
      </c>
      <c r="G162" s="190">
        <v>3300</v>
      </c>
      <c r="H162" s="190">
        <v>2695</v>
      </c>
      <c r="I162" s="190">
        <v>310</v>
      </c>
      <c r="J162" s="190">
        <v>605</v>
      </c>
      <c r="K162" s="190">
        <v>1820</v>
      </c>
      <c r="L162" s="190">
        <v>347</v>
      </c>
      <c r="M162" s="190">
        <v>10</v>
      </c>
      <c r="N162" s="190"/>
      <c r="O162" s="190">
        <v>-3</v>
      </c>
      <c r="P162" s="191">
        <v>5.8999999999999999E-3</v>
      </c>
      <c r="Q162" s="175">
        <v>3995</v>
      </c>
      <c r="R162" s="175">
        <v>3778</v>
      </c>
      <c r="S162" s="175">
        <v>-194</v>
      </c>
      <c r="T162" s="190">
        <v>234</v>
      </c>
      <c r="U162" s="190">
        <v>2077</v>
      </c>
      <c r="V162" s="177">
        <v>-1.11E-2</v>
      </c>
      <c r="W162" s="177">
        <v>-5.1299999999999998E-2</v>
      </c>
      <c r="X162" s="189">
        <v>8</v>
      </c>
      <c r="Y162" s="184">
        <v>0.95</v>
      </c>
      <c r="Z162" s="189">
        <v>34</v>
      </c>
      <c r="AA162" s="184">
        <v>3.01</v>
      </c>
      <c r="AB162" s="184">
        <v>0.82</v>
      </c>
      <c r="AC162" s="177">
        <v>-0.32069999999999999</v>
      </c>
      <c r="AD162" s="189">
        <v>-1</v>
      </c>
      <c r="AE162" s="177">
        <v>-5.8799999999999998E-2</v>
      </c>
      <c r="AF162" s="189">
        <v>-62</v>
      </c>
      <c r="AG162" s="177">
        <v>-1.6199999999999999E-2</v>
      </c>
      <c r="AH162" s="192">
        <v>19.52</v>
      </c>
      <c r="AI162" s="189">
        <v>9</v>
      </c>
    </row>
    <row r="163" spans="1:35" ht="15.75" customHeight="1" x14ac:dyDescent="0.3">
      <c r="A163" s="187">
        <v>500292</v>
      </c>
      <c r="B163" s="188" t="s">
        <v>183</v>
      </c>
      <c r="C163" s="175">
        <f ca="1">IFERROR(__xludf.DUMMYFUNCTION("GOOGLEFINANCE(""bom:""&amp;A163,""price"")"),214.3)</f>
        <v>214.3</v>
      </c>
      <c r="D163" s="189">
        <f ca="1">IFERROR(__xludf.DUMMYFUNCTION("GOOGLEFINANCE(""bom:""&amp;A163,""marketcap"")/10000000"),4872.18165)</f>
        <v>4872.1816500000004</v>
      </c>
      <c r="E163" s="190">
        <v>1126</v>
      </c>
      <c r="F163" s="190">
        <v>882</v>
      </c>
      <c r="G163" s="190">
        <v>2634</v>
      </c>
      <c r="H163" s="190">
        <v>1243</v>
      </c>
      <c r="I163" s="190">
        <v>226</v>
      </c>
      <c r="J163" s="190">
        <v>1390</v>
      </c>
      <c r="K163" s="190">
        <v>180</v>
      </c>
      <c r="L163" s="190">
        <v>37</v>
      </c>
      <c r="M163" s="190">
        <v>10</v>
      </c>
      <c r="N163" s="190"/>
      <c r="O163" s="190">
        <v>6</v>
      </c>
      <c r="P163" s="191">
        <v>6.1000000000000004E-3</v>
      </c>
      <c r="Q163" s="175">
        <v>1909</v>
      </c>
      <c r="R163" s="175">
        <v>2238</v>
      </c>
      <c r="S163" s="175">
        <v>99</v>
      </c>
      <c r="T163" s="190">
        <v>17</v>
      </c>
      <c r="U163" s="190">
        <v>1071</v>
      </c>
      <c r="V163" s="177">
        <v>3.2300000000000002E-2</v>
      </c>
      <c r="W163" s="177">
        <v>4.4200000000000003E-2</v>
      </c>
      <c r="X163" s="189">
        <v>70</v>
      </c>
      <c r="Y163" s="184">
        <v>1.28</v>
      </c>
      <c r="Z163" s="189">
        <v>6</v>
      </c>
      <c r="AA163" s="184">
        <v>0.13</v>
      </c>
      <c r="AB163" s="184">
        <v>0.47</v>
      </c>
      <c r="AC163" s="177">
        <v>7.1199999999999999E-2</v>
      </c>
      <c r="AD163" s="189">
        <v>0</v>
      </c>
      <c r="AE163" s="177">
        <v>3.7600000000000001E-2</v>
      </c>
      <c r="AF163" s="189">
        <v>42</v>
      </c>
      <c r="AG163" s="177">
        <v>2.3900000000000001E-2</v>
      </c>
      <c r="AH163" s="192">
        <v>61.5</v>
      </c>
      <c r="AI163" s="189">
        <v>4</v>
      </c>
    </row>
    <row r="164" spans="1:35" ht="15.75" customHeight="1" x14ac:dyDescent="0.3">
      <c r="A164" s="187">
        <v>502090</v>
      </c>
      <c r="B164" s="188" t="s">
        <v>184</v>
      </c>
      <c r="C164" s="175">
        <f ca="1">IFERROR(__xludf.DUMMYFUNCTION("GOOGLEFINANCE(""bom:""&amp;A164,""price"")"),211.75)</f>
        <v>211.75</v>
      </c>
      <c r="D164" s="189">
        <f ca="1">IFERROR(__xludf.DUMMYFUNCTION("GOOGLEFINANCE(""bom:""&amp;A164,""marketcap"")/10000000"),2770.999)</f>
        <v>2770.9989999999998</v>
      </c>
      <c r="E164" s="190">
        <v>795</v>
      </c>
      <c r="F164" s="190">
        <v>911</v>
      </c>
      <c r="G164" s="190">
        <v>3905</v>
      </c>
      <c r="H164" s="190">
        <v>2276</v>
      </c>
      <c r="I164" s="190">
        <v>26</v>
      </c>
      <c r="J164" s="190">
        <v>1581</v>
      </c>
      <c r="K164" s="190">
        <v>1533</v>
      </c>
      <c r="L164" s="190">
        <v>213</v>
      </c>
      <c r="M164" s="190">
        <v>2</v>
      </c>
      <c r="N164" s="190"/>
      <c r="O164" s="190">
        <v>1</v>
      </c>
      <c r="P164" s="191">
        <v>3.8999999999999998E-3</v>
      </c>
      <c r="Q164" s="175">
        <v>1077</v>
      </c>
      <c r="R164" s="175">
        <v>2229</v>
      </c>
      <c r="S164" s="175">
        <v>8</v>
      </c>
      <c r="T164" s="190">
        <v>90</v>
      </c>
      <c r="U164" s="190">
        <v>1227</v>
      </c>
      <c r="V164" s="177">
        <v>0.15659999999999999</v>
      </c>
      <c r="W164" s="177">
        <v>3.5999999999999999E-3</v>
      </c>
      <c r="X164" s="189">
        <v>12</v>
      </c>
      <c r="Y164" s="184">
        <v>0.87</v>
      </c>
      <c r="Z164" s="189">
        <v>35</v>
      </c>
      <c r="AA164" s="184">
        <v>0.97</v>
      </c>
      <c r="AB164" s="184">
        <v>0.57999999999999996</v>
      </c>
      <c r="AC164" s="177">
        <v>5.1000000000000004E-3</v>
      </c>
      <c r="AD164" s="189">
        <v>0</v>
      </c>
      <c r="AE164" s="177">
        <v>2E-3</v>
      </c>
      <c r="AF164" s="189">
        <v>224</v>
      </c>
      <c r="AG164" s="177">
        <v>4.4999999999999997E-3</v>
      </c>
      <c r="AH164" s="192">
        <v>121.62</v>
      </c>
      <c r="AI164" s="189">
        <v>2</v>
      </c>
    </row>
    <row r="165" spans="1:35" ht="15.75" customHeight="1" x14ac:dyDescent="0.3">
      <c r="A165" s="187">
        <v>526521</v>
      </c>
      <c r="B165" s="188" t="s">
        <v>185</v>
      </c>
      <c r="C165" s="175">
        <f ca="1">IFERROR(__xludf.DUMMYFUNCTION("GOOGLEFINANCE(""bom:""&amp;A165,""price"")"),78.33)</f>
        <v>78.33</v>
      </c>
      <c r="D165" s="189">
        <f ca="1">IFERROR(__xludf.DUMMYFUNCTION("GOOGLEFINANCE(""bom:""&amp;A165,""marketcap"")/10000000"),2027.858315)</f>
        <v>2027.8583149999999</v>
      </c>
      <c r="E165" s="190">
        <v>370</v>
      </c>
      <c r="F165" s="190">
        <v>481</v>
      </c>
      <c r="G165" s="190">
        <v>3564</v>
      </c>
      <c r="H165" s="190">
        <v>2233</v>
      </c>
      <c r="I165" s="190">
        <v>258</v>
      </c>
      <c r="J165" s="190">
        <v>1330</v>
      </c>
      <c r="K165" s="190">
        <v>1820</v>
      </c>
      <c r="L165" s="190">
        <v>68</v>
      </c>
      <c r="M165" s="190">
        <v>10</v>
      </c>
      <c r="N165" s="190"/>
      <c r="O165" s="190">
        <v>-18</v>
      </c>
      <c r="P165" s="191">
        <v>3.5999999999999999E-3</v>
      </c>
      <c r="Q165" s="175">
        <v>1051</v>
      </c>
      <c r="R165" s="175">
        <v>947</v>
      </c>
      <c r="S165" s="175">
        <v>-325</v>
      </c>
      <c r="T165" s="190">
        <v>46</v>
      </c>
      <c r="U165" s="190">
        <v>300</v>
      </c>
      <c r="V165" s="177">
        <v>-2.06E-2</v>
      </c>
      <c r="W165" s="177">
        <v>-0.34320000000000001</v>
      </c>
      <c r="X165" s="189">
        <v>15</v>
      </c>
      <c r="Y165" s="184">
        <v>0.77</v>
      </c>
      <c r="Z165" s="189">
        <v>26</v>
      </c>
      <c r="AA165" s="184">
        <v>1.37</v>
      </c>
      <c r="AB165" s="184">
        <v>0.63</v>
      </c>
      <c r="AC165" s="177">
        <v>-0.24440000000000001</v>
      </c>
      <c r="AD165" s="189">
        <v>-1</v>
      </c>
      <c r="AE165" s="177">
        <v>-9.1200000000000003E-2</v>
      </c>
      <c r="AF165" s="189">
        <v>-7</v>
      </c>
      <c r="AG165" s="177">
        <v>-0.1517</v>
      </c>
      <c r="AH165" s="192">
        <v>51.55</v>
      </c>
      <c r="AI165" s="189">
        <v>2</v>
      </c>
    </row>
    <row r="166" spans="1:35" ht="15.75" customHeight="1" x14ac:dyDescent="0.3">
      <c r="A166" s="187">
        <v>508906</v>
      </c>
      <c r="B166" s="188" t="s">
        <v>186</v>
      </c>
      <c r="C166" s="175">
        <f ca="1">IFERROR(__xludf.DUMMYFUNCTION("GOOGLEFINANCE(""bom:""&amp;A166,""price"")"),800.05)</f>
        <v>800.05</v>
      </c>
      <c r="D166" s="189">
        <f ca="1">IFERROR(__xludf.DUMMYFUNCTION("GOOGLEFINANCE(""bom:""&amp;A166,""marketcap"")/10000000"),1271.7529567)</f>
        <v>1271.7529566999999</v>
      </c>
      <c r="E166" s="190">
        <v>598</v>
      </c>
      <c r="F166" s="190">
        <v>380</v>
      </c>
      <c r="G166" s="190">
        <v>1041</v>
      </c>
      <c r="H166" s="190">
        <v>453</v>
      </c>
      <c r="I166" s="190">
        <v>15</v>
      </c>
      <c r="J166" s="190">
        <v>587</v>
      </c>
      <c r="K166" s="190">
        <v>0</v>
      </c>
      <c r="L166" s="190">
        <v>61</v>
      </c>
      <c r="M166" s="190">
        <v>10</v>
      </c>
      <c r="N166" s="190"/>
      <c r="O166" s="190">
        <v>21</v>
      </c>
      <c r="P166" s="191">
        <v>2.3E-3</v>
      </c>
      <c r="Q166" s="175">
        <v>1270</v>
      </c>
      <c r="R166" s="175">
        <v>1647</v>
      </c>
      <c r="S166" s="175">
        <v>42</v>
      </c>
      <c r="T166" s="190">
        <v>5</v>
      </c>
      <c r="U166" s="190">
        <v>794</v>
      </c>
      <c r="V166" s="177">
        <v>5.3400000000000003E-2</v>
      </c>
      <c r="W166" s="177">
        <v>2.5499999999999998E-2</v>
      </c>
      <c r="X166" s="189">
        <v>172</v>
      </c>
      <c r="Y166" s="184">
        <v>1.57</v>
      </c>
      <c r="Z166" s="189">
        <v>14</v>
      </c>
      <c r="AA166" s="184">
        <v>0</v>
      </c>
      <c r="AB166" s="184">
        <v>0.44</v>
      </c>
      <c r="AC166" s="177">
        <v>7.1599999999999997E-2</v>
      </c>
      <c r="AD166" s="189">
        <v>3</v>
      </c>
      <c r="AE166" s="177">
        <v>4.0300000000000002E-2</v>
      </c>
      <c r="AF166" s="189">
        <v>62</v>
      </c>
      <c r="AG166" s="177">
        <v>1.61E-2</v>
      </c>
      <c r="AH166" s="192">
        <v>391.33</v>
      </c>
      <c r="AI166" s="189">
        <v>3</v>
      </c>
    </row>
    <row r="167" spans="1:35" ht="15.75" customHeight="1" x14ac:dyDescent="0.3">
      <c r="A167" s="187">
        <v>502157</v>
      </c>
      <c r="B167" s="188" t="s">
        <v>187</v>
      </c>
      <c r="C167" s="175">
        <f ca="1">IFERROR(__xludf.DUMMYFUNCTION("GOOGLEFINANCE(""bom:""&amp;A167,""price"")"),855.1)</f>
        <v>855.1</v>
      </c>
      <c r="D167" s="189">
        <f ca="1">IFERROR(__xludf.DUMMYFUNCTION("GOOGLEFINANCE(""bom:""&amp;A167,""marketcap"")/10000000"),2361.6055433)</f>
        <v>2361.6055433000001</v>
      </c>
      <c r="E167" s="190">
        <v>745</v>
      </c>
      <c r="F167" s="190">
        <v>860</v>
      </c>
      <c r="G167" s="190">
        <v>2095</v>
      </c>
      <c r="H167" s="190">
        <v>1316</v>
      </c>
      <c r="I167" s="190">
        <v>27</v>
      </c>
      <c r="J167" s="190">
        <v>778</v>
      </c>
      <c r="K167" s="190">
        <v>612</v>
      </c>
      <c r="L167" s="190">
        <v>41</v>
      </c>
      <c r="M167" s="190">
        <v>10</v>
      </c>
      <c r="N167" s="190"/>
      <c r="O167" s="190">
        <v>16</v>
      </c>
      <c r="P167" s="191">
        <v>2.0999999999999999E-3</v>
      </c>
      <c r="Q167" s="175">
        <v>1125</v>
      </c>
      <c r="R167" s="175">
        <v>1801</v>
      </c>
      <c r="S167" s="175">
        <v>17</v>
      </c>
      <c r="T167" s="190">
        <v>33</v>
      </c>
      <c r="U167" s="190">
        <v>819</v>
      </c>
      <c r="V167" s="177">
        <v>9.8699999999999996E-2</v>
      </c>
      <c r="W167" s="177">
        <v>9.4000000000000004E-3</v>
      </c>
      <c r="X167" s="189">
        <v>31</v>
      </c>
      <c r="Y167" s="184">
        <v>0.87</v>
      </c>
      <c r="Z167" s="189">
        <v>8</v>
      </c>
      <c r="AA167" s="184">
        <v>0.79</v>
      </c>
      <c r="AB167" s="184">
        <v>0.63</v>
      </c>
      <c r="AC167" s="177">
        <v>2.1899999999999999E-2</v>
      </c>
      <c r="AD167" s="189">
        <v>1</v>
      </c>
      <c r="AE167" s="177">
        <v>8.0999999999999996E-3</v>
      </c>
      <c r="AF167" s="189">
        <v>44</v>
      </c>
      <c r="AG167" s="177">
        <v>2.2800000000000001E-2</v>
      </c>
      <c r="AH167" s="192">
        <v>288.14999999999998</v>
      </c>
      <c r="AI167" s="189">
        <v>2</v>
      </c>
    </row>
    <row r="168" spans="1:35" ht="15.75" customHeight="1" x14ac:dyDescent="0.3">
      <c r="A168" s="187">
        <v>530131</v>
      </c>
      <c r="B168" s="188" t="s">
        <v>188</v>
      </c>
      <c r="C168" s="175">
        <f ca="1">IFERROR(__xludf.DUMMYFUNCTION("GOOGLEFINANCE(""bom:""&amp;A168,""price"")"),28.88)</f>
        <v>28.88</v>
      </c>
      <c r="D168" s="189">
        <f ca="1">IFERROR(__xludf.DUMMYFUNCTION("GOOGLEFINANCE(""bom:""&amp;A168,""marketcap"")/10000000"),1619.9536426)</f>
        <v>1619.9536426</v>
      </c>
      <c r="E168" s="190">
        <v>485</v>
      </c>
      <c r="F168" s="190">
        <v>362</v>
      </c>
      <c r="G168" s="190">
        <v>2423</v>
      </c>
      <c r="H168" s="190">
        <v>1597</v>
      </c>
      <c r="I168" s="190">
        <v>224</v>
      </c>
      <c r="J168" s="190">
        <v>826</v>
      </c>
      <c r="K168" s="190">
        <v>1295</v>
      </c>
      <c r="L168" s="190">
        <v>9</v>
      </c>
      <c r="M168" s="190">
        <v>4</v>
      </c>
      <c r="N168" s="190"/>
      <c r="O168" s="190">
        <v>1</v>
      </c>
      <c r="P168" s="191">
        <v>2.5000000000000001E-3</v>
      </c>
      <c r="Q168" s="175">
        <v>386</v>
      </c>
      <c r="R168" s="175">
        <v>1030</v>
      </c>
      <c r="S168" s="175">
        <v>35</v>
      </c>
      <c r="T168" s="190">
        <v>24</v>
      </c>
      <c r="U168" s="190">
        <v>493</v>
      </c>
      <c r="V168" s="177">
        <v>0.21690000000000001</v>
      </c>
      <c r="W168" s="177">
        <v>3.4000000000000002E-2</v>
      </c>
      <c r="X168" s="189">
        <v>23</v>
      </c>
      <c r="Y168" s="184">
        <v>1.34</v>
      </c>
      <c r="Z168" s="189">
        <v>3</v>
      </c>
      <c r="AA168" s="184">
        <v>1.57</v>
      </c>
      <c r="AB168" s="184">
        <v>0.66</v>
      </c>
      <c r="AC168" s="177">
        <v>4.24E-2</v>
      </c>
      <c r="AD168" s="189">
        <v>0</v>
      </c>
      <c r="AE168" s="177">
        <v>1.44E-2</v>
      </c>
      <c r="AF168" s="189">
        <v>61</v>
      </c>
      <c r="AG168" s="177">
        <v>1.6400000000000001E-2</v>
      </c>
      <c r="AH168" s="192">
        <v>14.73</v>
      </c>
      <c r="AI168" s="189">
        <v>3</v>
      </c>
    </row>
    <row r="169" spans="1:35" ht="15.75" customHeight="1" x14ac:dyDescent="0.3">
      <c r="A169" s="187">
        <v>502180</v>
      </c>
      <c r="B169" s="188" t="s">
        <v>189</v>
      </c>
      <c r="C169" s="175">
        <f ca="1">IFERROR(__xludf.DUMMYFUNCTION("GOOGLEFINANCE(""bom:""&amp;A169,""price"")"),85.9)</f>
        <v>85.9</v>
      </c>
      <c r="D169" s="189">
        <f ca="1">IFERROR(__xludf.DUMMYFUNCTION("GOOGLEFINANCE(""bom:""&amp;A169,""marketcap"")/10000000"),1273.2998979)</f>
        <v>1273.2998978999999</v>
      </c>
      <c r="E169" s="190">
        <v>281</v>
      </c>
      <c r="F169" s="190">
        <v>162</v>
      </c>
      <c r="G169" s="190">
        <v>496</v>
      </c>
      <c r="H169" s="190">
        <v>180</v>
      </c>
      <c r="I169" s="190">
        <v>146</v>
      </c>
      <c r="J169" s="190">
        <v>315</v>
      </c>
      <c r="K169" s="190">
        <v>32</v>
      </c>
      <c r="L169" s="190">
        <v>36</v>
      </c>
      <c r="M169" s="190">
        <v>10</v>
      </c>
      <c r="N169" s="190"/>
      <c r="O169" s="190">
        <v>5</v>
      </c>
      <c r="P169" s="191">
        <v>1.9E-3</v>
      </c>
      <c r="Q169" s="175">
        <v>424</v>
      </c>
      <c r="R169" s="175">
        <v>726</v>
      </c>
      <c r="S169" s="175">
        <v>58</v>
      </c>
      <c r="T169" s="190">
        <v>1</v>
      </c>
      <c r="U169" s="190">
        <v>347</v>
      </c>
      <c r="V169" s="177">
        <v>0.11360000000000001</v>
      </c>
      <c r="W169" s="177">
        <v>7.9899999999999999E-2</v>
      </c>
      <c r="X169" s="189">
        <v>380</v>
      </c>
      <c r="Y169" s="184">
        <v>1.73</v>
      </c>
      <c r="Z169" s="189">
        <v>18</v>
      </c>
      <c r="AA169" s="184">
        <v>0.1</v>
      </c>
      <c r="AB169" s="184">
        <v>0.36</v>
      </c>
      <c r="AC169" s="177">
        <v>0.18410000000000001</v>
      </c>
      <c r="AD169" s="189">
        <v>0</v>
      </c>
      <c r="AE169" s="177">
        <v>0.1169</v>
      </c>
      <c r="AF169" s="189">
        <v>21</v>
      </c>
      <c r="AG169" s="177">
        <v>4.7199999999999999E-2</v>
      </c>
      <c r="AH169" s="192">
        <v>21.58</v>
      </c>
      <c r="AI169" s="189">
        <v>5</v>
      </c>
    </row>
    <row r="170" spans="1:35" ht="15.75" customHeight="1" x14ac:dyDescent="0.3">
      <c r="A170" s="188"/>
      <c r="B170" s="188"/>
      <c r="C170" s="175"/>
      <c r="D170" s="175"/>
      <c r="E170" s="175"/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</row>
    <row r="171" spans="1:35" ht="15.75" customHeight="1" x14ac:dyDescent="0.3">
      <c r="A171" s="175"/>
      <c r="B171" s="175" t="s">
        <v>149</v>
      </c>
      <c r="C171" s="175"/>
      <c r="D171" s="189">
        <f ca="1">SUM(D147:D170)</f>
        <v>922931.77863419976</v>
      </c>
      <c r="E171" s="175">
        <v>172624</v>
      </c>
      <c r="F171" s="175">
        <v>159368</v>
      </c>
      <c r="G171" s="175">
        <v>708283</v>
      </c>
      <c r="H171" s="175">
        <v>381320</v>
      </c>
      <c r="I171" s="175">
        <v>3777</v>
      </c>
      <c r="J171" s="175">
        <v>326362</v>
      </c>
      <c r="K171" s="175">
        <v>170148</v>
      </c>
      <c r="L171" s="175">
        <v>20600</v>
      </c>
      <c r="M171" s="175"/>
      <c r="N171" s="175"/>
      <c r="O171" s="175">
        <v>1000</v>
      </c>
      <c r="P171" s="175"/>
      <c r="Q171" s="175">
        <v>201148</v>
      </c>
      <c r="R171" s="175">
        <v>349284</v>
      </c>
      <c r="S171" s="175">
        <v>23535</v>
      </c>
      <c r="T171" s="175">
        <v>6845</v>
      </c>
      <c r="U171" s="175">
        <v>163057</v>
      </c>
      <c r="V171" s="177">
        <v>0.1167</v>
      </c>
      <c r="W171" s="177">
        <v>6.7400000000000002E-2</v>
      </c>
      <c r="X171" s="189">
        <v>28</v>
      </c>
      <c r="Y171" s="184">
        <v>1.08</v>
      </c>
      <c r="Z171" s="189">
        <v>22</v>
      </c>
      <c r="AA171" s="184">
        <v>0.52</v>
      </c>
      <c r="AB171" s="184">
        <v>0.54</v>
      </c>
      <c r="AC171" s="177">
        <v>7.2099999999999997E-2</v>
      </c>
      <c r="AD171" s="175">
        <v>3</v>
      </c>
      <c r="AE171" s="177">
        <v>3.32E-2</v>
      </c>
      <c r="AF171" s="175">
        <v>52</v>
      </c>
      <c r="AG171" s="177">
        <v>1.7100000000000001E-2</v>
      </c>
      <c r="AH171" s="193">
        <v>14755</v>
      </c>
      <c r="AI171" s="175">
        <v>3</v>
      </c>
    </row>
    <row r="172" spans="1:35" ht="15.75" customHeight="1" x14ac:dyDescent="0.3"/>
    <row r="173" spans="1:35" ht="15.75" customHeight="1" x14ac:dyDescent="0.3"/>
    <row r="174" spans="1:35" ht="15.75" customHeight="1" x14ac:dyDescent="0.3"/>
    <row r="175" spans="1:35" ht="15.75" customHeight="1" x14ac:dyDescent="0.3"/>
    <row r="176" spans="1:35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</sheetData>
  <conditionalFormatting sqref="C28:C37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8:C6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9:C100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19:C145 C172:C97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9:D13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8:G3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58:G69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9:G100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88">
    <cfRule type="notContainsBlanks" dxfId="0" priority="8">
      <formula>LEN(TRIM(H88))&gt;0</formula>
    </cfRule>
  </conditionalFormatting>
  <conditionalFormatting sqref="K28:K4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58:K69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89:K100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28:Q38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28:R38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ULTRATECH</vt:lpstr>
      <vt:lpstr>Cement &amp; cement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2024-11-26T10:23:13Z</dcterms:created>
  <dcterms:modified xsi:type="dcterms:W3CDTF">2024-11-26T10:23:38Z</dcterms:modified>
</cp:coreProperties>
</file>