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A1A2BE71-BC5B-4D8B-8ACB-EAB4FC6EEF42}" xr6:coauthVersionLast="47" xr6:coauthVersionMax="47" xr10:uidLastSave="{00000000-0000-0000-0000-000000000000}"/>
  <bookViews>
    <workbookView xWindow="-108" yWindow="-108" windowWidth="23256" windowHeight="12456" xr2:uid="{09F6EDA5-9738-469F-A1A9-CF034F82E83C}"/>
  </bookViews>
  <sheets>
    <sheet name="ULTRATEC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8" i="1" l="1"/>
  <c r="T68" i="1" s="1"/>
  <c r="R68" i="1"/>
  <c r="T66" i="1"/>
  <c r="F66" i="1"/>
  <c r="D66" i="1"/>
  <c r="T65" i="1"/>
  <c r="T64" i="1"/>
  <c r="T63" i="1"/>
  <c r="L61" i="1"/>
  <c r="K61" i="1"/>
  <c r="K62" i="1" s="1"/>
  <c r="I61" i="1"/>
  <c r="F61" i="1"/>
  <c r="G61" i="1" s="1"/>
  <c r="H61" i="1" s="1"/>
  <c r="C61" i="1"/>
  <c r="C62" i="1" s="1"/>
  <c r="C63" i="1" s="1"/>
  <c r="T58" i="1"/>
  <c r="S58" i="1"/>
  <c r="U58" i="1" s="1"/>
  <c r="R58" i="1"/>
  <c r="T50" i="1" s="1"/>
  <c r="U56" i="1"/>
  <c r="T56" i="1"/>
  <c r="U55" i="1"/>
  <c r="T55" i="1"/>
  <c r="U54" i="1"/>
  <c r="T54" i="1"/>
  <c r="N54" i="1"/>
  <c r="O54" i="1" s="1"/>
  <c r="M54" i="1"/>
  <c r="D54" i="1"/>
  <c r="C54" i="1"/>
  <c r="H9" i="1" s="1"/>
  <c r="U53" i="1"/>
  <c r="T53" i="1"/>
  <c r="N53" i="1"/>
  <c r="O53" i="1" s="1"/>
  <c r="M53" i="1"/>
  <c r="J53" i="1"/>
  <c r="D53" i="1"/>
  <c r="C53" i="1"/>
  <c r="E53" i="1" s="1"/>
  <c r="U52" i="1"/>
  <c r="T52" i="1"/>
  <c r="O52" i="1"/>
  <c r="J52" i="1"/>
  <c r="E52" i="1"/>
  <c r="U51" i="1"/>
  <c r="T51" i="1"/>
  <c r="O51" i="1"/>
  <c r="J51" i="1"/>
  <c r="E51" i="1"/>
  <c r="U50" i="1"/>
  <c r="O50" i="1"/>
  <c r="J50" i="1"/>
  <c r="E50" i="1"/>
  <c r="U49" i="1"/>
  <c r="T49" i="1"/>
  <c r="O49" i="1"/>
  <c r="J49" i="1"/>
  <c r="E49" i="1"/>
  <c r="U48" i="1"/>
  <c r="T48" i="1"/>
  <c r="O48" i="1"/>
  <c r="J48" i="1"/>
  <c r="E48" i="1"/>
  <c r="B9" i="1" s="1"/>
  <c r="P45" i="1"/>
  <c r="R43" i="1"/>
  <c r="N43" i="1"/>
  <c r="G33" i="1" s="1"/>
  <c r="P40" i="1"/>
  <c r="K40" i="1"/>
  <c r="J40" i="1"/>
  <c r="I40" i="1"/>
  <c r="H40" i="1"/>
  <c r="G40" i="1"/>
  <c r="E40" i="1"/>
  <c r="C40" i="1"/>
  <c r="N39" i="1"/>
  <c r="K39" i="1"/>
  <c r="J39" i="1"/>
  <c r="I39" i="1"/>
  <c r="H39" i="1"/>
  <c r="G39" i="1"/>
  <c r="E39" i="1"/>
  <c r="C39" i="1"/>
  <c r="K38" i="1"/>
  <c r="J38" i="1"/>
  <c r="I38" i="1"/>
  <c r="H38" i="1"/>
  <c r="G38" i="1"/>
  <c r="E38" i="1"/>
  <c r="D38" i="1"/>
  <c r="C38" i="1"/>
  <c r="K37" i="1"/>
  <c r="J37" i="1"/>
  <c r="I37" i="1"/>
  <c r="H37" i="1"/>
  <c r="G37" i="1"/>
  <c r="E37" i="1"/>
  <c r="C37" i="1"/>
  <c r="K36" i="1"/>
  <c r="J36" i="1"/>
  <c r="I36" i="1"/>
  <c r="H36" i="1"/>
  <c r="G36" i="1"/>
  <c r="E36" i="1"/>
  <c r="N33" i="1"/>
  <c r="P33" i="1" s="1"/>
  <c r="I33" i="1"/>
  <c r="E33" i="1"/>
  <c r="F3" i="1" s="1"/>
  <c r="C33" i="1"/>
  <c r="P32" i="1"/>
  <c r="O32" i="1"/>
  <c r="O40" i="1" s="1"/>
  <c r="N32" i="1"/>
  <c r="N37" i="1" s="1"/>
  <c r="M32" i="1"/>
  <c r="M40" i="1" s="1"/>
  <c r="L32" i="1"/>
  <c r="L40" i="1" s="1"/>
  <c r="D32" i="1"/>
  <c r="D39" i="1" s="1"/>
  <c r="P31" i="1"/>
  <c r="N31" i="1"/>
  <c r="O31" i="1" s="1"/>
  <c r="M31" i="1"/>
  <c r="L31" i="1"/>
  <c r="F31" i="1"/>
  <c r="N30" i="1"/>
  <c r="O30" i="1" s="1"/>
  <c r="M30" i="1"/>
  <c r="L30" i="1"/>
  <c r="F30" i="1"/>
  <c r="O29" i="1"/>
  <c r="N29" i="1"/>
  <c r="P29" i="1" s="1"/>
  <c r="M29" i="1"/>
  <c r="L29" i="1"/>
  <c r="F29" i="1"/>
  <c r="P28" i="1"/>
  <c r="N28" i="1"/>
  <c r="O28" i="1" s="1"/>
  <c r="M28" i="1"/>
  <c r="L39" i="1" s="1"/>
  <c r="L28" i="1"/>
  <c r="F28" i="1"/>
  <c r="P27" i="1"/>
  <c r="N27" i="1"/>
  <c r="O27" i="1" s="1"/>
  <c r="P39" i="1" s="1"/>
  <c r="M27" i="1"/>
  <c r="L27" i="1"/>
  <c r="M39" i="1" s="1"/>
  <c r="F27" i="1"/>
  <c r="N26" i="1"/>
  <c r="P26" i="1" s="1"/>
  <c r="M26" i="1"/>
  <c r="L26" i="1"/>
  <c r="F26" i="1"/>
  <c r="O25" i="1"/>
  <c r="N25" i="1"/>
  <c r="P25" i="1" s="1"/>
  <c r="M25" i="1"/>
  <c r="M38" i="1" s="1"/>
  <c r="L25" i="1"/>
  <c r="L38" i="1" s="1"/>
  <c r="F25" i="1"/>
  <c r="P24" i="1"/>
  <c r="N24" i="1"/>
  <c r="O24" i="1" s="1"/>
  <c r="M24" i="1"/>
  <c r="L24" i="1"/>
  <c r="F24" i="1"/>
  <c r="P23" i="1"/>
  <c r="N23" i="1"/>
  <c r="O23" i="1" s="1"/>
  <c r="M23" i="1"/>
  <c r="L23" i="1"/>
  <c r="F23" i="1"/>
  <c r="N22" i="1"/>
  <c r="O22" i="1" s="1"/>
  <c r="M22" i="1"/>
  <c r="L22" i="1"/>
  <c r="F22" i="1"/>
  <c r="O21" i="1"/>
  <c r="N21" i="1"/>
  <c r="P21" i="1" s="1"/>
  <c r="M21" i="1"/>
  <c r="L21" i="1"/>
  <c r="F21" i="1"/>
  <c r="C21" i="1"/>
  <c r="N20" i="1"/>
  <c r="P20" i="1" s="1"/>
  <c r="M20" i="1"/>
  <c r="L20" i="1"/>
  <c r="F20" i="1"/>
  <c r="C20" i="1"/>
  <c r="P19" i="1"/>
  <c r="N19" i="1"/>
  <c r="O19" i="1" s="1"/>
  <c r="M19" i="1"/>
  <c r="M37" i="1" s="1"/>
  <c r="L19" i="1"/>
  <c r="F19" i="1"/>
  <c r="C19" i="1"/>
  <c r="O18" i="1"/>
  <c r="N18" i="1"/>
  <c r="P18" i="1" s="1"/>
  <c r="M18" i="1"/>
  <c r="L18" i="1"/>
  <c r="L37" i="1" s="1"/>
  <c r="F18" i="1"/>
  <c r="C18" i="1"/>
  <c r="P17" i="1"/>
  <c r="N17" i="1"/>
  <c r="O17" i="1" s="1"/>
  <c r="M17" i="1"/>
  <c r="L17" i="1"/>
  <c r="F17" i="1"/>
  <c r="C17" i="1"/>
  <c r="P16" i="1"/>
  <c r="O16" i="1"/>
  <c r="N16" i="1"/>
  <c r="M16" i="1"/>
  <c r="L16" i="1"/>
  <c r="F16" i="1"/>
  <c r="C16" i="1"/>
  <c r="N15" i="1"/>
  <c r="O15" i="1" s="1"/>
  <c r="M15" i="1"/>
  <c r="L15" i="1"/>
  <c r="F15" i="1"/>
  <c r="C15" i="1"/>
  <c r="N14" i="1"/>
  <c r="P14" i="1" s="1"/>
  <c r="M14" i="1"/>
  <c r="L14" i="1"/>
  <c r="F14" i="1"/>
  <c r="C14" i="1"/>
  <c r="O13" i="1"/>
  <c r="N13" i="1"/>
  <c r="P13" i="1" s="1"/>
  <c r="M13" i="1"/>
  <c r="M36" i="1" s="1"/>
  <c r="L13" i="1"/>
  <c r="L36" i="1" s="1"/>
  <c r="F13" i="1"/>
  <c r="C13" i="1"/>
  <c r="N12" i="1"/>
  <c r="N36" i="1" s="1"/>
  <c r="F12" i="1"/>
  <c r="C12" i="1"/>
  <c r="C36" i="1" s="1"/>
  <c r="S9" i="1"/>
  <c r="R9" i="1"/>
  <c r="Q9" i="1"/>
  <c r="N9" i="1"/>
  <c r="G9" i="1"/>
  <c r="F9" i="1"/>
  <c r="D9" i="1"/>
  <c r="C9" i="1"/>
  <c r="S5" i="1"/>
  <c r="R5" i="1"/>
  <c r="Q5" i="1"/>
  <c r="P5" i="1"/>
  <c r="O5" i="1"/>
  <c r="N5" i="1"/>
  <c r="M5" i="1"/>
  <c r="J5" i="1"/>
  <c r="I5" i="1"/>
  <c r="H5" i="1"/>
  <c r="C5" i="1"/>
  <c r="V4" i="1"/>
  <c r="L4" i="1"/>
  <c r="L5" i="1" s="1"/>
  <c r="K4" i="1"/>
  <c r="K5" i="1" s="1"/>
  <c r="D4" i="1"/>
  <c r="V3" i="1"/>
  <c r="D3" i="1"/>
  <c r="D5" i="1" s="1"/>
  <c r="C3" i="1"/>
  <c r="R45" i="1" s="1"/>
  <c r="O39" i="1" l="1"/>
  <c r="J9" i="1"/>
  <c r="F5" i="1"/>
  <c r="I9" i="1"/>
  <c r="K9" i="1"/>
  <c r="M33" i="1"/>
  <c r="G3" i="1"/>
  <c r="L33" i="1"/>
  <c r="S43" i="1"/>
  <c r="P9" i="1" s="1"/>
  <c r="H66" i="1"/>
  <c r="P37" i="1"/>
  <c r="K63" i="1"/>
  <c r="L62" i="1"/>
  <c r="M62" i="1" s="1"/>
  <c r="N62" i="1"/>
  <c r="M61" i="1"/>
  <c r="O26" i="1"/>
  <c r="O38" i="1" s="1"/>
  <c r="D33" i="1"/>
  <c r="O33" i="1"/>
  <c r="O14" i="1"/>
  <c r="P15" i="1"/>
  <c r="P22" i="1"/>
  <c r="P38" i="1" s="1"/>
  <c r="P30" i="1"/>
  <c r="F32" i="1"/>
  <c r="D37" i="1"/>
  <c r="N38" i="1"/>
  <c r="Q43" i="1"/>
  <c r="Q45" i="1" s="1"/>
  <c r="O9" i="1"/>
  <c r="O12" i="1"/>
  <c r="O36" i="1" s="1"/>
  <c r="O20" i="1"/>
  <c r="D36" i="1"/>
  <c r="D40" i="1"/>
  <c r="E54" i="1"/>
  <c r="D61" i="1"/>
  <c r="P12" i="1"/>
  <c r="P36" i="1" s="1"/>
  <c r="N61" i="1"/>
  <c r="G66" i="1" s="1"/>
  <c r="I66" i="1" s="1"/>
  <c r="N40" i="1"/>
  <c r="D62" i="1" l="1"/>
  <c r="E61" i="1"/>
  <c r="E58" i="1" s="1"/>
  <c r="E3" i="1"/>
  <c r="F33" i="1"/>
  <c r="O37" i="1"/>
  <c r="F40" i="1"/>
  <c r="F39" i="1"/>
  <c r="F36" i="1"/>
  <c r="F38" i="1"/>
  <c r="F37" i="1"/>
  <c r="L9" i="1"/>
  <c r="M9" i="1"/>
  <c r="G5" i="1"/>
  <c r="N63" i="1"/>
  <c r="L63" i="1"/>
  <c r="M63" i="1" s="1"/>
  <c r="E9" i="1" l="1"/>
  <c r="E5" i="1"/>
  <c r="E62" i="1"/>
  <c r="D63" i="1"/>
  <c r="E63" i="1" l="1"/>
  <c r="F62" i="1"/>
  <c r="F63" i="1" l="1"/>
  <c r="I62" i="1"/>
  <c r="G62" i="1"/>
  <c r="H62" i="1" s="1"/>
  <c r="I63" i="1" l="1"/>
  <c r="G63" i="1"/>
  <c r="H63" i="1" s="1"/>
</calcChain>
</file>

<file path=xl/sharedStrings.xml><?xml version="1.0" encoding="utf-8"?>
<sst xmlns="http://schemas.openxmlformats.org/spreadsheetml/2006/main" count="227" uniqueCount="161">
  <si>
    <t>INC. STATE.</t>
  </si>
  <si>
    <t>BALANCE SHEET</t>
  </si>
  <si>
    <t>CASHFLOW</t>
  </si>
  <si>
    <t>Company</t>
  </si>
  <si>
    <t>Price</t>
  </si>
  <si>
    <t>Marketcap in Cr</t>
  </si>
  <si>
    <t>SALES</t>
  </si>
  <si>
    <t>Profit</t>
  </si>
  <si>
    <t>EPS</t>
  </si>
  <si>
    <t>FV</t>
  </si>
  <si>
    <t>Equity</t>
  </si>
  <si>
    <t>Total Equity</t>
  </si>
  <si>
    <t>Debt</t>
  </si>
  <si>
    <t>Lease Cr</t>
  </si>
  <si>
    <t>CUR.ASSETS</t>
  </si>
  <si>
    <t>CUR.LIABILITIES</t>
  </si>
  <si>
    <t>ASSETS</t>
  </si>
  <si>
    <t>LIABILITIES</t>
  </si>
  <si>
    <t>TRADE REC</t>
  </si>
  <si>
    <t>PPE_CF</t>
  </si>
  <si>
    <t>CFO</t>
  </si>
  <si>
    <t>CFI</t>
  </si>
  <si>
    <t>CFF</t>
  </si>
  <si>
    <t>NETCASHFLOW</t>
  </si>
  <si>
    <t>ULTRACEMCO</t>
  </si>
  <si>
    <t>LAST YEAR_25</t>
  </si>
  <si>
    <t>GROWTH</t>
  </si>
  <si>
    <t>Profitability</t>
  </si>
  <si>
    <t>LIQUIDITY</t>
  </si>
  <si>
    <t>SOLVENCY</t>
  </si>
  <si>
    <t>EARNING_RATIO</t>
  </si>
  <si>
    <t>VALUATIONS</t>
  </si>
  <si>
    <t>CFR</t>
  </si>
  <si>
    <t>SALES GROWTH</t>
  </si>
  <si>
    <t>P-MARGIN</t>
  </si>
  <si>
    <t>CUR.RATIO</t>
  </si>
  <si>
    <t>TRADE REC DAY</t>
  </si>
  <si>
    <t>DEBT2EQUITY</t>
  </si>
  <si>
    <t>DEBTRATIO</t>
  </si>
  <si>
    <t>ICR</t>
  </si>
  <si>
    <t>ROE</t>
  </si>
  <si>
    <t>ROPE</t>
  </si>
  <si>
    <t>ROA</t>
  </si>
  <si>
    <t>PE</t>
  </si>
  <si>
    <t>YIELD_23</t>
  </si>
  <si>
    <t>BOOKVALUE</t>
  </si>
  <si>
    <t>PBV</t>
  </si>
  <si>
    <t>PEG</t>
  </si>
  <si>
    <t>OCFR</t>
  </si>
  <si>
    <t>CFD</t>
  </si>
  <si>
    <t>FCF IN CR</t>
  </si>
  <si>
    <t>ActualData</t>
  </si>
  <si>
    <t>Years</t>
  </si>
  <si>
    <t>VOLUME(MMT)</t>
  </si>
  <si>
    <t>Sales</t>
  </si>
  <si>
    <t>Margin</t>
  </si>
  <si>
    <t>Other Equity</t>
  </si>
  <si>
    <t>Low</t>
  </si>
  <si>
    <t>High</t>
  </si>
  <si>
    <t>LPE</t>
  </si>
  <si>
    <t>HPE</t>
  </si>
  <si>
    <t xml:space="preserve">BookValue </t>
  </si>
  <si>
    <t>LPBV</t>
  </si>
  <si>
    <t>HPBV</t>
  </si>
  <si>
    <t>FY_2005</t>
  </si>
  <si>
    <t>FY_2006</t>
  </si>
  <si>
    <t>FY_2007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</si>
  <si>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</si>
  <si>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</si>
  <si>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</si>
  <si>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</si>
  <si>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</si>
  <si>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</si>
  <si>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</si>
  <si>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</si>
  <si>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</si>
  <si>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</si>
  <si>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</si>
  <si>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</si>
  <si>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</si>
  <si>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</si>
  <si>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FY_2022</t>
  </si>
  <si>
    <t>FY_2023</t>
  </si>
  <si>
    <t>FY_2024</t>
  </si>
  <si>
    <t>FY_2025</t>
  </si>
  <si>
    <t>Trail FY_26</t>
  </si>
  <si>
    <t>20 YEARS</t>
  </si>
  <si>
    <t>15 YEARS</t>
  </si>
  <si>
    <t>10 Years</t>
  </si>
  <si>
    <t>5 Years</t>
  </si>
  <si>
    <t>Last Year</t>
  </si>
  <si>
    <t>Trend</t>
  </si>
  <si>
    <t>CURRENT TREND</t>
  </si>
  <si>
    <t>Q1_FY_25</t>
  </si>
  <si>
    <t>H1_FY_25</t>
  </si>
  <si>
    <t>FY_25</t>
  </si>
  <si>
    <t>Q1_FY_26</t>
  </si>
  <si>
    <t>EST-2026</t>
  </si>
  <si>
    <t>TRAIL</t>
  </si>
  <si>
    <t>Q2_FY_25</t>
  </si>
  <si>
    <t>Q3_FY_25</t>
  </si>
  <si>
    <t>Q4_FY_25</t>
  </si>
  <si>
    <t>Q_FY_26</t>
  </si>
  <si>
    <t>Trail_EPS</t>
  </si>
  <si>
    <t>EPS_24</t>
  </si>
  <si>
    <t>T_EPS_25</t>
  </si>
  <si>
    <t>F_EPS_26</t>
  </si>
  <si>
    <t>PROFIT</t>
  </si>
  <si>
    <t>PE_24</t>
  </si>
  <si>
    <t>TRAIL_PE</t>
  </si>
  <si>
    <t>PE_26</t>
  </si>
  <si>
    <t>MARGIN</t>
  </si>
  <si>
    <t>RESULTS</t>
  </si>
  <si>
    <t>Q1_FY26</t>
  </si>
  <si>
    <t>Q1_FY25</t>
  </si>
  <si>
    <t>Growth</t>
  </si>
  <si>
    <t>Q4_FY_24</t>
  </si>
  <si>
    <t>FY25</t>
  </si>
  <si>
    <t>FY24</t>
  </si>
  <si>
    <t>MajorCost</t>
  </si>
  <si>
    <t>Share</t>
  </si>
  <si>
    <t>Revenue</t>
  </si>
  <si>
    <t>POWER&amp;FUEL</t>
  </si>
  <si>
    <t>Finance</t>
  </si>
  <si>
    <t>FREIGHT</t>
  </si>
  <si>
    <t>Expense</t>
  </si>
  <si>
    <t>MATERIAL</t>
  </si>
  <si>
    <t>Net Profit</t>
  </si>
  <si>
    <t>OTHER</t>
  </si>
  <si>
    <t>D&amp;A</t>
  </si>
  <si>
    <t>Net Profit Margin</t>
  </si>
  <si>
    <t>EMPLOYEE</t>
  </si>
  <si>
    <t>STOCKTRADE</t>
  </si>
  <si>
    <t>FINANCE</t>
  </si>
  <si>
    <t>Exp Growth</t>
  </si>
  <si>
    <t>INVENTORY</t>
  </si>
  <si>
    <t>Long Term</t>
  </si>
  <si>
    <t>CY YEAR</t>
  </si>
  <si>
    <t>TOTAL</t>
  </si>
  <si>
    <t>Estimates</t>
  </si>
  <si>
    <t>LOW PRICE RANGE</t>
  </si>
  <si>
    <t>FAIRVALUE</t>
  </si>
  <si>
    <t>HIGH PRICE RANGE</t>
  </si>
  <si>
    <t>BookValue</t>
  </si>
  <si>
    <t>FY_2026</t>
  </si>
  <si>
    <t>SHP</t>
  </si>
  <si>
    <t>FY_2030</t>
  </si>
  <si>
    <t>ANNUAL</t>
  </si>
  <si>
    <t>FY_2004</t>
  </si>
  <si>
    <t>FY_2035</t>
  </si>
  <si>
    <t>PROMOTER</t>
  </si>
  <si>
    <t>Domestic Inst</t>
  </si>
  <si>
    <t>WEIGHTAGE</t>
  </si>
  <si>
    <t>WEIGHTAGE @ EPS</t>
  </si>
  <si>
    <t>WEIGHTAGE @ BV</t>
  </si>
  <si>
    <t>WEIGHTAGE @ PEG</t>
  </si>
  <si>
    <t>ACTUAL WEIGHTAGE</t>
  </si>
  <si>
    <t>Foreign Inst</t>
  </si>
  <si>
    <t>Non Institution</t>
  </si>
  <si>
    <t>TOTAL.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</si>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</sst>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0.0"/>
    <numFmt numFmtId="167" formatCode="#,##0;\(#,##0\)"/>
  </numFmts>
  <fonts count="21" x14ac:knownFonts="1">
    <font>
      <sz val="11"/>
      <color theme="1"/>
      <name val="Arial"/>
      <scheme val="minor"/>
    </font>
    <font>
      <sz val="11"/>
      <color theme="1"/>
      <name val="Arial"/>
      <scheme val="minor"/>
    </font>
    <font>
      <sz val="11"/>
      <color theme="1"/>
      <name val="Calibri"/>
    </font>
    <font>
      <b/>
      <sz val="11"/>
      <color rgb="FFFFFFFF"/>
      <name val="Calibri"/>
    </font>
    <font>
      <b/>
      <i/>
      <sz val="11"/>
      <color theme="1"/>
      <name val="Calibri"/>
    </font>
    <font>
      <sz val="11"/>
      <color rgb="FF000000"/>
      <name val="Calibri"/>
    </font>
    <font>
      <b/>
      <sz val="14"/>
      <color rgb="FFFFFFFF"/>
      <name val="Calibri"/>
    </font>
    <font>
      <sz val="11"/>
      <color rgb="FF000000"/>
      <name val="Arial"/>
      <scheme val="minor"/>
    </font>
    <font>
      <b/>
      <sz val="11"/>
      <color rgb="FF000000"/>
      <name val="Arial"/>
      <scheme val="minor"/>
    </font>
    <font>
      <sz val="11"/>
      <color theme="1"/>
      <name val="Arial"/>
    </font>
    <font>
      <sz val="26"/>
      <color theme="1"/>
      <name val="Arial"/>
      <scheme val="minor"/>
    </font>
    <font>
      <sz val="11"/>
      <color rgb="FF073763"/>
      <name val="Arial"/>
      <scheme val="minor"/>
    </font>
    <font>
      <b/>
      <u/>
      <sz val="11"/>
      <color theme="1"/>
      <name val="Arial"/>
      <scheme val="minor"/>
    </font>
    <font>
      <i/>
      <sz val="11"/>
      <color theme="1"/>
      <name val="Arial"/>
    </font>
    <font>
      <i/>
      <sz val="11"/>
      <color rgb="FF0C0C0C"/>
      <name val="Times New Roman"/>
    </font>
    <font>
      <i/>
      <sz val="11"/>
      <color theme="1"/>
      <name val="Calibri"/>
    </font>
    <font>
      <b/>
      <sz val="9"/>
      <color rgb="FFFFFFFF"/>
      <name val="Times New Roman"/>
    </font>
    <font>
      <sz val="11"/>
      <color theme="1"/>
      <name val="Source Code Pro"/>
    </font>
    <font>
      <sz val="11"/>
      <color theme="1"/>
      <name val="Times New Roman"/>
    </font>
    <font>
      <b/>
      <u/>
      <sz val="18"/>
      <color rgb="FFFFFFFF"/>
      <name val="Calibri"/>
    </font>
    <font>
      <sz val="11"/>
      <name val="Arial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B7B7B7"/>
        <bgColor rgb="FFB7B7B7"/>
      </patternFill>
    </fill>
    <fill>
      <patternFill patternType="solid">
        <fgColor rgb="FF3D85C6"/>
        <bgColor rgb="FF3D85C6"/>
      </patternFill>
    </fill>
    <fill>
      <patternFill patternType="solid">
        <fgColor theme="0"/>
        <bgColor theme="0"/>
      </patternFill>
    </fill>
    <fill>
      <patternFill patternType="solid">
        <fgColor rgb="FFF9FDFB"/>
        <bgColor rgb="FFF9FDFB"/>
      </patternFill>
    </fill>
    <fill>
      <patternFill patternType="solid">
        <fgColor rgb="FFE67C73"/>
        <bgColor rgb="FFE67C73"/>
      </patternFill>
    </fill>
    <fill>
      <patternFill patternType="solid">
        <fgColor rgb="FFF6D1CD"/>
        <bgColor rgb="FFF6D1CD"/>
      </patternFill>
    </fill>
    <fill>
      <patternFill patternType="solid">
        <fgColor rgb="FFF9E2E1"/>
        <bgColor rgb="FFF9E2E1"/>
      </patternFill>
    </fill>
    <fill>
      <patternFill patternType="solid">
        <fgColor rgb="FFEEA9A4"/>
        <bgColor rgb="FFEEA9A4"/>
      </patternFill>
    </fill>
    <fill>
      <patternFill patternType="solid">
        <fgColor rgb="FFFCFEFD"/>
        <bgColor rgb="FFFCFEFD"/>
      </patternFill>
    </fill>
    <fill>
      <patternFill patternType="solid">
        <fgColor rgb="FFFCF2F1"/>
        <bgColor rgb="FFFCF2F1"/>
      </patternFill>
    </fill>
    <fill>
      <patternFill patternType="solid">
        <fgColor rgb="FFEAF7F1"/>
        <bgColor rgb="FFEAF7F1"/>
      </patternFill>
    </fill>
    <fill>
      <patternFill patternType="solid">
        <fgColor rgb="FFDAF0E6"/>
        <bgColor rgb="FFDAF0E6"/>
      </patternFill>
    </fill>
    <fill>
      <patternFill patternType="solid">
        <fgColor rgb="FFE2F4EB"/>
        <bgColor rgb="FFE2F4EB"/>
      </patternFill>
    </fill>
    <fill>
      <patternFill patternType="solid">
        <fgColor rgb="FFE4F4EC"/>
        <bgColor rgb="FFE4F4EC"/>
      </patternFill>
    </fill>
    <fill>
      <patternFill patternType="solid">
        <fgColor rgb="FFFDF9F8"/>
        <bgColor rgb="FFFDF9F8"/>
      </patternFill>
    </fill>
    <fill>
      <patternFill patternType="solid">
        <fgColor rgb="FFF6D1CE"/>
        <bgColor rgb="FFF6D1CE"/>
      </patternFill>
    </fill>
    <fill>
      <patternFill patternType="solid">
        <fgColor rgb="FFFCF4F3"/>
        <bgColor rgb="FFFCF4F3"/>
      </patternFill>
    </fill>
    <fill>
      <patternFill patternType="solid">
        <fgColor rgb="FFADDEC6"/>
        <bgColor rgb="FFADDEC6"/>
      </patternFill>
    </fill>
    <fill>
      <patternFill patternType="solid">
        <fgColor rgb="FF57BB8A"/>
        <bgColor rgb="FF57BB8A"/>
      </patternFill>
    </fill>
    <fill>
      <patternFill patternType="solid">
        <fgColor rgb="FF58BC8B"/>
        <bgColor rgb="FF58BC8B"/>
      </patternFill>
    </fill>
    <fill>
      <patternFill patternType="solid">
        <fgColor rgb="FF8BD0AE"/>
        <bgColor rgb="FF8BD0AE"/>
      </patternFill>
    </fill>
    <fill>
      <patternFill patternType="solid">
        <fgColor rgb="FF9FD8BC"/>
        <bgColor rgb="FF9FD8BC"/>
      </patternFill>
    </fill>
    <fill>
      <patternFill patternType="solid">
        <fgColor rgb="FFFAE6E5"/>
        <bgColor rgb="FFFAE6E5"/>
      </patternFill>
    </fill>
    <fill>
      <patternFill patternType="solid">
        <fgColor rgb="FFF7D8D5"/>
        <bgColor rgb="FFF7D8D5"/>
      </patternFill>
    </fill>
    <fill>
      <patternFill patternType="solid">
        <fgColor rgb="FFD9D9D9"/>
        <bgColor rgb="FFD9D9D9"/>
      </patternFill>
    </fill>
    <fill>
      <patternFill patternType="solid">
        <fgColor rgb="FF0C343D"/>
        <bgColor rgb="FF0C343D"/>
      </patternFill>
    </fill>
    <fill>
      <patternFill patternType="solid">
        <fgColor rgb="FF8DD1B0"/>
        <bgColor rgb="FF8DD1B0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1" xfId="0" applyFont="1" applyBorder="1"/>
    <xf numFmtId="0" fontId="2" fillId="2" borderId="2" xfId="0" applyFont="1" applyFill="1" applyBorder="1"/>
    <xf numFmtId="0" fontId="3" fillId="3" borderId="3" xfId="0" applyFont="1" applyFill="1" applyBorder="1"/>
    <xf numFmtId="0" fontId="2" fillId="0" borderId="3" xfId="0" applyFont="1" applyBorder="1"/>
    <xf numFmtId="1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1" fillId="0" borderId="3" xfId="0" applyFont="1" applyBorder="1"/>
    <xf numFmtId="0" fontId="2" fillId="0" borderId="0" xfId="0" applyFont="1"/>
    <xf numFmtId="1" fontId="2" fillId="0" borderId="3" xfId="0" applyNumberFormat="1" applyFont="1" applyBorder="1"/>
    <xf numFmtId="0" fontId="2" fillId="2" borderId="3" xfId="0" applyFont="1" applyFill="1" applyBorder="1"/>
    <xf numFmtId="0" fontId="4" fillId="4" borderId="3" xfId="0" applyFont="1" applyFill="1" applyBorder="1"/>
    <xf numFmtId="9" fontId="4" fillId="4" borderId="3" xfId="0" applyNumberFormat="1" applyFont="1" applyFill="1" applyBorder="1"/>
    <xf numFmtId="10" fontId="4" fillId="4" borderId="3" xfId="0" applyNumberFormat="1" applyFont="1" applyFill="1" applyBorder="1"/>
    <xf numFmtId="164" fontId="4" fillId="4" borderId="3" xfId="0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2" borderId="5" xfId="0" applyFont="1" applyFill="1" applyBorder="1"/>
    <xf numFmtId="0" fontId="1" fillId="0" borderId="0" xfId="0" applyFont="1"/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/>
    <xf numFmtId="0" fontId="3" fillId="3" borderId="4" xfId="0" applyFont="1" applyFill="1" applyBorder="1"/>
    <xf numFmtId="9" fontId="4" fillId="4" borderId="5" xfId="0" applyNumberFormat="1" applyFont="1" applyFill="1" applyBorder="1" applyAlignment="1">
      <alignment horizontal="right"/>
    </xf>
    <xf numFmtId="164" fontId="4" fillId="4" borderId="5" xfId="0" applyNumberFormat="1" applyFont="1" applyFill="1" applyBorder="1" applyAlignment="1">
      <alignment horizontal="right"/>
    </xf>
    <xf numFmtId="165" fontId="4" fillId="4" borderId="5" xfId="0" applyNumberFormat="1" applyFont="1" applyFill="1" applyBorder="1" applyAlignment="1">
      <alignment horizontal="right"/>
    </xf>
    <xf numFmtId="3" fontId="4" fillId="4" borderId="5" xfId="0" applyNumberFormat="1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right"/>
    </xf>
    <xf numFmtId="9" fontId="2" fillId="0" borderId="0" xfId="0" applyNumberFormat="1" applyFont="1"/>
    <xf numFmtId="0" fontId="6" fillId="3" borderId="4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0" fontId="3" fillId="5" borderId="6" xfId="0" applyFont="1" applyFill="1" applyBorder="1" applyAlignment="1">
      <alignment horizontal="left"/>
    </xf>
    <xf numFmtId="1" fontId="1" fillId="0" borderId="0" xfId="0" applyNumberFormat="1" applyFont="1"/>
    <xf numFmtId="3" fontId="7" fillId="6" borderId="3" xfId="0" applyNumberFormat="1" applyFont="1" applyFill="1" applyBorder="1" applyAlignment="1">
      <alignment horizontal="right"/>
    </xf>
    <xf numFmtId="1" fontId="7" fillId="6" borderId="3" xfId="0" applyNumberFormat="1" applyFont="1" applyFill="1" applyBorder="1" applyAlignment="1">
      <alignment horizontal="right"/>
    </xf>
    <xf numFmtId="164" fontId="2" fillId="7" borderId="0" xfId="0" applyNumberFormat="1" applyFont="1" applyFill="1" applyAlignment="1">
      <alignment horizontal="right"/>
    </xf>
    <xf numFmtId="1" fontId="0" fillId="6" borderId="3" xfId="0" applyNumberFormat="1" applyFill="1" applyBorder="1" applyAlignment="1">
      <alignment horizontal="right"/>
    </xf>
    <xf numFmtId="1" fontId="2" fillId="8" borderId="3" xfId="0" applyNumberFormat="1" applyFont="1" applyFill="1" applyBorder="1" applyAlignment="1">
      <alignment horizontal="right"/>
    </xf>
    <xf numFmtId="1" fontId="2" fillId="9" borderId="3" xfId="0" applyNumberFormat="1" applyFont="1" applyFill="1" applyBorder="1" applyAlignment="1">
      <alignment horizontal="right"/>
    </xf>
    <xf numFmtId="1" fontId="1" fillId="0" borderId="3" xfId="0" applyNumberFormat="1" applyFont="1" applyBorder="1"/>
    <xf numFmtId="1" fontId="0" fillId="6" borderId="3" xfId="0" applyNumberFormat="1" applyFill="1" applyBorder="1" applyAlignment="1">
      <alignment horizontal="right" vertical="center"/>
    </xf>
    <xf numFmtId="164" fontId="2" fillId="10" borderId="0" xfId="0" applyNumberFormat="1" applyFont="1" applyFill="1" applyAlignment="1">
      <alignment horizontal="right"/>
    </xf>
    <xf numFmtId="1" fontId="2" fillId="11" borderId="3" xfId="0" applyNumberFormat="1" applyFont="1" applyFill="1" applyBorder="1" applyAlignment="1">
      <alignment horizontal="right"/>
    </xf>
    <xf numFmtId="1" fontId="2" fillId="12" borderId="3" xfId="0" applyNumberFormat="1" applyFont="1" applyFill="1" applyBorder="1" applyAlignment="1">
      <alignment horizontal="right"/>
    </xf>
    <xf numFmtId="164" fontId="2" fillId="13" borderId="0" xfId="0" applyNumberFormat="1" applyFont="1" applyFill="1" applyAlignment="1">
      <alignment horizontal="right"/>
    </xf>
    <xf numFmtId="1" fontId="8" fillId="6" borderId="3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14" borderId="0" xfId="0" applyNumberFormat="1" applyFont="1" applyFill="1" applyAlignment="1">
      <alignment horizontal="right"/>
    </xf>
    <xf numFmtId="164" fontId="2" fillId="15" borderId="0" xfId="0" applyNumberFormat="1" applyFont="1" applyFill="1" applyAlignment="1">
      <alignment horizontal="right"/>
    </xf>
    <xf numFmtId="164" fontId="2" fillId="16" borderId="0" xfId="0" applyNumberFormat="1" applyFont="1" applyFill="1" applyAlignment="1">
      <alignment horizontal="right"/>
    </xf>
    <xf numFmtId="164" fontId="2" fillId="17" borderId="0" xfId="0" applyNumberFormat="1" applyFont="1" applyFill="1" applyAlignment="1">
      <alignment horizontal="right"/>
    </xf>
    <xf numFmtId="164" fontId="2" fillId="18" borderId="0" xfId="0" applyNumberFormat="1" applyFont="1" applyFill="1" applyAlignment="1">
      <alignment horizontal="right"/>
    </xf>
    <xf numFmtId="164" fontId="2" fillId="8" borderId="0" xfId="0" applyNumberFormat="1" applyFont="1" applyFill="1" applyAlignment="1">
      <alignment horizontal="right"/>
    </xf>
    <xf numFmtId="164" fontId="2" fillId="19" borderId="0" xfId="0" applyNumberFormat="1" applyFont="1" applyFill="1" applyAlignment="1">
      <alignment horizontal="right"/>
    </xf>
    <xf numFmtId="164" fontId="2" fillId="20" borderId="0" xfId="0" applyNumberFormat="1" applyFont="1" applyFill="1" applyAlignment="1">
      <alignment horizontal="right"/>
    </xf>
    <xf numFmtId="164" fontId="2" fillId="21" borderId="0" xfId="0" applyNumberFormat="1" applyFont="1" applyFill="1" applyAlignment="1">
      <alignment horizontal="right"/>
    </xf>
    <xf numFmtId="164" fontId="2" fillId="22" borderId="4" xfId="0" applyNumberFormat="1" applyFont="1" applyFill="1" applyBorder="1" applyAlignment="1">
      <alignment horizontal="right"/>
    </xf>
    <xf numFmtId="0" fontId="7" fillId="6" borderId="3" xfId="0" applyFont="1" applyFill="1" applyBorder="1" applyAlignment="1">
      <alignment horizontal="right" vertical="center"/>
    </xf>
    <xf numFmtId="0" fontId="7" fillId="6" borderId="3" xfId="0" applyFont="1" applyFill="1" applyBorder="1" applyAlignment="1">
      <alignment horizontal="right"/>
    </xf>
    <xf numFmtId="164" fontId="2" fillId="23" borderId="4" xfId="0" applyNumberFormat="1" applyFont="1" applyFill="1" applyBorder="1" applyAlignment="1">
      <alignment horizontal="right"/>
    </xf>
    <xf numFmtId="1" fontId="7" fillId="6" borderId="3" xfId="0" applyNumberFormat="1" applyFont="1" applyFill="1" applyBorder="1" applyAlignment="1">
      <alignment horizontal="right" vertical="center"/>
    </xf>
    <xf numFmtId="164" fontId="2" fillId="24" borderId="4" xfId="0" applyNumberFormat="1" applyFont="1" applyFill="1" applyBorder="1" applyAlignment="1">
      <alignment horizontal="right"/>
    </xf>
    <xf numFmtId="164" fontId="2" fillId="24" borderId="3" xfId="0" applyNumberFormat="1" applyFont="1" applyFill="1" applyBorder="1" applyAlignment="1">
      <alignment horizontal="right"/>
    </xf>
    <xf numFmtId="0" fontId="3" fillId="5" borderId="3" xfId="0" applyFont="1" applyFill="1" applyBorder="1"/>
    <xf numFmtId="9" fontId="1" fillId="0" borderId="0" xfId="0" applyNumberFormat="1" applyFont="1"/>
    <xf numFmtId="9" fontId="1" fillId="0" borderId="3" xfId="0" applyNumberFormat="1" applyFont="1" applyBorder="1"/>
    <xf numFmtId="164" fontId="4" fillId="25" borderId="3" xfId="0" applyNumberFormat="1" applyFont="1" applyFill="1" applyBorder="1" applyAlignment="1">
      <alignment horizontal="right"/>
    </xf>
    <xf numFmtId="3" fontId="4" fillId="25" borderId="3" xfId="0" applyNumberFormat="1" applyFont="1" applyFill="1" applyBorder="1" applyAlignment="1">
      <alignment horizontal="right"/>
    </xf>
    <xf numFmtId="164" fontId="4" fillId="26" borderId="3" xfId="0" applyNumberFormat="1" applyFont="1" applyFill="1" applyBorder="1" applyAlignment="1">
      <alignment horizontal="right"/>
    </xf>
    <xf numFmtId="3" fontId="4" fillId="26" borderId="3" xfId="0" applyNumberFormat="1" applyFont="1" applyFill="1" applyBorder="1" applyAlignment="1">
      <alignment horizontal="right"/>
    </xf>
    <xf numFmtId="164" fontId="4" fillId="8" borderId="3" xfId="0" applyNumberFormat="1" applyFont="1" applyFill="1" applyBorder="1" applyAlignment="1">
      <alignment horizontal="right"/>
    </xf>
    <xf numFmtId="3" fontId="4" fillId="8" borderId="3" xfId="0" applyNumberFormat="1" applyFont="1" applyFill="1" applyBorder="1" applyAlignment="1">
      <alignment horizontal="right"/>
    </xf>
    <xf numFmtId="164" fontId="4" fillId="27" borderId="3" xfId="0" applyNumberFormat="1" applyFont="1" applyFill="1" applyBorder="1" applyAlignment="1">
      <alignment horizontal="right"/>
    </xf>
    <xf numFmtId="3" fontId="4" fillId="27" borderId="3" xfId="0" applyNumberFormat="1" applyFont="1" applyFill="1" applyBorder="1" applyAlignment="1">
      <alignment horizontal="right"/>
    </xf>
    <xf numFmtId="0" fontId="6" fillId="3" borderId="7" xfId="0" applyFont="1" applyFill="1" applyBorder="1"/>
    <xf numFmtId="0" fontId="6" fillId="3" borderId="3" xfId="0" applyFont="1" applyFill="1" applyBorder="1"/>
    <xf numFmtId="0" fontId="6" fillId="3" borderId="5" xfId="0" applyFont="1" applyFill="1" applyBorder="1"/>
    <xf numFmtId="0" fontId="6" fillId="3" borderId="8" xfId="0" applyFont="1" applyFill="1" applyBorder="1"/>
    <xf numFmtId="0" fontId="6" fillId="3" borderId="3" xfId="0" applyFont="1" applyFill="1" applyBorder="1" applyAlignment="1">
      <alignment horizontal="center"/>
    </xf>
    <xf numFmtId="9" fontId="9" fillId="0" borderId="7" xfId="0" applyNumberFormat="1" applyFont="1" applyBorder="1"/>
    <xf numFmtId="9" fontId="9" fillId="0" borderId="5" xfId="0" applyNumberFormat="1" applyFont="1" applyBorder="1" applyAlignment="1">
      <alignment horizontal="right"/>
    </xf>
    <xf numFmtId="0" fontId="9" fillId="0" borderId="7" xfId="0" applyFont="1" applyBorder="1"/>
    <xf numFmtId="2" fontId="2" fillId="0" borderId="5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center"/>
    </xf>
    <xf numFmtId="1" fontId="10" fillId="4" borderId="0" xfId="0" applyNumberFormat="1" applyFont="1" applyFill="1" applyAlignment="1">
      <alignment horizontal="center" vertical="center"/>
    </xf>
    <xf numFmtId="0" fontId="0" fillId="0" borderId="0" xfId="0"/>
    <xf numFmtId="164" fontId="2" fillId="0" borderId="5" xfId="0" applyNumberFormat="1" applyFont="1" applyBorder="1" applyAlignment="1">
      <alignment horizontal="right"/>
    </xf>
    <xf numFmtId="0" fontId="3" fillId="3" borderId="2" xfId="0" applyFont="1" applyFill="1" applyBorder="1"/>
    <xf numFmtId="10" fontId="1" fillId="0" borderId="3" xfId="0" applyNumberFormat="1" applyFont="1" applyBorder="1"/>
    <xf numFmtId="164" fontId="1" fillId="0" borderId="0" xfId="0" applyNumberFormat="1" applyFont="1"/>
    <xf numFmtId="0" fontId="0" fillId="6" borderId="3" xfId="0" applyFill="1" applyBorder="1"/>
    <xf numFmtId="9" fontId="0" fillId="6" borderId="3" xfId="0" applyNumberFormat="1" applyFill="1" applyBorder="1"/>
    <xf numFmtId="0" fontId="11" fillId="6" borderId="3" xfId="0" applyFont="1" applyFill="1" applyBorder="1"/>
    <xf numFmtId="0" fontId="11" fillId="6" borderId="3" xfId="0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/>
    </xf>
    <xf numFmtId="164" fontId="1" fillId="0" borderId="3" xfId="0" applyNumberFormat="1" applyFont="1" applyBorder="1"/>
    <xf numFmtId="10" fontId="1" fillId="0" borderId="0" xfId="0" applyNumberFormat="1" applyFont="1"/>
    <xf numFmtId="166" fontId="1" fillId="0" borderId="3" xfId="0" applyNumberFormat="1" applyFont="1" applyBorder="1"/>
    <xf numFmtId="3" fontId="11" fillId="6" borderId="3" xfId="0" applyNumberFormat="1" applyFont="1" applyFill="1" applyBorder="1"/>
    <xf numFmtId="0" fontId="6" fillId="3" borderId="9" xfId="0" applyFont="1" applyFill="1" applyBorder="1"/>
    <xf numFmtId="0" fontId="3" fillId="3" borderId="8" xfId="0" applyFont="1" applyFill="1" applyBorder="1"/>
    <xf numFmtId="0" fontId="3" fillId="5" borderId="6" xfId="0" applyFont="1" applyFill="1" applyBorder="1"/>
    <xf numFmtId="9" fontId="4" fillId="4" borderId="3" xfId="0" applyNumberFormat="1" applyFont="1" applyFill="1" applyBorder="1" applyAlignment="1">
      <alignment horizontal="right"/>
    </xf>
    <xf numFmtId="164" fontId="4" fillId="4" borderId="3" xfId="0" applyNumberFormat="1" applyFont="1" applyFill="1" applyBorder="1" applyAlignment="1">
      <alignment horizontal="right"/>
    </xf>
    <xf numFmtId="0" fontId="0" fillId="6" borderId="0" xfId="0" applyFill="1"/>
    <xf numFmtId="0" fontId="12" fillId="6" borderId="10" xfId="0" applyFont="1" applyFill="1" applyBorder="1"/>
    <xf numFmtId="1" fontId="12" fillId="6" borderId="10" xfId="0" applyNumberFormat="1" applyFont="1" applyFill="1" applyBorder="1"/>
    <xf numFmtId="9" fontId="12" fillId="6" borderId="3" xfId="0" applyNumberFormat="1" applyFont="1" applyFill="1" applyBorder="1"/>
    <xf numFmtId="9" fontId="12" fillId="6" borderId="10" xfId="0" applyNumberFormat="1" applyFont="1" applyFill="1" applyBorder="1"/>
    <xf numFmtId="0" fontId="9" fillId="0" borderId="0" xfId="0" applyFont="1"/>
    <xf numFmtId="0" fontId="3" fillId="5" borderId="7" xfId="0" applyFont="1" applyFill="1" applyBorder="1" applyAlignment="1">
      <alignment horizontal="left"/>
    </xf>
    <xf numFmtId="3" fontId="2" fillId="4" borderId="5" xfId="0" applyNumberFormat="1" applyFont="1" applyFill="1" applyBorder="1" applyAlignment="1">
      <alignment horizontal="right"/>
    </xf>
    <xf numFmtId="167" fontId="9" fillId="28" borderId="3" xfId="0" applyNumberFormat="1" applyFont="1" applyFill="1" applyBorder="1" applyAlignment="1">
      <alignment horizontal="right"/>
    </xf>
    <xf numFmtId="167" fontId="13" fillId="28" borderId="3" xfId="0" applyNumberFormat="1" applyFont="1" applyFill="1" applyBorder="1" applyAlignment="1">
      <alignment horizontal="center"/>
    </xf>
    <xf numFmtId="3" fontId="14" fillId="28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9" fontId="15" fillId="0" borderId="3" xfId="0" applyNumberFormat="1" applyFont="1" applyBorder="1" applyAlignment="1">
      <alignment horizontal="right"/>
    </xf>
    <xf numFmtId="164" fontId="2" fillId="0" borderId="4" xfId="0" applyNumberFormat="1" applyFont="1" applyBorder="1"/>
    <xf numFmtId="0" fontId="16" fillId="29" borderId="3" xfId="0" applyFont="1" applyFill="1" applyBorder="1" applyAlignment="1">
      <alignment wrapText="1"/>
    </xf>
    <xf numFmtId="1" fontId="16" fillId="29" borderId="3" xfId="0" applyNumberFormat="1" applyFont="1" applyFill="1" applyBorder="1" applyAlignment="1">
      <alignment wrapText="1"/>
    </xf>
    <xf numFmtId="10" fontId="9" fillId="22" borderId="3" xfId="0" applyNumberFormat="1" applyFont="1" applyFill="1" applyBorder="1" applyAlignment="1">
      <alignment horizontal="right"/>
    </xf>
    <xf numFmtId="10" fontId="9" fillId="30" borderId="3" xfId="0" applyNumberFormat="1" applyFont="1" applyFill="1" applyBorder="1" applyAlignment="1">
      <alignment horizontal="right"/>
    </xf>
    <xf numFmtId="10" fontId="17" fillId="2" borderId="5" xfId="0" applyNumberFormat="1" applyFont="1" applyFill="1" applyBorder="1" applyAlignment="1">
      <alignment horizontal="right"/>
    </xf>
    <xf numFmtId="10" fontId="18" fillId="2" borderId="3" xfId="0" applyNumberFormat="1" applyFont="1" applyFill="1" applyBorder="1" applyAlignment="1">
      <alignment horizontal="right"/>
    </xf>
    <xf numFmtId="165" fontId="1" fillId="0" borderId="3" xfId="0" applyNumberFormat="1" applyFont="1" applyBorder="1"/>
    <xf numFmtId="165" fontId="1" fillId="0" borderId="0" xfId="0" applyNumberFormat="1" applyFont="1"/>
    <xf numFmtId="0" fontId="1" fillId="0" borderId="10" xfId="0" applyFont="1" applyBorder="1"/>
    <xf numFmtId="165" fontId="1" fillId="0" borderId="10" xfId="0" applyNumberFormat="1" applyFont="1" applyBorder="1"/>
    <xf numFmtId="9" fontId="15" fillId="0" borderId="2" xfId="0" applyNumberFormat="1" applyFont="1" applyBorder="1" applyAlignment="1">
      <alignment horizontal="right"/>
    </xf>
    <xf numFmtId="0" fontId="19" fillId="3" borderId="0" xfId="0" applyFont="1" applyFill="1" applyAlignment="1">
      <alignment horizontal="center" vertical="center"/>
    </xf>
    <xf numFmtId="0" fontId="2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67</xdr:row>
      <xdr:rowOff>9525</xdr:rowOff>
    </xdr:from>
    <xdr:ext cx="10744200" cy="42957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284FBBCC-F06B-494A-85E6-A62D3E7A50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12856845"/>
          <a:ext cx="10744200" cy="429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91A9-0A09-422D-9FDC-F3F18E3987F7}">
  <sheetPr>
    <outlinePr summaryBelow="0" summaryRight="0"/>
  </sheetPr>
  <dimension ref="A1:V87"/>
  <sheetViews>
    <sheetView showGridLines="0" tabSelected="1" workbookViewId="0"/>
  </sheetViews>
  <sheetFormatPr defaultColWidth="12.59765625" defaultRowHeight="15" customHeight="1" x14ac:dyDescent="0.25"/>
  <cols>
    <col min="1" max="1" width="6.69921875" customWidth="1"/>
  </cols>
  <sheetData>
    <row r="1" spans="1:22" ht="15" customHeight="1" x14ac:dyDescent="0.3">
      <c r="A1" s="1"/>
      <c r="C1" s="2"/>
      <c r="D1" s="2"/>
      <c r="E1" s="3" t="s">
        <v>0</v>
      </c>
      <c r="F1" s="2"/>
      <c r="G1" s="2"/>
      <c r="H1" s="2"/>
      <c r="I1" s="3" t="s">
        <v>1</v>
      </c>
      <c r="J1" s="2"/>
      <c r="K1" s="2"/>
      <c r="L1" s="2"/>
      <c r="M1" s="2"/>
      <c r="N1" s="2"/>
      <c r="O1" s="2"/>
      <c r="P1" s="2"/>
      <c r="Q1" s="2"/>
      <c r="R1" s="3" t="s">
        <v>2</v>
      </c>
    </row>
    <row r="2" spans="1:22" ht="15" customHeight="1" x14ac:dyDescent="0.3">
      <c r="A2" s="1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</row>
    <row r="3" spans="1:22" ht="15" customHeight="1" x14ac:dyDescent="0.3">
      <c r="A3" s="1"/>
      <c r="B3" s="4" t="s">
        <v>24</v>
      </c>
      <c r="C3" s="5">
        <f ca="1">IFERROR(__xludf.DUMMYFUNCTION("GOOGLEFINANCE(""NSE:""&amp;B3,""price"")"),12411)</f>
        <v>12411</v>
      </c>
      <c r="D3" s="5">
        <f ca="1">IFERROR(__xludf.DUMMYFUNCTION("GOOGLEFINANCE(""NSE:""&amp;B3,""MARKETCAP"")/10000000"),365042.6764546)</f>
        <v>365042.6764546</v>
      </c>
      <c r="E3" s="5">
        <f t="shared" ref="E3:F3" si="0">D33</f>
        <v>75822</v>
      </c>
      <c r="F3" s="5">
        <f t="shared" si="0"/>
        <v>6767</v>
      </c>
      <c r="G3" s="5">
        <f>G33</f>
        <v>239.47000000000003</v>
      </c>
      <c r="H3" s="6">
        <v>10</v>
      </c>
      <c r="I3" s="6">
        <v>294</v>
      </c>
      <c r="J3" s="6">
        <v>70411</v>
      </c>
      <c r="K3" s="6">
        <v>23030</v>
      </c>
      <c r="L3" s="6">
        <v>1071</v>
      </c>
      <c r="M3" s="5">
        <v>23600</v>
      </c>
      <c r="N3" s="5">
        <v>32365</v>
      </c>
      <c r="O3" s="7">
        <v>133697</v>
      </c>
      <c r="P3" s="5">
        <v>59804</v>
      </c>
      <c r="Q3" s="6">
        <v>5890</v>
      </c>
      <c r="R3" s="8">
        <v>-9129</v>
      </c>
      <c r="S3" s="8">
        <v>10673</v>
      </c>
      <c r="T3" s="8">
        <v>-16504</v>
      </c>
      <c r="U3" s="8">
        <v>5076</v>
      </c>
      <c r="V3" s="8">
        <f t="shared" ref="V3:V4" si="1">SUM(S3:U3)</f>
        <v>-755</v>
      </c>
    </row>
    <row r="4" spans="1:22" ht="15" customHeight="1" x14ac:dyDescent="0.3">
      <c r="A4" s="9"/>
      <c r="B4" s="4" t="s">
        <v>25</v>
      </c>
      <c r="C4" s="4">
        <v>11509</v>
      </c>
      <c r="D4" s="10">
        <f ca="1">C4*D3/C3</f>
        <v>338512.30064587796</v>
      </c>
      <c r="E4" s="4">
        <v>73365</v>
      </c>
      <c r="F4" s="4">
        <v>7731</v>
      </c>
      <c r="G4" s="4">
        <v>205</v>
      </c>
      <c r="H4" s="4">
        <v>10</v>
      </c>
      <c r="I4" s="4">
        <v>289</v>
      </c>
      <c r="J4" s="11">
        <v>59938</v>
      </c>
      <c r="K4" s="11">
        <f>5307+4990</f>
        <v>10297</v>
      </c>
      <c r="L4" s="11">
        <f>942+162</f>
        <v>1104</v>
      </c>
      <c r="M4" s="11">
        <v>23143</v>
      </c>
      <c r="N4" s="11">
        <v>26905</v>
      </c>
      <c r="O4" s="11">
        <v>100802</v>
      </c>
      <c r="P4" s="5">
        <v>40517</v>
      </c>
      <c r="Q4" s="11">
        <v>4278</v>
      </c>
      <c r="R4" s="8">
        <v>-9005</v>
      </c>
      <c r="S4" s="8">
        <v>10897</v>
      </c>
      <c r="T4" s="8">
        <v>-8788</v>
      </c>
      <c r="U4" s="8">
        <v>-1925</v>
      </c>
      <c r="V4" s="8">
        <f t="shared" si="1"/>
        <v>184</v>
      </c>
    </row>
    <row r="5" spans="1:22" ht="15" customHeight="1" x14ac:dyDescent="0.3">
      <c r="A5" s="9"/>
      <c r="B5" s="12" t="s">
        <v>26</v>
      </c>
      <c r="C5" s="13">
        <f t="shared" ref="C5:S5" ca="1" si="2">(C3/C4)-1</f>
        <v>7.8373446867668672E-2</v>
      </c>
      <c r="D5" s="13">
        <f t="shared" ca="1" si="2"/>
        <v>7.8373446867668894E-2</v>
      </c>
      <c r="E5" s="14">
        <f t="shared" si="2"/>
        <v>3.3490083827438122E-2</v>
      </c>
      <c r="F5" s="15">
        <f t="shared" si="2"/>
        <v>-0.12469279523994303</v>
      </c>
      <c r="G5" s="13">
        <f t="shared" si="2"/>
        <v>0.16814634146341478</v>
      </c>
      <c r="H5" s="13">
        <f t="shared" si="2"/>
        <v>0</v>
      </c>
      <c r="I5" s="13">
        <f t="shared" si="2"/>
        <v>1.730103806228378E-2</v>
      </c>
      <c r="J5" s="13">
        <f t="shared" si="2"/>
        <v>0.17473055490673706</v>
      </c>
      <c r="K5" s="13">
        <f t="shared" si="2"/>
        <v>1.2365737593473827</v>
      </c>
      <c r="L5" s="13">
        <f t="shared" si="2"/>
        <v>-2.9891304347826053E-2</v>
      </c>
      <c r="M5" s="13">
        <f t="shared" si="2"/>
        <v>1.9746791686471088E-2</v>
      </c>
      <c r="N5" s="13">
        <f t="shared" si="2"/>
        <v>0.20293625720126363</v>
      </c>
      <c r="O5" s="13">
        <f t="shared" si="2"/>
        <v>0.32633281085692745</v>
      </c>
      <c r="P5" s="13">
        <f t="shared" si="2"/>
        <v>0.47602241034627446</v>
      </c>
      <c r="Q5" s="13">
        <f t="shared" si="2"/>
        <v>0.37681159420289845</v>
      </c>
      <c r="R5" s="13">
        <f t="shared" si="2"/>
        <v>1.3770127706829616E-2</v>
      </c>
      <c r="S5" s="13">
        <f t="shared" si="2"/>
        <v>-2.0556116362301591E-2</v>
      </c>
      <c r="T5" s="13">
        <v>-2.2200000000000002</v>
      </c>
      <c r="U5" s="13">
        <v>0.87</v>
      </c>
      <c r="V5" s="13">
        <v>1.26</v>
      </c>
    </row>
    <row r="6" spans="1:22" ht="15" customHeight="1" x14ac:dyDescent="0.3">
      <c r="A6" s="9"/>
      <c r="B6" s="16"/>
      <c r="C6" s="16"/>
      <c r="D6" s="16"/>
      <c r="E6" s="16"/>
      <c r="F6" s="16"/>
      <c r="G6" s="16"/>
      <c r="H6" s="16"/>
      <c r="I6" s="17"/>
      <c r="J6" s="18"/>
      <c r="K6" s="18"/>
      <c r="L6" s="18"/>
      <c r="M6" s="18"/>
      <c r="N6" s="18"/>
      <c r="O6" s="18"/>
      <c r="P6" s="18"/>
      <c r="Q6" s="18"/>
    </row>
    <row r="7" spans="1:22" ht="15" customHeight="1" x14ac:dyDescent="0.3">
      <c r="A7" s="1"/>
      <c r="B7" s="17" t="s">
        <v>26</v>
      </c>
      <c r="C7" s="19" t="s">
        <v>27</v>
      </c>
      <c r="D7" s="17" t="s">
        <v>28</v>
      </c>
      <c r="E7" s="17"/>
      <c r="F7" s="17" t="s">
        <v>29</v>
      </c>
      <c r="G7" s="17"/>
      <c r="H7" s="17"/>
      <c r="I7" s="17" t="s">
        <v>30</v>
      </c>
      <c r="J7" s="18"/>
      <c r="K7" s="18"/>
      <c r="L7" s="18" t="s">
        <v>31</v>
      </c>
      <c r="M7" s="18"/>
      <c r="N7" s="18"/>
      <c r="O7" s="18"/>
      <c r="P7" s="18"/>
      <c r="Q7" s="20" t="s">
        <v>32</v>
      </c>
      <c r="R7" s="21"/>
      <c r="S7" s="22"/>
    </row>
    <row r="8" spans="1:22" ht="15" customHeight="1" x14ac:dyDescent="0.3">
      <c r="A8" s="1"/>
      <c r="B8" s="23" t="s">
        <v>33</v>
      </c>
      <c r="C8" s="23" t="s">
        <v>34</v>
      </c>
      <c r="D8" s="23" t="s">
        <v>35</v>
      </c>
      <c r="E8" s="23" t="s">
        <v>36</v>
      </c>
      <c r="F8" s="23" t="s">
        <v>37</v>
      </c>
      <c r="G8" s="23" t="s">
        <v>38</v>
      </c>
      <c r="H8" s="23" t="s">
        <v>39</v>
      </c>
      <c r="I8" s="23" t="s">
        <v>40</v>
      </c>
      <c r="J8" s="23" t="s">
        <v>41</v>
      </c>
      <c r="K8" s="23" t="s">
        <v>42</v>
      </c>
      <c r="L8" s="23" t="s">
        <v>43</v>
      </c>
      <c r="M8" s="23" t="s">
        <v>44</v>
      </c>
      <c r="N8" s="23" t="s">
        <v>45</v>
      </c>
      <c r="O8" s="23" t="s">
        <v>46</v>
      </c>
      <c r="P8" s="23" t="s">
        <v>47</v>
      </c>
      <c r="Q8" s="23" t="s">
        <v>48</v>
      </c>
      <c r="R8" s="23" t="s">
        <v>49</v>
      </c>
      <c r="S8" s="23" t="s">
        <v>50</v>
      </c>
    </row>
    <row r="9" spans="1:22" ht="15" customHeight="1" x14ac:dyDescent="0.3">
      <c r="A9" s="1"/>
      <c r="B9" s="24">
        <f>E48</f>
        <v>0.13056647890317774</v>
      </c>
      <c r="C9" s="25">
        <f>C53</f>
        <v>0.10439482961222092</v>
      </c>
      <c r="D9" s="26">
        <f>M3/N3</f>
        <v>0.72918275915340647</v>
      </c>
      <c r="E9" s="27">
        <f>(Q3/E3)*365</f>
        <v>28.353907836775605</v>
      </c>
      <c r="F9" s="24">
        <f>K3/J3</f>
        <v>0.32707957563448892</v>
      </c>
      <c r="G9" s="24">
        <f>P3/O3</f>
        <v>0.4473099620784311</v>
      </c>
      <c r="H9" s="28">
        <f>C54</f>
        <v>7.628175519630485</v>
      </c>
      <c r="I9" s="24">
        <f>F3/J3</f>
        <v>9.6107142349916921E-2</v>
      </c>
      <c r="J9" s="28">
        <f>F3/I3</f>
        <v>23.017006802721088</v>
      </c>
      <c r="K9" s="24">
        <f>F3/O3</f>
        <v>5.0614449090106733E-2</v>
      </c>
      <c r="L9" s="28">
        <f ca="1">C3/G3</f>
        <v>51.82695118386436</v>
      </c>
      <c r="M9" s="25">
        <f ca="1">G3/C3</f>
        <v>1.9294980259447266E-2</v>
      </c>
      <c r="N9" s="28">
        <f>J3/(I3/H3)</f>
        <v>2394.9319727891157</v>
      </c>
      <c r="O9" s="28">
        <f ca="1">C3/N9</f>
        <v>5.1821931232335858</v>
      </c>
      <c r="P9" s="26">
        <f ca="1">S43</f>
        <v>1.6607965828618529</v>
      </c>
      <c r="Q9" s="26">
        <f>S3-N3</f>
        <v>-21692</v>
      </c>
      <c r="R9" s="26">
        <f>S3-K3</f>
        <v>-12357</v>
      </c>
      <c r="S9" s="26">
        <f>S3-R3</f>
        <v>19802</v>
      </c>
    </row>
    <row r="10" spans="1:22" ht="15" customHeight="1" x14ac:dyDescent="0.3">
      <c r="A10" s="9"/>
      <c r="B10" s="9"/>
      <c r="C10" s="2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22" ht="15" customHeight="1" x14ac:dyDescent="0.35">
      <c r="A11" s="30" t="s">
        <v>51</v>
      </c>
      <c r="B11" s="31" t="s">
        <v>52</v>
      </c>
      <c r="C11" s="23" t="s">
        <v>53</v>
      </c>
      <c r="D11" s="23" t="s">
        <v>54</v>
      </c>
      <c r="E11" s="23" t="s">
        <v>7</v>
      </c>
      <c r="F11" s="23" t="s">
        <v>55</v>
      </c>
      <c r="G11" s="23" t="s">
        <v>8</v>
      </c>
      <c r="H11" s="23" t="s">
        <v>10</v>
      </c>
      <c r="I11" s="23" t="s">
        <v>56</v>
      </c>
      <c r="J11" s="23" t="s">
        <v>57</v>
      </c>
      <c r="K11" s="23" t="s">
        <v>58</v>
      </c>
      <c r="L11" s="32" t="s">
        <v>59</v>
      </c>
      <c r="M11" s="23" t="s">
        <v>60</v>
      </c>
      <c r="N11" s="32" t="s">
        <v>61</v>
      </c>
      <c r="O11" s="32" t="s">
        <v>62</v>
      </c>
      <c r="P11" s="23" t="s">
        <v>63</v>
      </c>
    </row>
    <row r="12" spans="1:22" ht="15" customHeight="1" x14ac:dyDescent="0.3">
      <c r="B12" s="33" t="s">
        <v>64</v>
      </c>
      <c r="C12" s="34">
        <f>2.65+12.52</f>
        <v>15.17</v>
      </c>
      <c r="D12" s="35">
        <v>2703</v>
      </c>
      <c r="E12" s="36">
        <v>2.9</v>
      </c>
      <c r="F12" s="37">
        <f t="shared" ref="F12:F33" si="3">E12/D12</f>
        <v>1.072881982981872E-3</v>
      </c>
      <c r="G12" s="36">
        <v>0.23</v>
      </c>
      <c r="H12" s="8">
        <v>124</v>
      </c>
      <c r="I12" s="8">
        <v>929</v>
      </c>
      <c r="J12" s="38">
        <v>249</v>
      </c>
      <c r="K12" s="38">
        <v>393</v>
      </c>
      <c r="L12" s="39"/>
      <c r="M12" s="40"/>
      <c r="N12" s="41">
        <f t="shared" ref="N12:N33" si="4">(H12+I12)/(H12/10)</f>
        <v>84.91935483870968</v>
      </c>
      <c r="O12" s="42">
        <f t="shared" ref="O12:O33" si="5">J12/N12</f>
        <v>2.9321937321937321</v>
      </c>
      <c r="P12" s="34">
        <f t="shared" ref="P12:P33" si="6">K12/N12</f>
        <v>4.6279202279202281</v>
      </c>
    </row>
    <row r="13" spans="1:22" ht="15" customHeight="1" x14ac:dyDescent="0.3">
      <c r="B13" s="33" t="s">
        <v>65</v>
      </c>
      <c r="C13" s="34">
        <f>1.32+14.23</f>
        <v>15.55</v>
      </c>
      <c r="D13" s="35">
        <v>3261</v>
      </c>
      <c r="E13" s="36">
        <v>166</v>
      </c>
      <c r="F13" s="43">
        <f t="shared" si="3"/>
        <v>5.0904630481447409E-2</v>
      </c>
      <c r="G13" s="36">
        <v>13.3</v>
      </c>
      <c r="H13" s="8">
        <v>124</v>
      </c>
      <c r="I13" s="8">
        <v>1200</v>
      </c>
      <c r="J13" s="38">
        <v>314</v>
      </c>
      <c r="K13" s="38">
        <v>689</v>
      </c>
      <c r="L13" s="44">
        <f t="shared" ref="L13:L33" si="7">J13/G13</f>
        <v>23.609022556390975</v>
      </c>
      <c r="M13" s="45">
        <f t="shared" ref="M13:M33" si="8">K13/G13</f>
        <v>51.804511278195484</v>
      </c>
      <c r="N13" s="41">
        <f t="shared" si="4"/>
        <v>106.77419354838709</v>
      </c>
      <c r="O13" s="42">
        <f t="shared" si="5"/>
        <v>2.9407854984894262</v>
      </c>
      <c r="P13" s="34">
        <f t="shared" si="6"/>
        <v>6.4528700906344412</v>
      </c>
      <c r="Q13" s="34"/>
    </row>
    <row r="14" spans="1:22" ht="15" customHeight="1" x14ac:dyDescent="0.3">
      <c r="B14" s="33" t="s">
        <v>66</v>
      </c>
      <c r="C14" s="34">
        <f>2.5+15.17</f>
        <v>17.670000000000002</v>
      </c>
      <c r="D14" s="35">
        <v>4972</v>
      </c>
      <c r="E14" s="36">
        <v>782</v>
      </c>
      <c r="F14" s="46">
        <f t="shared" si="3"/>
        <v>0.15728077232502011</v>
      </c>
      <c r="G14" s="47">
        <v>62.84</v>
      </c>
      <c r="H14" s="8">
        <v>124</v>
      </c>
      <c r="I14" s="8">
        <v>1600</v>
      </c>
      <c r="J14" s="38">
        <v>500.5</v>
      </c>
      <c r="K14" s="38">
        <v>1204.95</v>
      </c>
      <c r="L14" s="44">
        <f t="shared" si="7"/>
        <v>7.9646721833227243</v>
      </c>
      <c r="M14" s="45">
        <f t="shared" si="8"/>
        <v>19.174888605983451</v>
      </c>
      <c r="N14" s="41">
        <f t="shared" si="4"/>
        <v>139.03225806451613</v>
      </c>
      <c r="O14" s="42">
        <f t="shared" si="5"/>
        <v>3.5998839907192575</v>
      </c>
      <c r="P14" s="34">
        <f t="shared" si="6"/>
        <v>8.6666937354988409</v>
      </c>
      <c r="Q14" s="34"/>
    </row>
    <row r="15" spans="1:22" ht="15" customHeight="1" x14ac:dyDescent="0.3">
      <c r="B15" s="33" t="s">
        <v>67</v>
      </c>
      <c r="C15" s="34">
        <f>2.09+15.02</f>
        <v>17.11</v>
      </c>
      <c r="D15" s="35">
        <v>5609</v>
      </c>
      <c r="E15" s="36">
        <v>1008</v>
      </c>
      <c r="F15" s="48">
        <f t="shared" si="3"/>
        <v>0.17971117846318416</v>
      </c>
      <c r="G15" s="36">
        <v>80.94</v>
      </c>
      <c r="H15" s="8">
        <v>124</v>
      </c>
      <c r="I15" s="8">
        <v>2100</v>
      </c>
      <c r="J15" s="38">
        <v>662.3</v>
      </c>
      <c r="K15" s="38">
        <v>1165</v>
      </c>
      <c r="L15" s="44">
        <f t="shared" si="7"/>
        <v>8.182604398319743</v>
      </c>
      <c r="M15" s="45">
        <f t="shared" si="8"/>
        <v>14.393377810723994</v>
      </c>
      <c r="N15" s="41">
        <f t="shared" si="4"/>
        <v>179.35483870967741</v>
      </c>
      <c r="O15" s="42">
        <f t="shared" si="5"/>
        <v>3.6926798561151077</v>
      </c>
      <c r="P15" s="34">
        <f t="shared" si="6"/>
        <v>6.495503597122303</v>
      </c>
      <c r="Q15" s="34"/>
    </row>
    <row r="16" spans="1:22" ht="15" customHeight="1" x14ac:dyDescent="0.3">
      <c r="B16" s="33" t="s">
        <v>68</v>
      </c>
      <c r="C16" s="34">
        <f>2.38+15.8</f>
        <v>18.18</v>
      </c>
      <c r="D16" s="35">
        <v>6487</v>
      </c>
      <c r="E16" s="36">
        <v>977</v>
      </c>
      <c r="F16" s="49">
        <f t="shared" si="3"/>
        <v>0.15060891012794819</v>
      </c>
      <c r="G16" s="36">
        <v>78.48</v>
      </c>
      <c r="H16" s="8">
        <v>124</v>
      </c>
      <c r="I16" s="8">
        <v>2800</v>
      </c>
      <c r="J16" s="38">
        <v>250</v>
      </c>
      <c r="K16" s="38">
        <v>843</v>
      </c>
      <c r="L16" s="44">
        <f t="shared" si="7"/>
        <v>3.1855249745158001</v>
      </c>
      <c r="M16" s="45">
        <f t="shared" si="8"/>
        <v>10.741590214067278</v>
      </c>
      <c r="N16" s="41">
        <f t="shared" si="4"/>
        <v>235.80645161290323</v>
      </c>
      <c r="O16" s="42">
        <f t="shared" si="5"/>
        <v>1.0601915184678523</v>
      </c>
      <c r="P16" s="34">
        <f t="shared" si="6"/>
        <v>3.5749658002735978</v>
      </c>
      <c r="Q16" s="34"/>
    </row>
    <row r="17" spans="2:17" ht="15" customHeight="1" x14ac:dyDescent="0.3">
      <c r="B17" s="33" t="s">
        <v>69</v>
      </c>
      <c r="C17" s="34">
        <f>2.46+17.47</f>
        <v>19.93</v>
      </c>
      <c r="D17" s="35">
        <v>7172</v>
      </c>
      <c r="E17" s="36">
        <v>1093</v>
      </c>
      <c r="F17" s="50">
        <f t="shared" si="3"/>
        <v>0.15239821528165087</v>
      </c>
      <c r="G17" s="36">
        <v>87.82</v>
      </c>
      <c r="H17" s="8">
        <v>274</v>
      </c>
      <c r="I17" s="8">
        <v>6000</v>
      </c>
      <c r="J17" s="38">
        <v>526.04999999999995</v>
      </c>
      <c r="K17" s="38">
        <v>1161.7</v>
      </c>
      <c r="L17" s="44">
        <f t="shared" si="7"/>
        <v>5.9900933728080163</v>
      </c>
      <c r="M17" s="45">
        <f t="shared" si="8"/>
        <v>13.228194033249832</v>
      </c>
      <c r="N17" s="41">
        <f t="shared" si="4"/>
        <v>228.97810218978103</v>
      </c>
      <c r="O17" s="42">
        <f t="shared" si="5"/>
        <v>2.2973812559770477</v>
      </c>
      <c r="P17" s="34">
        <f t="shared" si="6"/>
        <v>5.0734109021357989</v>
      </c>
      <c r="Q17" s="34"/>
    </row>
    <row r="18" spans="2:17" ht="15" customHeight="1" x14ac:dyDescent="0.3">
      <c r="B18" s="33" t="s">
        <v>70</v>
      </c>
      <c r="C18" s="34">
        <f>1.56+33.23</f>
        <v>34.79</v>
      </c>
      <c r="D18" s="35">
        <v>13497</v>
      </c>
      <c r="E18" s="36">
        <v>1404</v>
      </c>
      <c r="F18" s="51">
        <f t="shared" si="3"/>
        <v>0.10402311624805512</v>
      </c>
      <c r="G18" s="36">
        <v>62.74</v>
      </c>
      <c r="H18" s="8">
        <v>274</v>
      </c>
      <c r="I18" s="8">
        <v>6800</v>
      </c>
      <c r="J18" s="38">
        <v>820</v>
      </c>
      <c r="K18" s="38">
        <v>1174.9000000000001</v>
      </c>
      <c r="L18" s="44">
        <f t="shared" si="7"/>
        <v>13.06981192221868</v>
      </c>
      <c r="M18" s="45">
        <f t="shared" si="8"/>
        <v>18.726490277335035</v>
      </c>
      <c r="N18" s="41">
        <f t="shared" si="4"/>
        <v>258.17518248175185</v>
      </c>
      <c r="O18" s="42">
        <f t="shared" si="5"/>
        <v>3.1761379700310997</v>
      </c>
      <c r="P18" s="34">
        <f t="shared" si="6"/>
        <v>4.5507859768165115</v>
      </c>
      <c r="Q18" s="34"/>
    </row>
    <row r="19" spans="2:17" ht="15" customHeight="1" x14ac:dyDescent="0.3">
      <c r="B19" s="33" t="s">
        <v>71</v>
      </c>
      <c r="C19" s="34">
        <f>0.97+39.77</f>
        <v>40.74</v>
      </c>
      <c r="D19" s="35">
        <v>18313</v>
      </c>
      <c r="E19" s="36">
        <v>2446</v>
      </c>
      <c r="F19" s="52">
        <f t="shared" si="3"/>
        <v>0.13356631900835472</v>
      </c>
      <c r="G19" s="36">
        <v>89.26</v>
      </c>
      <c r="H19" s="8">
        <v>274</v>
      </c>
      <c r="I19" s="8">
        <v>8200</v>
      </c>
      <c r="J19" s="38">
        <v>916.4</v>
      </c>
      <c r="K19" s="38">
        <v>1542.1</v>
      </c>
      <c r="L19" s="44">
        <f t="shared" si="7"/>
        <v>10.266636791395921</v>
      </c>
      <c r="M19" s="45">
        <f t="shared" si="8"/>
        <v>17.276495630741653</v>
      </c>
      <c r="N19" s="41">
        <f t="shared" si="4"/>
        <v>309.27007299270076</v>
      </c>
      <c r="O19" s="42">
        <f t="shared" si="5"/>
        <v>2.9631059712060415</v>
      </c>
      <c r="P19" s="34">
        <f t="shared" si="6"/>
        <v>4.9862567854614106</v>
      </c>
      <c r="Q19" s="34"/>
    </row>
    <row r="20" spans="2:17" ht="15" customHeight="1" x14ac:dyDescent="0.3">
      <c r="B20" s="33" t="s">
        <v>72</v>
      </c>
      <c r="C20" s="34">
        <f>0.5+40.16</f>
        <v>40.659999999999997</v>
      </c>
      <c r="D20" s="35">
        <v>20175</v>
      </c>
      <c r="E20" s="36">
        <v>2655</v>
      </c>
      <c r="F20" s="48">
        <f t="shared" si="3"/>
        <v>0.13159851301115241</v>
      </c>
      <c r="G20" s="36">
        <v>96.87</v>
      </c>
      <c r="H20" s="8">
        <v>274</v>
      </c>
      <c r="I20" s="8">
        <v>10000</v>
      </c>
      <c r="J20" s="38">
        <v>1254.9000000000001</v>
      </c>
      <c r="K20" s="38">
        <v>2074.8000000000002</v>
      </c>
      <c r="L20" s="44">
        <f t="shared" si="7"/>
        <v>12.954475069681017</v>
      </c>
      <c r="M20" s="45">
        <f t="shared" si="8"/>
        <v>21.418395788169711</v>
      </c>
      <c r="N20" s="41">
        <f t="shared" si="4"/>
        <v>374.96350364963507</v>
      </c>
      <c r="O20" s="42">
        <f t="shared" si="5"/>
        <v>3.346725715398092</v>
      </c>
      <c r="P20" s="34">
        <f t="shared" si="6"/>
        <v>5.5333385244306017</v>
      </c>
      <c r="Q20" s="34"/>
    </row>
    <row r="21" spans="2:17" ht="15" customHeight="1" x14ac:dyDescent="0.3">
      <c r="B21" s="33" t="s">
        <v>73</v>
      </c>
      <c r="C21" s="34">
        <f>0.34+41.13</f>
        <v>41.470000000000006</v>
      </c>
      <c r="D21" s="35">
        <v>20280</v>
      </c>
      <c r="E21" s="36">
        <v>2145</v>
      </c>
      <c r="F21" s="53">
        <f t="shared" si="3"/>
        <v>0.10576923076923077</v>
      </c>
      <c r="G21" s="36">
        <v>78.209999999999994</v>
      </c>
      <c r="H21" s="8">
        <v>274</v>
      </c>
      <c r="I21" s="8">
        <v>16908</v>
      </c>
      <c r="J21" s="38">
        <v>1404.95</v>
      </c>
      <c r="K21" s="38">
        <v>2194</v>
      </c>
      <c r="L21" s="44">
        <f t="shared" si="7"/>
        <v>17.963815368878663</v>
      </c>
      <c r="M21" s="45">
        <f t="shared" si="8"/>
        <v>28.052678685590081</v>
      </c>
      <c r="N21" s="41">
        <f t="shared" si="4"/>
        <v>627.08029197080293</v>
      </c>
      <c r="O21" s="42">
        <f t="shared" si="5"/>
        <v>2.2404626935164709</v>
      </c>
      <c r="P21" s="34">
        <f t="shared" si="6"/>
        <v>3.4987545105342801</v>
      </c>
      <c r="Q21" s="34"/>
    </row>
    <row r="22" spans="2:17" ht="15" customHeight="1" x14ac:dyDescent="0.3">
      <c r="B22" s="33" t="s">
        <v>74</v>
      </c>
      <c r="C22" s="34">
        <v>44.85</v>
      </c>
      <c r="D22" s="35">
        <v>22936</v>
      </c>
      <c r="E22" s="36">
        <v>2015</v>
      </c>
      <c r="F22" s="54">
        <f t="shared" si="3"/>
        <v>8.7853156609696545E-2</v>
      </c>
      <c r="G22" s="36">
        <v>73.44</v>
      </c>
      <c r="H22" s="8">
        <v>274</v>
      </c>
      <c r="I22" s="8">
        <v>18767</v>
      </c>
      <c r="J22" s="38">
        <v>1953</v>
      </c>
      <c r="K22" s="38">
        <v>3399</v>
      </c>
      <c r="L22" s="44">
        <f t="shared" si="7"/>
        <v>26.593137254901961</v>
      </c>
      <c r="M22" s="45">
        <f t="shared" si="8"/>
        <v>46.282679738562095</v>
      </c>
      <c r="N22" s="41">
        <f t="shared" si="4"/>
        <v>694.92700729927014</v>
      </c>
      <c r="O22" s="42">
        <f t="shared" si="5"/>
        <v>2.8103671025681423</v>
      </c>
      <c r="P22" s="34">
        <f t="shared" si="6"/>
        <v>4.8911611785095319</v>
      </c>
      <c r="Q22" s="34"/>
    </row>
    <row r="23" spans="2:17" ht="15" customHeight="1" x14ac:dyDescent="0.3">
      <c r="B23" s="33" t="s">
        <v>75</v>
      </c>
      <c r="C23" s="34">
        <v>47.96</v>
      </c>
      <c r="D23" s="35">
        <v>25552</v>
      </c>
      <c r="E23" s="36">
        <v>2288</v>
      </c>
      <c r="F23" s="55">
        <f t="shared" si="3"/>
        <v>8.9542892924232939E-2</v>
      </c>
      <c r="G23" s="36">
        <v>83.33</v>
      </c>
      <c r="H23" s="8">
        <v>274</v>
      </c>
      <c r="I23" s="8">
        <v>21671</v>
      </c>
      <c r="J23" s="38">
        <v>2530.8000000000002</v>
      </c>
      <c r="K23" s="38">
        <v>3369.5</v>
      </c>
      <c r="L23" s="44">
        <f t="shared" si="7"/>
        <v>30.370814832593307</v>
      </c>
      <c r="M23" s="45">
        <f t="shared" si="8"/>
        <v>40.435617424696986</v>
      </c>
      <c r="N23" s="41">
        <f t="shared" si="4"/>
        <v>800.91240875912411</v>
      </c>
      <c r="O23" s="42">
        <f t="shared" si="5"/>
        <v>3.159896103896104</v>
      </c>
      <c r="P23" s="34">
        <f t="shared" si="6"/>
        <v>4.2070767828662561</v>
      </c>
      <c r="Q23" s="34"/>
    </row>
    <row r="24" spans="2:17" ht="15" customHeight="1" x14ac:dyDescent="0.3">
      <c r="B24" s="33" t="s">
        <v>76</v>
      </c>
      <c r="C24" s="34">
        <v>48.87</v>
      </c>
      <c r="D24" s="35">
        <v>29294</v>
      </c>
      <c r="E24" s="36">
        <v>2714</v>
      </c>
      <c r="F24" s="56">
        <f t="shared" si="3"/>
        <v>9.2646958421519765E-2</v>
      </c>
      <c r="G24" s="36">
        <v>98.92</v>
      </c>
      <c r="H24" s="8">
        <v>275</v>
      </c>
      <c r="I24" s="8">
        <v>24117</v>
      </c>
      <c r="J24" s="38">
        <v>3050</v>
      </c>
      <c r="K24" s="38">
        <v>4130</v>
      </c>
      <c r="L24" s="44">
        <f t="shared" si="7"/>
        <v>30.83299636069551</v>
      </c>
      <c r="M24" s="45">
        <f t="shared" si="8"/>
        <v>41.750909826122118</v>
      </c>
      <c r="N24" s="41">
        <f t="shared" si="4"/>
        <v>886.9818181818182</v>
      </c>
      <c r="O24" s="42">
        <f t="shared" si="5"/>
        <v>3.4386274188258446</v>
      </c>
      <c r="P24" s="34">
        <f t="shared" si="6"/>
        <v>4.6562397507379467</v>
      </c>
      <c r="Q24" s="34"/>
    </row>
    <row r="25" spans="2:17" ht="15" customHeight="1" x14ac:dyDescent="0.3">
      <c r="B25" s="33" t="s">
        <v>77</v>
      </c>
      <c r="C25" s="34">
        <v>63.28</v>
      </c>
      <c r="D25" s="35">
        <v>32888</v>
      </c>
      <c r="E25" s="36">
        <v>2225</v>
      </c>
      <c r="F25" s="57">
        <f t="shared" si="3"/>
        <v>6.7653855509608368E-2</v>
      </c>
      <c r="G25" s="36">
        <v>80.94</v>
      </c>
      <c r="H25" s="8">
        <v>275</v>
      </c>
      <c r="I25" s="8">
        <v>26107</v>
      </c>
      <c r="J25" s="38">
        <v>3774</v>
      </c>
      <c r="K25" s="38">
        <v>4594.3</v>
      </c>
      <c r="L25" s="44">
        <f t="shared" si="7"/>
        <v>46.627131208302444</v>
      </c>
      <c r="M25" s="45">
        <f t="shared" si="8"/>
        <v>56.761798863355573</v>
      </c>
      <c r="N25" s="41">
        <f t="shared" si="4"/>
        <v>959.34545454545457</v>
      </c>
      <c r="O25" s="42">
        <f t="shared" si="5"/>
        <v>3.9339322265180803</v>
      </c>
      <c r="P25" s="34">
        <f t="shared" si="6"/>
        <v>4.788994390114472</v>
      </c>
      <c r="Q25" s="34"/>
    </row>
    <row r="26" spans="2:17" ht="15" customHeight="1" x14ac:dyDescent="0.3">
      <c r="B26" s="33" t="s">
        <v>78</v>
      </c>
      <c r="C26" s="34">
        <v>85.05</v>
      </c>
      <c r="D26" s="35">
        <v>37379</v>
      </c>
      <c r="E26" s="36">
        <v>2432</v>
      </c>
      <c r="F26" s="58">
        <f t="shared" si="3"/>
        <v>6.5063270820514191E-2</v>
      </c>
      <c r="G26" s="36">
        <v>88.72</v>
      </c>
      <c r="H26" s="8">
        <v>275</v>
      </c>
      <c r="I26" s="8">
        <v>33476</v>
      </c>
      <c r="J26" s="38">
        <v>3263.7</v>
      </c>
      <c r="K26" s="38">
        <v>4490</v>
      </c>
      <c r="L26" s="44">
        <f t="shared" si="7"/>
        <v>36.786519386834982</v>
      </c>
      <c r="M26" s="45">
        <f t="shared" si="8"/>
        <v>50.608656447249778</v>
      </c>
      <c r="N26" s="41">
        <f t="shared" si="4"/>
        <v>1227.3090909090909</v>
      </c>
      <c r="O26" s="42">
        <f t="shared" si="5"/>
        <v>2.6592323190423985</v>
      </c>
      <c r="P26" s="34">
        <f t="shared" si="6"/>
        <v>3.6584101211815949</v>
      </c>
      <c r="Q26" s="34"/>
    </row>
    <row r="27" spans="2:17" ht="14.4" x14ac:dyDescent="0.3">
      <c r="B27" s="33" t="s">
        <v>79</v>
      </c>
      <c r="C27" s="34">
        <v>81.8</v>
      </c>
      <c r="D27" s="59">
        <v>42125</v>
      </c>
      <c r="E27" s="60">
        <v>5811</v>
      </c>
      <c r="F27" s="61">
        <f t="shared" si="3"/>
        <v>0.13794658753709199</v>
      </c>
      <c r="G27" s="36">
        <v>201.61</v>
      </c>
      <c r="H27" s="8">
        <v>289</v>
      </c>
      <c r="I27" s="8">
        <v>38755</v>
      </c>
      <c r="J27" s="62">
        <v>2911</v>
      </c>
      <c r="K27" s="62">
        <v>4905</v>
      </c>
      <c r="L27" s="44">
        <f t="shared" si="7"/>
        <v>14.438767918258021</v>
      </c>
      <c r="M27" s="45">
        <f t="shared" si="8"/>
        <v>24.32915033976489</v>
      </c>
      <c r="N27" s="41">
        <f t="shared" si="4"/>
        <v>1351.0034602076125</v>
      </c>
      <c r="O27" s="42">
        <f t="shared" si="5"/>
        <v>2.1546947034115358</v>
      </c>
      <c r="P27" s="34">
        <f t="shared" si="6"/>
        <v>3.6306346685790389</v>
      </c>
      <c r="Q27" s="34"/>
    </row>
    <row r="28" spans="2:17" ht="14.4" x14ac:dyDescent="0.3">
      <c r="B28" s="33" t="s">
        <v>80</v>
      </c>
      <c r="C28" s="34">
        <v>85.1</v>
      </c>
      <c r="D28" s="59">
        <v>44726</v>
      </c>
      <c r="E28" s="60">
        <v>5462</v>
      </c>
      <c r="F28" s="63">
        <f t="shared" si="3"/>
        <v>0.12212136117694405</v>
      </c>
      <c r="G28" s="36">
        <v>189.4</v>
      </c>
      <c r="H28" s="8">
        <v>289</v>
      </c>
      <c r="I28" s="8">
        <v>43886</v>
      </c>
      <c r="J28" s="62">
        <v>2911</v>
      </c>
      <c r="K28" s="62">
        <v>4905</v>
      </c>
      <c r="L28" s="44">
        <f t="shared" si="7"/>
        <v>15.369588173178458</v>
      </c>
      <c r="M28" s="45">
        <f t="shared" si="8"/>
        <v>25.897571277719113</v>
      </c>
      <c r="N28" s="41">
        <f t="shared" si="4"/>
        <v>1528.5467128027683</v>
      </c>
      <c r="O28" s="42">
        <f t="shared" si="5"/>
        <v>1.9044233163554045</v>
      </c>
      <c r="P28" s="34">
        <f t="shared" si="6"/>
        <v>3.2089303904923598</v>
      </c>
      <c r="Q28" s="34"/>
    </row>
    <row r="29" spans="2:17" ht="14.4" x14ac:dyDescent="0.3">
      <c r="B29" s="33" t="s">
        <v>81</v>
      </c>
      <c r="C29" s="34">
        <v>92.5</v>
      </c>
      <c r="D29" s="8">
        <v>52589</v>
      </c>
      <c r="E29" s="8">
        <v>7334</v>
      </c>
      <c r="F29" s="64">
        <f t="shared" si="3"/>
        <v>0.13945882218714942</v>
      </c>
      <c r="G29" s="41">
        <v>254.54</v>
      </c>
      <c r="H29" s="8">
        <v>289</v>
      </c>
      <c r="I29" s="8">
        <v>50147</v>
      </c>
      <c r="J29" s="8">
        <v>5629</v>
      </c>
      <c r="K29" s="8">
        <v>8269</v>
      </c>
      <c r="L29" s="44">
        <f t="shared" si="7"/>
        <v>22.114402451481105</v>
      </c>
      <c r="M29" s="45">
        <f t="shared" si="8"/>
        <v>32.486053272570125</v>
      </c>
      <c r="N29" s="41">
        <f t="shared" si="4"/>
        <v>1745.1903114186853</v>
      </c>
      <c r="O29" s="42">
        <f t="shared" si="5"/>
        <v>3.2254361963676734</v>
      </c>
      <c r="P29" s="34">
        <f t="shared" si="6"/>
        <v>4.7381651994607026</v>
      </c>
      <c r="Q29" s="34"/>
    </row>
    <row r="30" spans="2:17" ht="14.4" x14ac:dyDescent="0.3">
      <c r="B30" s="33" t="s">
        <v>82</v>
      </c>
      <c r="C30" s="34">
        <v>105.7</v>
      </c>
      <c r="D30" s="8">
        <v>63239</v>
      </c>
      <c r="E30" s="8">
        <v>5073</v>
      </c>
      <c r="F30" s="64">
        <f t="shared" si="3"/>
        <v>8.0219484811587791E-2</v>
      </c>
      <c r="G30" s="41">
        <v>175.57</v>
      </c>
      <c r="H30" s="8">
        <v>289</v>
      </c>
      <c r="I30" s="8">
        <v>54036</v>
      </c>
      <c r="J30" s="8">
        <v>5157</v>
      </c>
      <c r="K30" s="8">
        <v>7824</v>
      </c>
      <c r="L30" s="44">
        <f t="shared" si="7"/>
        <v>29.372899698126105</v>
      </c>
      <c r="M30" s="45">
        <f t="shared" si="8"/>
        <v>44.563421996924305</v>
      </c>
      <c r="N30" s="41">
        <f t="shared" si="4"/>
        <v>1879.7577854671281</v>
      </c>
      <c r="O30" s="42">
        <f t="shared" si="5"/>
        <v>2.7434385641969627</v>
      </c>
      <c r="P30" s="34">
        <f t="shared" si="6"/>
        <v>4.1622383801196499</v>
      </c>
      <c r="Q30" s="34"/>
    </row>
    <row r="31" spans="2:17" ht="14.4" x14ac:dyDescent="0.3">
      <c r="B31" s="33" t="s">
        <v>83</v>
      </c>
      <c r="C31" s="41">
        <v>119.04</v>
      </c>
      <c r="D31" s="8">
        <v>70908</v>
      </c>
      <c r="E31" s="8">
        <v>7003</v>
      </c>
      <c r="F31" s="64">
        <f t="shared" si="3"/>
        <v>9.876177582219213E-2</v>
      </c>
      <c r="G31" s="41">
        <v>243.05</v>
      </c>
      <c r="H31" s="8">
        <v>289</v>
      </c>
      <c r="I31" s="8">
        <v>59939</v>
      </c>
      <c r="J31" s="8">
        <v>7300</v>
      </c>
      <c r="K31" s="8">
        <v>10526</v>
      </c>
      <c r="L31" s="44">
        <f t="shared" si="7"/>
        <v>30.034972227936638</v>
      </c>
      <c r="M31" s="45">
        <f t="shared" si="8"/>
        <v>43.307961324830281</v>
      </c>
      <c r="N31" s="41">
        <f t="shared" si="4"/>
        <v>2084.0138408304501</v>
      </c>
      <c r="O31" s="42">
        <f t="shared" si="5"/>
        <v>3.5028558145712951</v>
      </c>
      <c r="P31" s="34">
        <f t="shared" si="6"/>
        <v>5.0508301786544454</v>
      </c>
      <c r="Q31" s="34"/>
    </row>
    <row r="32" spans="2:17" ht="14.4" x14ac:dyDescent="0.3">
      <c r="B32" s="33" t="s">
        <v>84</v>
      </c>
      <c r="C32" s="41">
        <v>135.80000000000001</v>
      </c>
      <c r="D32" s="8">
        <f>D31+C48-D48</f>
        <v>73365</v>
      </c>
      <c r="E32" s="8">
        <v>6039</v>
      </c>
      <c r="F32" s="64">
        <f t="shared" si="3"/>
        <v>8.2314455121652017E-2</v>
      </c>
      <c r="G32" s="41">
        <v>205.3</v>
      </c>
      <c r="H32" s="8">
        <v>295</v>
      </c>
      <c r="I32" s="8">
        <v>70412</v>
      </c>
      <c r="J32" s="8">
        <v>9250</v>
      </c>
      <c r="K32" s="8">
        <v>12145</v>
      </c>
      <c r="L32" s="44">
        <f t="shared" si="7"/>
        <v>45.056015586945932</v>
      </c>
      <c r="M32" s="45">
        <f t="shared" si="8"/>
        <v>59.157330735509007</v>
      </c>
      <c r="N32" s="41">
        <f t="shared" si="4"/>
        <v>2396.8474576271187</v>
      </c>
      <c r="O32" s="42">
        <f t="shared" si="5"/>
        <v>3.8592360020931449</v>
      </c>
      <c r="P32" s="34">
        <f t="shared" si="6"/>
        <v>5.0670725670725671</v>
      </c>
      <c r="Q32" s="34"/>
    </row>
    <row r="33" spans="1:21" ht="14.4" x14ac:dyDescent="0.3">
      <c r="B33" s="33" t="s">
        <v>85</v>
      </c>
      <c r="C33" s="41">
        <f>C32*C40+C32</f>
        <v>154.91969086021507</v>
      </c>
      <c r="D33" s="8">
        <f>D32+C48-D48</f>
        <v>75822</v>
      </c>
      <c r="E33" s="8">
        <f>E32+C51-D51</f>
        <v>6767</v>
      </c>
      <c r="F33" s="64">
        <f t="shared" si="3"/>
        <v>8.9248503072986735E-2</v>
      </c>
      <c r="G33" s="41">
        <f>N43</f>
        <v>239.47000000000003</v>
      </c>
      <c r="H33" s="8">
        <v>295</v>
      </c>
      <c r="I33" s="41">
        <f>I32*I38+I32</f>
        <v>80365.909306997957</v>
      </c>
      <c r="J33" s="8">
        <v>10920</v>
      </c>
      <c r="K33" s="8">
        <v>12339</v>
      </c>
      <c r="L33" s="44">
        <f t="shared" si="7"/>
        <v>45.600701549254602</v>
      </c>
      <c r="M33" s="45">
        <f t="shared" si="8"/>
        <v>51.526287217605542</v>
      </c>
      <c r="N33" s="41">
        <f t="shared" si="4"/>
        <v>2734.2681121016258</v>
      </c>
      <c r="O33" s="42">
        <f t="shared" si="5"/>
        <v>3.9937561176495668</v>
      </c>
      <c r="P33" s="34">
        <f t="shared" si="6"/>
        <v>4.512724975794689</v>
      </c>
      <c r="Q33" s="34"/>
    </row>
    <row r="34" spans="1:21" ht="13.8" x14ac:dyDescent="0.25">
      <c r="Q34" s="34"/>
    </row>
    <row r="35" spans="1:21" ht="14.4" x14ac:dyDescent="0.3">
      <c r="A35" s="31" t="s">
        <v>26</v>
      </c>
      <c r="B35" s="31" t="s">
        <v>52</v>
      </c>
      <c r="C35" s="23" t="s">
        <v>53</v>
      </c>
      <c r="D35" s="23" t="s">
        <v>54</v>
      </c>
      <c r="E35" s="23" t="s">
        <v>7</v>
      </c>
      <c r="F35" s="23" t="s">
        <v>55</v>
      </c>
      <c r="G35" s="23" t="s">
        <v>8</v>
      </c>
      <c r="H35" s="23" t="s">
        <v>10</v>
      </c>
      <c r="I35" s="23" t="s">
        <v>56</v>
      </c>
      <c r="J35" s="23" t="s">
        <v>57</v>
      </c>
      <c r="K35" s="23" t="s">
        <v>58</v>
      </c>
      <c r="L35" s="32" t="s">
        <v>59</v>
      </c>
      <c r="M35" s="23" t="s">
        <v>60</v>
      </c>
      <c r="N35" s="32" t="s">
        <v>61</v>
      </c>
      <c r="O35" s="32" t="s">
        <v>62</v>
      </c>
      <c r="P35" s="23" t="s">
        <v>63</v>
      </c>
    </row>
    <row r="36" spans="1:21" ht="14.4" x14ac:dyDescent="0.3">
      <c r="B36" s="65" t="s">
        <v>86</v>
      </c>
      <c r="C36" s="66">
        <f t="shared" ref="C36:E36" si="9">(C32/C12)^(1/20)-1</f>
        <v>0.11582402863114272</v>
      </c>
      <c r="D36" s="66">
        <f t="shared" si="9"/>
        <v>0.17945708573789454</v>
      </c>
      <c r="E36" s="66">
        <f t="shared" si="9"/>
        <v>0.4653060798411337</v>
      </c>
      <c r="F36" s="66">
        <f>MEDIAN(F12:F32)</f>
        <v>0.10402311624805512</v>
      </c>
      <c r="G36" s="66">
        <f t="shared" ref="G36:K36" si="10">(G32/G12)^(1/20)-1</f>
        <v>0.40453658368742951</v>
      </c>
      <c r="H36" s="66">
        <f t="shared" si="10"/>
        <v>4.4287348416988559E-2</v>
      </c>
      <c r="I36" s="66">
        <f t="shared" si="10"/>
        <v>0.24159955516060516</v>
      </c>
      <c r="J36" s="66">
        <f t="shared" si="10"/>
        <v>0.19811117597489813</v>
      </c>
      <c r="K36" s="66">
        <f t="shared" si="10"/>
        <v>0.18713538014454811</v>
      </c>
      <c r="L36" s="34">
        <f t="shared" ref="L36:M36" si="11">MEDIAN(L12:L32)</f>
        <v>20.039108910179884</v>
      </c>
      <c r="M36" s="34">
        <f t="shared" si="11"/>
        <v>30.269365979080103</v>
      </c>
      <c r="N36" s="66">
        <f>(N32/N12)^(1/20)-1</f>
        <v>0.18176652926416637</v>
      </c>
      <c r="O36" s="34">
        <f t="shared" ref="O36:P36" si="12">MEDIAN(O12:O32)</f>
        <v>2.9631059712060415</v>
      </c>
      <c r="P36" s="34">
        <f t="shared" si="12"/>
        <v>4.7381651994607026</v>
      </c>
    </row>
    <row r="37" spans="1:21" ht="14.4" x14ac:dyDescent="0.3">
      <c r="B37" s="65" t="s">
        <v>87</v>
      </c>
      <c r="C37" s="67">
        <f t="shared" ref="C37:E37" si="13">(C32/C17)^(1/15)-1</f>
        <v>0.13647398325513516</v>
      </c>
      <c r="D37" s="67">
        <f t="shared" si="13"/>
        <v>0.1676783896090448</v>
      </c>
      <c r="E37" s="67">
        <f t="shared" si="13"/>
        <v>0.12070073779393753</v>
      </c>
      <c r="F37" s="68">
        <f>MEDIAN(F17:F32)</f>
        <v>0.10139244603512362</v>
      </c>
      <c r="G37" s="67">
        <f t="shared" ref="G37:K37" si="14">(G32/G17)^(1/15)-1</f>
        <v>5.8245347421713278E-2</v>
      </c>
      <c r="H37" s="67">
        <f t="shared" si="14"/>
        <v>4.9352886116273975E-3</v>
      </c>
      <c r="I37" s="67">
        <f t="shared" si="14"/>
        <v>0.17841888923260041</v>
      </c>
      <c r="J37" s="67">
        <f t="shared" si="14"/>
        <v>0.21061945031122176</v>
      </c>
      <c r="K37" s="67">
        <f t="shared" si="14"/>
        <v>0.16937436403352013</v>
      </c>
      <c r="L37" s="69">
        <f t="shared" ref="L37:M37" si="15">MEDIAN(L17:L32)</f>
        <v>24.353769853191533</v>
      </c>
      <c r="M37" s="69">
        <f t="shared" si="15"/>
        <v>36.460835348633552</v>
      </c>
      <c r="N37" s="67">
        <f>(N32/N17)^(1/15)-1</f>
        <v>0.16947182416461537</v>
      </c>
      <c r="O37" s="69">
        <f t="shared" ref="O37:P37" si="16">MEDIAN(O17:O32)</f>
        <v>3.0615010375510727</v>
      </c>
      <c r="P37" s="69">
        <f t="shared" si="16"/>
        <v>4.6972024750993242</v>
      </c>
    </row>
    <row r="38" spans="1:21" ht="14.4" x14ac:dyDescent="0.3">
      <c r="B38" s="65" t="s">
        <v>88</v>
      </c>
      <c r="C38" s="67">
        <f t="shared" ref="C38:E38" si="17">(C32/C22)^(1/10)-1</f>
        <v>0.1171557682162887</v>
      </c>
      <c r="D38" s="67">
        <f t="shared" si="17"/>
        <v>0.12330353137144456</v>
      </c>
      <c r="E38" s="67">
        <f t="shared" si="17"/>
        <v>0.11601234306574648</v>
      </c>
      <c r="F38" s="70">
        <f>MEDIAN(F22:F32)</f>
        <v>8.9542892924232939E-2</v>
      </c>
      <c r="G38" s="67">
        <f t="shared" ref="G38:K38" si="18">(G32/G22)^(1/10)-1</f>
        <v>0.10827012946967796</v>
      </c>
      <c r="H38" s="67">
        <f t="shared" si="18"/>
        <v>7.4120593208675256E-3</v>
      </c>
      <c r="I38" s="67">
        <f t="shared" si="18"/>
        <v>0.14136666061179848</v>
      </c>
      <c r="J38" s="67">
        <f t="shared" si="18"/>
        <v>0.1682719485448485</v>
      </c>
      <c r="K38" s="67">
        <f t="shared" si="18"/>
        <v>0.13580724723674287</v>
      </c>
      <c r="L38" s="71">
        <f t="shared" ref="L38:M38" si="19">MEDIAN(L22:L32)</f>
        <v>30.034972227936638</v>
      </c>
      <c r="M38" s="71">
        <f t="shared" si="19"/>
        <v>43.307961324830281</v>
      </c>
      <c r="N38" s="67">
        <f>(N32/N22)^(1/10)-1</f>
        <v>0.13180112293803159</v>
      </c>
      <c r="O38" s="71">
        <f t="shared" ref="O38:P38" si="20">MEDIAN(O22:O32)</f>
        <v>3.159896103896104</v>
      </c>
      <c r="P38" s="71">
        <f t="shared" si="20"/>
        <v>4.6562397507379467</v>
      </c>
    </row>
    <row r="39" spans="1:21" ht="14.4" x14ac:dyDescent="0.3">
      <c r="B39" s="65" t="s">
        <v>89</v>
      </c>
      <c r="C39" s="67">
        <f t="shared" ref="C39:E39" si="21">(C32/C27)^(1/5)-1</f>
        <v>0.10669842850324729</v>
      </c>
      <c r="D39" s="67">
        <f t="shared" si="21"/>
        <v>0.11735146204127811</v>
      </c>
      <c r="E39" s="67">
        <f t="shared" si="21"/>
        <v>7.7268516753805638E-3</v>
      </c>
      <c r="F39" s="72">
        <f>MEDIAN(F27:F32)</f>
        <v>0.1104415684995681</v>
      </c>
      <c r="G39" s="67">
        <f t="shared" ref="G39:K39" si="22">(G32/G27)^(1/5)-1</f>
        <v>3.6340242892596297E-3</v>
      </c>
      <c r="H39" s="67">
        <f t="shared" si="22"/>
        <v>4.118190181531034E-3</v>
      </c>
      <c r="I39" s="67">
        <f t="shared" si="22"/>
        <v>0.12684397723668095</v>
      </c>
      <c r="J39" s="67">
        <f t="shared" si="22"/>
        <v>0.26014321518837291</v>
      </c>
      <c r="K39" s="67">
        <f t="shared" si="22"/>
        <v>0.19881371126588721</v>
      </c>
      <c r="L39" s="73">
        <f>MEDIAN(M27:M32)</f>
        <v>37.897007298700203</v>
      </c>
      <c r="M39" s="73">
        <f>MEDIAN(L27:L32)</f>
        <v>25.743651074803605</v>
      </c>
      <c r="N39" s="67">
        <f>(N32/N27)^(1/5)-1</f>
        <v>0.12149356697593561</v>
      </c>
      <c r="O39" s="73">
        <f>MEDIAN(P27:P32)</f>
        <v>4.4502017897901762</v>
      </c>
      <c r="P39" s="73">
        <f>MEDIAN(O27:O32)</f>
        <v>2.9844373802823183</v>
      </c>
    </row>
    <row r="40" spans="1:21" ht="14.4" x14ac:dyDescent="0.3">
      <c r="B40" s="65" t="s">
        <v>90</v>
      </c>
      <c r="C40" s="67">
        <f t="shared" ref="C40:E40" si="23">(C32/C31)-1</f>
        <v>0.14079301075268824</v>
      </c>
      <c r="D40" s="67">
        <f t="shared" si="23"/>
        <v>3.4650533085124335E-2</v>
      </c>
      <c r="E40" s="67">
        <f t="shared" si="23"/>
        <v>-0.13765529058974724</v>
      </c>
      <c r="F40" s="74">
        <f>F32</f>
        <v>8.2314455121652017E-2</v>
      </c>
      <c r="G40" s="67">
        <f t="shared" ref="G40:K40" si="24">(G32/G31)-1</f>
        <v>-0.1553178358362477</v>
      </c>
      <c r="H40" s="67">
        <f t="shared" si="24"/>
        <v>2.076124567474058E-2</v>
      </c>
      <c r="I40" s="67">
        <f t="shared" si="24"/>
        <v>0.17472763976709649</v>
      </c>
      <c r="J40" s="67">
        <f t="shared" si="24"/>
        <v>0.26712328767123283</v>
      </c>
      <c r="K40" s="67">
        <f t="shared" si="24"/>
        <v>0.15380961428842865</v>
      </c>
      <c r="L40" s="75">
        <f t="shared" ref="L40:M40" si="25">L32</f>
        <v>45.056015586945932</v>
      </c>
      <c r="M40" s="75">
        <f t="shared" si="25"/>
        <v>59.157330735509007</v>
      </c>
      <c r="N40" s="67">
        <f>(N32/N31)-1</f>
        <v>0.15011110323144927</v>
      </c>
      <c r="O40" s="75">
        <f t="shared" ref="O40:P40" si="26">O32</f>
        <v>3.8592360020931449</v>
      </c>
      <c r="P40" s="75">
        <f t="shared" si="26"/>
        <v>5.0670725670725671</v>
      </c>
    </row>
    <row r="42" spans="1:21" ht="18" x14ac:dyDescent="0.35">
      <c r="A42" s="76" t="s">
        <v>91</v>
      </c>
      <c r="B42" s="76" t="s">
        <v>92</v>
      </c>
      <c r="C42" s="77" t="s">
        <v>93</v>
      </c>
      <c r="D42" s="77" t="s">
        <v>94</v>
      </c>
      <c r="E42" s="77" t="s">
        <v>95</v>
      </c>
      <c r="F42" s="77" t="s">
        <v>96</v>
      </c>
      <c r="G42" s="78" t="s">
        <v>97</v>
      </c>
      <c r="I42" s="77" t="s">
        <v>98</v>
      </c>
      <c r="J42" s="77" t="s">
        <v>99</v>
      </c>
      <c r="K42" s="77" t="s">
        <v>100</v>
      </c>
      <c r="L42" s="77" t="s">
        <v>101</v>
      </c>
      <c r="M42" s="77" t="s">
        <v>102</v>
      </c>
      <c r="N42" s="79" t="s">
        <v>103</v>
      </c>
      <c r="P42" s="80" t="s">
        <v>104</v>
      </c>
      <c r="Q42" s="80" t="s">
        <v>105</v>
      </c>
      <c r="R42" s="80" t="s">
        <v>106</v>
      </c>
      <c r="S42" s="80" t="s">
        <v>47</v>
      </c>
    </row>
    <row r="43" spans="1:21" ht="14.4" x14ac:dyDescent="0.3">
      <c r="B43" s="81" t="s">
        <v>6</v>
      </c>
      <c r="C43" s="82">
        <v>0.02</v>
      </c>
      <c r="D43" s="82">
        <v>-1.2999999999999999E-3</v>
      </c>
      <c r="E43" s="82">
        <v>7.1199999999999999E-2</v>
      </c>
      <c r="F43" s="82">
        <v>0.13</v>
      </c>
      <c r="G43" s="82">
        <v>0.13</v>
      </c>
      <c r="I43" s="83" t="s">
        <v>8</v>
      </c>
      <c r="J43" s="84">
        <v>28.43</v>
      </c>
      <c r="K43" s="84">
        <v>50.99</v>
      </c>
      <c r="L43" s="84">
        <v>84.38</v>
      </c>
      <c r="M43" s="84">
        <v>75.67</v>
      </c>
      <c r="N43" s="85">
        <f>SUM(J43:M43)</f>
        <v>239.47000000000003</v>
      </c>
      <c r="P43" s="86">
        <v>243.05</v>
      </c>
      <c r="Q43" s="86">
        <f>N43</f>
        <v>239.47000000000003</v>
      </c>
      <c r="R43" s="86">
        <f>F61</f>
        <v>287.42</v>
      </c>
      <c r="S43" s="87">
        <f ca="1">R45/26</f>
        <v>1.6607965828618529</v>
      </c>
    </row>
    <row r="44" spans="1:21" ht="18" x14ac:dyDescent="0.35">
      <c r="B44" s="81" t="s">
        <v>107</v>
      </c>
      <c r="C44" s="82">
        <v>0</v>
      </c>
      <c r="D44" s="82">
        <v>-0.15</v>
      </c>
      <c r="E44" s="82">
        <v>-0.14000000000000001</v>
      </c>
      <c r="F44" s="82">
        <v>0.49</v>
      </c>
      <c r="G44" s="82">
        <v>0.4</v>
      </c>
      <c r="P44" s="80" t="s">
        <v>108</v>
      </c>
      <c r="Q44" s="80" t="s">
        <v>109</v>
      </c>
      <c r="R44" s="80" t="s">
        <v>110</v>
      </c>
      <c r="S44" s="88"/>
    </row>
    <row r="45" spans="1:21" ht="14.4" x14ac:dyDescent="0.3">
      <c r="B45" s="81" t="s">
        <v>111</v>
      </c>
      <c r="C45" s="89">
        <v>9.4E-2</v>
      </c>
      <c r="D45" s="89">
        <v>7.4999999999999997E-2</v>
      </c>
      <c r="E45" s="89">
        <v>0.08</v>
      </c>
      <c r="F45" s="89">
        <v>0.104</v>
      </c>
      <c r="G45" s="89">
        <v>0.104</v>
      </c>
      <c r="P45" s="86">
        <f>C4/P43</f>
        <v>47.352396626208595</v>
      </c>
      <c r="Q45" s="86">
        <f ca="1">C3/Q43</f>
        <v>51.82695118386436</v>
      </c>
      <c r="R45" s="86">
        <f ca="1">C3/R43</f>
        <v>43.180711154408179</v>
      </c>
      <c r="S45" s="88"/>
    </row>
    <row r="47" spans="1:21" ht="18" x14ac:dyDescent="0.35">
      <c r="B47" s="77" t="s">
        <v>112</v>
      </c>
      <c r="C47" s="77" t="s">
        <v>113</v>
      </c>
      <c r="D47" s="77" t="s">
        <v>114</v>
      </c>
      <c r="E47" s="3" t="s">
        <v>115</v>
      </c>
      <c r="G47" s="77" t="s">
        <v>112</v>
      </c>
      <c r="H47" s="77" t="s">
        <v>101</v>
      </c>
      <c r="I47" s="77" t="s">
        <v>116</v>
      </c>
      <c r="J47" s="3" t="s">
        <v>115</v>
      </c>
      <c r="L47" s="77" t="s">
        <v>112</v>
      </c>
      <c r="M47" s="77" t="s">
        <v>117</v>
      </c>
      <c r="N47" s="77" t="s">
        <v>118</v>
      </c>
      <c r="O47" s="3" t="s">
        <v>115</v>
      </c>
      <c r="Q47" s="78" t="s">
        <v>119</v>
      </c>
      <c r="R47" s="77" t="s">
        <v>113</v>
      </c>
      <c r="S47" s="77" t="s">
        <v>114</v>
      </c>
      <c r="T47" s="90" t="s">
        <v>120</v>
      </c>
      <c r="U47" s="90" t="s">
        <v>115</v>
      </c>
    </row>
    <row r="48" spans="1:21" ht="14.4" x14ac:dyDescent="0.3">
      <c r="B48" s="4" t="s">
        <v>121</v>
      </c>
      <c r="C48" s="6">
        <v>21275</v>
      </c>
      <c r="D48" s="6">
        <v>18818</v>
      </c>
      <c r="E48" s="91">
        <f t="shared" ref="E48:E52" si="27">(C48/D48)-1</f>
        <v>0.13056647890317774</v>
      </c>
      <c r="F48" s="92"/>
      <c r="G48" s="4" t="s">
        <v>121</v>
      </c>
      <c r="H48" s="6">
        <v>23063</v>
      </c>
      <c r="I48" s="6">
        <v>20419</v>
      </c>
      <c r="J48" s="67">
        <f t="shared" ref="J48:J53" si="28">(H48/I48)-1</f>
        <v>0.12948724227435227</v>
      </c>
      <c r="L48" s="4" t="s">
        <v>121</v>
      </c>
      <c r="M48" s="6">
        <v>75955</v>
      </c>
      <c r="N48" s="6">
        <v>70908</v>
      </c>
      <c r="O48" s="91">
        <f t="shared" ref="O48:O52" si="29">(M48/N48)-1</f>
        <v>7.1176736052349421E-2</v>
      </c>
      <c r="Q48" s="93" t="s">
        <v>122</v>
      </c>
      <c r="R48" s="93">
        <v>4862</v>
      </c>
      <c r="S48" s="93">
        <v>4788</v>
      </c>
      <c r="T48" s="94">
        <f t="shared" ref="T48:T56" si="30">R48/$R$58</f>
        <v>0.26416734582993751</v>
      </c>
      <c r="U48" s="94">
        <f t="shared" ref="U48:U56" si="31">(R48/S48)^(1/1)-1</f>
        <v>1.5455304928989166E-2</v>
      </c>
    </row>
    <row r="49" spans="2:21" ht="14.4" x14ac:dyDescent="0.3">
      <c r="B49" s="4" t="s">
        <v>123</v>
      </c>
      <c r="C49" s="6">
        <v>433</v>
      </c>
      <c r="D49" s="6">
        <v>326</v>
      </c>
      <c r="E49" s="67">
        <f t="shared" si="27"/>
        <v>0.32822085889570563</v>
      </c>
      <c r="G49" s="4" t="s">
        <v>123</v>
      </c>
      <c r="H49" s="6">
        <v>475</v>
      </c>
      <c r="I49" s="6">
        <v>261</v>
      </c>
      <c r="J49" s="67">
        <f t="shared" si="28"/>
        <v>0.81992337164750961</v>
      </c>
      <c r="L49" s="4" t="s">
        <v>123</v>
      </c>
      <c r="M49" s="6">
        <v>1651</v>
      </c>
      <c r="N49" s="6">
        <v>968</v>
      </c>
      <c r="O49" s="67">
        <f t="shared" si="29"/>
        <v>0.70557851239669422</v>
      </c>
      <c r="Q49" s="93" t="s">
        <v>124</v>
      </c>
      <c r="R49" s="93">
        <v>4649</v>
      </c>
      <c r="S49" s="93">
        <v>4427</v>
      </c>
      <c r="T49" s="94">
        <f t="shared" si="30"/>
        <v>0.2525944036946482</v>
      </c>
      <c r="U49" s="94">
        <f t="shared" si="31"/>
        <v>5.0146826293200775E-2</v>
      </c>
    </row>
    <row r="50" spans="2:21" ht="14.4" x14ac:dyDescent="0.3">
      <c r="B50" s="4" t="s">
        <v>125</v>
      </c>
      <c r="C50" s="6">
        <v>18405</v>
      </c>
      <c r="D50" s="6">
        <v>17045</v>
      </c>
      <c r="E50" s="67">
        <f t="shared" si="27"/>
        <v>7.9788794367849913E-2</v>
      </c>
      <c r="G50" s="4" t="s">
        <v>125</v>
      </c>
      <c r="H50" s="6">
        <v>20444</v>
      </c>
      <c r="I50" s="6">
        <v>17381</v>
      </c>
      <c r="J50" s="67">
        <f t="shared" si="28"/>
        <v>0.17622691444680982</v>
      </c>
      <c r="L50" s="4" t="s">
        <v>125</v>
      </c>
      <c r="M50" s="6">
        <v>69063</v>
      </c>
      <c r="N50" s="6">
        <v>62052</v>
      </c>
      <c r="O50" s="67">
        <f t="shared" si="29"/>
        <v>0.11298588280796751</v>
      </c>
      <c r="Q50" s="95" t="s">
        <v>126</v>
      </c>
      <c r="R50" s="96">
        <v>3433</v>
      </c>
      <c r="S50" s="96">
        <v>2839</v>
      </c>
      <c r="T50" s="94">
        <f t="shared" si="30"/>
        <v>0.18652540070632981</v>
      </c>
      <c r="U50" s="94">
        <f t="shared" si="31"/>
        <v>0.20922860162028889</v>
      </c>
    </row>
    <row r="51" spans="2:21" ht="14.4" x14ac:dyDescent="0.3">
      <c r="B51" s="4" t="s">
        <v>127</v>
      </c>
      <c r="C51" s="6">
        <v>2221</v>
      </c>
      <c r="D51" s="6">
        <v>1493</v>
      </c>
      <c r="E51" s="67">
        <f t="shared" si="27"/>
        <v>0.48760884125920967</v>
      </c>
      <c r="F51" s="92"/>
      <c r="G51" s="4" t="s">
        <v>127</v>
      </c>
      <c r="H51" s="6">
        <v>2475</v>
      </c>
      <c r="I51" s="6">
        <v>2259</v>
      </c>
      <c r="J51" s="67">
        <f t="shared" si="28"/>
        <v>9.5617529880478003E-2</v>
      </c>
      <c r="L51" s="4" t="s">
        <v>127</v>
      </c>
      <c r="M51" s="6">
        <v>6039</v>
      </c>
      <c r="N51" s="6">
        <v>7004</v>
      </c>
      <c r="O51" s="67">
        <f t="shared" si="29"/>
        <v>-0.13777841233580812</v>
      </c>
      <c r="Q51" s="93" t="s">
        <v>128</v>
      </c>
      <c r="R51" s="93">
        <v>2563</v>
      </c>
      <c r="S51" s="93">
        <v>2575</v>
      </c>
      <c r="T51" s="94">
        <f t="shared" si="30"/>
        <v>0.13925563705514807</v>
      </c>
      <c r="U51" s="94">
        <f t="shared" si="31"/>
        <v>-4.6601941747572706E-3</v>
      </c>
    </row>
    <row r="52" spans="2:21" ht="14.4" x14ac:dyDescent="0.3">
      <c r="B52" s="4" t="s">
        <v>8</v>
      </c>
      <c r="C52" s="6">
        <v>75.67</v>
      </c>
      <c r="D52" s="6">
        <v>50.81</v>
      </c>
      <c r="E52" s="67">
        <f t="shared" si="27"/>
        <v>0.48927376500688835</v>
      </c>
      <c r="G52" s="8" t="s">
        <v>8</v>
      </c>
      <c r="H52" s="8">
        <v>84.38</v>
      </c>
      <c r="I52" s="8">
        <v>78.349999999999994</v>
      </c>
      <c r="J52" s="67">
        <f t="shared" si="28"/>
        <v>7.6962348436502959E-2</v>
      </c>
      <c r="L52" s="4" t="s">
        <v>8</v>
      </c>
      <c r="M52" s="6">
        <v>205.3</v>
      </c>
      <c r="N52" s="6">
        <v>243.05</v>
      </c>
      <c r="O52" s="67">
        <f t="shared" si="29"/>
        <v>-0.1553178358362477</v>
      </c>
      <c r="Q52" s="93" t="s">
        <v>129</v>
      </c>
      <c r="R52" s="93">
        <v>1107</v>
      </c>
      <c r="S52" s="93">
        <v>918</v>
      </c>
      <c r="T52" s="94">
        <f t="shared" si="30"/>
        <v>6.0146699266503664E-2</v>
      </c>
      <c r="U52" s="94">
        <f t="shared" si="31"/>
        <v>0.20588235294117641</v>
      </c>
    </row>
    <row r="53" spans="2:21" ht="14.4" x14ac:dyDescent="0.3">
      <c r="B53" s="4" t="s">
        <v>130</v>
      </c>
      <c r="C53" s="97">
        <f t="shared" ref="C53:D53" si="32">C51/C48</f>
        <v>0.10439482961222092</v>
      </c>
      <c r="D53" s="97">
        <f t="shared" si="32"/>
        <v>7.9338930810925704E-2</v>
      </c>
      <c r="E53" s="98">
        <f t="shared" ref="E53:E54" si="33">C53-D53</f>
        <v>2.5055898801295218E-2</v>
      </c>
      <c r="F53" s="99"/>
      <c r="G53" s="8" t="s">
        <v>130</v>
      </c>
      <c r="H53" s="98">
        <v>9.3807072887265489E-2</v>
      </c>
      <c r="I53" s="98">
        <v>9.5281050910526022E-2</v>
      </c>
      <c r="J53" s="67">
        <f t="shared" si="28"/>
        <v>-1.5469791833474633E-2</v>
      </c>
      <c r="L53" s="4" t="s">
        <v>130</v>
      </c>
      <c r="M53" s="97">
        <f t="shared" ref="M53:N53" si="34">M51/M48</f>
        <v>7.9507603186097037E-2</v>
      </c>
      <c r="N53" s="97">
        <f t="shared" si="34"/>
        <v>9.8775878603260564E-2</v>
      </c>
      <c r="O53" s="98">
        <f t="shared" ref="O53:O54" si="35">M53-N53</f>
        <v>-1.9268275417163527E-2</v>
      </c>
      <c r="Q53" s="93" t="s">
        <v>131</v>
      </c>
      <c r="R53" s="93">
        <v>972</v>
      </c>
      <c r="S53" s="93">
        <v>779</v>
      </c>
      <c r="T53" s="94">
        <f t="shared" si="30"/>
        <v>5.2811735941320291E-2</v>
      </c>
      <c r="U53" s="94">
        <f t="shared" si="31"/>
        <v>0.24775353016688051</v>
      </c>
    </row>
    <row r="54" spans="2:21" ht="14.4" x14ac:dyDescent="0.3">
      <c r="B54" s="4" t="s">
        <v>39</v>
      </c>
      <c r="C54" s="5">
        <f t="shared" ref="C54:D54" si="36">(C48-C50+C49)/C49</f>
        <v>7.628175519630485</v>
      </c>
      <c r="D54" s="5">
        <f t="shared" si="36"/>
        <v>6.4386503067484666</v>
      </c>
      <c r="E54" s="100">
        <f t="shared" si="33"/>
        <v>1.1895252128820184</v>
      </c>
      <c r="G54" s="8" t="s">
        <v>39</v>
      </c>
      <c r="H54" s="41">
        <v>8.6117647058823525</v>
      </c>
      <c r="I54" s="41">
        <v>10.90521327014218</v>
      </c>
      <c r="J54" s="100">
        <v>-2.2934485642598279</v>
      </c>
      <c r="L54" s="4" t="s">
        <v>39</v>
      </c>
      <c r="M54" s="5">
        <f t="shared" ref="M54:N54" si="37">(M48-M50+M49)/M49</f>
        <v>5.174439733494852</v>
      </c>
      <c r="N54" s="5">
        <f t="shared" si="37"/>
        <v>10.148760330578513</v>
      </c>
      <c r="O54" s="100">
        <f t="shared" si="35"/>
        <v>-4.9743205970836613</v>
      </c>
      <c r="Q54" s="95" t="s">
        <v>132</v>
      </c>
      <c r="R54" s="101">
        <v>535</v>
      </c>
      <c r="S54" s="93">
        <v>411</v>
      </c>
      <c r="T54" s="94">
        <f t="shared" si="30"/>
        <v>2.9068187992393371E-2</v>
      </c>
      <c r="U54" s="94">
        <f t="shared" si="31"/>
        <v>0.30170316301703171</v>
      </c>
    </row>
    <row r="55" spans="2:21" ht="13.8" x14ac:dyDescent="0.25">
      <c r="Q55" s="93" t="s">
        <v>133</v>
      </c>
      <c r="R55" s="93">
        <v>433</v>
      </c>
      <c r="S55" s="93">
        <v>326</v>
      </c>
      <c r="T55" s="94">
        <f t="shared" si="30"/>
        <v>2.3526215702254823E-2</v>
      </c>
      <c r="U55" s="94">
        <f t="shared" si="31"/>
        <v>0.32822085889570563</v>
      </c>
    </row>
    <row r="56" spans="2:21" ht="18" x14ac:dyDescent="0.35">
      <c r="B56" s="102" t="s">
        <v>134</v>
      </c>
      <c r="C56" s="3" t="s">
        <v>53</v>
      </c>
      <c r="D56" s="103" t="s">
        <v>54</v>
      </c>
      <c r="E56" s="103" t="s">
        <v>7</v>
      </c>
      <c r="F56" s="90" t="s">
        <v>8</v>
      </c>
      <c r="G56" s="90" t="s">
        <v>111</v>
      </c>
      <c r="Q56" s="93" t="s">
        <v>135</v>
      </c>
      <c r="R56" s="93">
        <v>-149</v>
      </c>
      <c r="S56" s="93">
        <v>-20</v>
      </c>
      <c r="T56" s="94">
        <f t="shared" si="30"/>
        <v>-8.0956261885357234E-3</v>
      </c>
      <c r="U56" s="94">
        <f t="shared" si="31"/>
        <v>6.45</v>
      </c>
    </row>
    <row r="57" spans="2:21" ht="14.4" x14ac:dyDescent="0.3">
      <c r="B57" s="104" t="s">
        <v>136</v>
      </c>
      <c r="C57" s="105">
        <v>0.1</v>
      </c>
      <c r="D57" s="106">
        <v>0.13</v>
      </c>
      <c r="E57" s="106">
        <v>0.13</v>
      </c>
      <c r="F57" s="106">
        <v>0.13</v>
      </c>
      <c r="G57" s="106">
        <v>0.1</v>
      </c>
      <c r="Q57" s="107"/>
      <c r="R57" s="107"/>
      <c r="S57" s="107"/>
      <c r="T57" s="107"/>
      <c r="U57" s="107"/>
    </row>
    <row r="58" spans="2:21" ht="14.4" x14ac:dyDescent="0.3">
      <c r="B58" s="33" t="s">
        <v>137</v>
      </c>
      <c r="C58" s="105">
        <v>0.1</v>
      </c>
      <c r="D58" s="106">
        <v>0.11</v>
      </c>
      <c r="E58" s="105">
        <f>(E61/E32)-1</f>
        <v>0.40242682563338317</v>
      </c>
      <c r="F58" s="105">
        <v>0.4</v>
      </c>
      <c r="G58" s="106">
        <v>0.104</v>
      </c>
      <c r="Q58" s="108" t="s">
        <v>138</v>
      </c>
      <c r="R58" s="109">
        <f t="shared" ref="R58:S58" si="38">SUM(R48:R56)</f>
        <v>18405</v>
      </c>
      <c r="S58" s="109">
        <f t="shared" si="38"/>
        <v>17043</v>
      </c>
      <c r="T58" s="110">
        <f>R58/$R$58</f>
        <v>1</v>
      </c>
      <c r="U58" s="111">
        <f>(R58/S58)^(1/1)-1</f>
        <v>7.9915507833127952E-2</v>
      </c>
    </row>
    <row r="60" spans="2:21" ht="18" x14ac:dyDescent="0.35">
      <c r="B60" s="76" t="s">
        <v>139</v>
      </c>
      <c r="C60" s="3" t="s">
        <v>53</v>
      </c>
      <c r="D60" s="32" t="s">
        <v>54</v>
      </c>
      <c r="E60" s="32" t="s">
        <v>7</v>
      </c>
      <c r="F60" s="32" t="s">
        <v>8</v>
      </c>
      <c r="G60" s="32" t="s">
        <v>140</v>
      </c>
      <c r="H60" s="32" t="s">
        <v>141</v>
      </c>
      <c r="I60" s="32" t="s">
        <v>142</v>
      </c>
      <c r="J60" s="112"/>
      <c r="K60" s="32" t="s">
        <v>143</v>
      </c>
      <c r="L60" s="32" t="s">
        <v>140</v>
      </c>
      <c r="M60" s="32" t="s">
        <v>141</v>
      </c>
      <c r="N60" s="32" t="s">
        <v>142</v>
      </c>
    </row>
    <row r="61" spans="2:21" ht="18" x14ac:dyDescent="0.35">
      <c r="B61" s="113" t="s">
        <v>144</v>
      </c>
      <c r="C61" s="114">
        <f t="shared" ref="C61:D61" si="39">FV(C58,1,0,-C32,0)</f>
        <v>149.38000000000002</v>
      </c>
      <c r="D61" s="114">
        <f t="shared" si="39"/>
        <v>81435.150000000009</v>
      </c>
      <c r="E61" s="114">
        <f>D61*G58</f>
        <v>8469.2556000000004</v>
      </c>
      <c r="F61" s="114">
        <f>FV(F58,1,0,-G32,0)</f>
        <v>287.42</v>
      </c>
      <c r="G61" s="115">
        <f t="shared" ref="G61:G63" si="40">F61*31</f>
        <v>8910.02</v>
      </c>
      <c r="H61" s="116">
        <f t="shared" ref="H61:H63" si="41">AVERAGE(G61,I61)</f>
        <v>10059.700000000001</v>
      </c>
      <c r="I61" s="115">
        <f t="shared" ref="I61:I63" si="42">F61*39</f>
        <v>11209.380000000001</v>
      </c>
      <c r="J61" s="112"/>
      <c r="K61" s="117">
        <f>(F61*65%)+N32</f>
        <v>2583.6704576271186</v>
      </c>
      <c r="L61" s="115">
        <f t="shared" ref="L61:L63" si="43">K61*3</f>
        <v>7751.0113728813558</v>
      </c>
      <c r="M61" s="116">
        <f t="shared" ref="M61:M63" si="44">AVERAGE(L61,N61)</f>
        <v>9042.8466016949151</v>
      </c>
      <c r="N61" s="115">
        <f t="shared" ref="N61:N63" si="45">K61*4</f>
        <v>10334.681830508474</v>
      </c>
      <c r="Q61" s="30" t="s">
        <v>145</v>
      </c>
      <c r="R61" s="16"/>
      <c r="S61" s="16"/>
      <c r="T61" s="16"/>
    </row>
    <row r="62" spans="2:21" ht="14.4" x14ac:dyDescent="0.3">
      <c r="B62" s="113" t="s">
        <v>146</v>
      </c>
      <c r="C62" s="114">
        <f t="shared" ref="C62:D62" si="46">FV(C57,4,0,-C61,0)</f>
        <v>218.70725800000008</v>
      </c>
      <c r="D62" s="114">
        <f t="shared" si="46"/>
        <v>132777.86300139147</v>
      </c>
      <c r="E62" s="114">
        <f>D62*G57</f>
        <v>13277.786300139147</v>
      </c>
      <c r="F62" s="114">
        <f>(E62*F61)/E61</f>
        <v>450.60646633288451</v>
      </c>
      <c r="G62" s="115">
        <f t="shared" si="40"/>
        <v>13968.800456319419</v>
      </c>
      <c r="H62" s="116">
        <f t="shared" si="41"/>
        <v>15771.226321650958</v>
      </c>
      <c r="I62" s="115">
        <f t="shared" si="42"/>
        <v>17573.652186982497</v>
      </c>
      <c r="J62" s="112"/>
      <c r="K62" s="117">
        <f>FV(10%,4,0,-K61,0)</f>
        <v>3782.7519170118653</v>
      </c>
      <c r="L62" s="115">
        <f t="shared" si="43"/>
        <v>11348.255751035596</v>
      </c>
      <c r="M62" s="116">
        <f t="shared" si="44"/>
        <v>13239.631709541529</v>
      </c>
      <c r="N62" s="115">
        <f t="shared" si="45"/>
        <v>15131.007668047461</v>
      </c>
      <c r="Q62" s="118" t="s">
        <v>147</v>
      </c>
      <c r="R62" s="118" t="s">
        <v>148</v>
      </c>
      <c r="S62" s="118" t="s">
        <v>84</v>
      </c>
      <c r="T62" s="3" t="s">
        <v>115</v>
      </c>
    </row>
    <row r="63" spans="2:21" ht="14.4" x14ac:dyDescent="0.3">
      <c r="B63" s="113" t="s">
        <v>149</v>
      </c>
      <c r="C63" s="114">
        <f>FV(5%,5,0,-C62,0)</f>
        <v>279.13204097033076</v>
      </c>
      <c r="D63" s="114">
        <f t="shared" ref="D63:F63" si="47">FV(12%,5,0,-D62,0)</f>
        <v>233999.96257357131</v>
      </c>
      <c r="E63" s="114">
        <f t="shared" si="47"/>
        <v>23399.996257357132</v>
      </c>
      <c r="F63" s="114">
        <f t="shared" si="47"/>
        <v>794.12255833790005</v>
      </c>
      <c r="G63" s="115">
        <f t="shared" si="40"/>
        <v>24617.799308474903</v>
      </c>
      <c r="H63" s="116">
        <f t="shared" si="41"/>
        <v>27794.289541826503</v>
      </c>
      <c r="I63" s="115">
        <f t="shared" si="42"/>
        <v>30970.779775178104</v>
      </c>
      <c r="J63" s="112"/>
      <c r="K63" s="117">
        <f>FV(9%,5,0,-K62,0)</f>
        <v>5820.2327149583543</v>
      </c>
      <c r="L63" s="115">
        <f t="shared" si="43"/>
        <v>17460.698144875063</v>
      </c>
      <c r="M63" s="116">
        <f t="shared" si="44"/>
        <v>20370.814502354238</v>
      </c>
      <c r="N63" s="115">
        <f t="shared" si="45"/>
        <v>23280.930859833417</v>
      </c>
      <c r="Q63" s="4" t="s">
        <v>150</v>
      </c>
      <c r="R63" s="119">
        <v>51.1</v>
      </c>
      <c r="S63" s="6">
        <v>60</v>
      </c>
      <c r="T63" s="120">
        <f t="shared" ref="T63:T66" si="48">(S63/R63)-1</f>
        <v>0.17416829745596862</v>
      </c>
    </row>
    <row r="64" spans="2:21" ht="14.4" x14ac:dyDescent="0.3">
      <c r="B64" s="16"/>
      <c r="C64" s="16"/>
      <c r="D64" s="121"/>
      <c r="E64" s="16"/>
      <c r="F64" s="16"/>
      <c r="G64" s="16"/>
      <c r="Q64" s="4" t="s">
        <v>151</v>
      </c>
      <c r="R64" s="119">
        <v>13.5</v>
      </c>
      <c r="S64" s="5">
        <v>14.3</v>
      </c>
      <c r="T64" s="120">
        <f t="shared" si="48"/>
        <v>5.9259259259259345E-2</v>
      </c>
    </row>
    <row r="65" spans="2:20" ht="24" x14ac:dyDescent="0.3">
      <c r="B65" s="122" t="s">
        <v>3</v>
      </c>
      <c r="C65" s="122" t="s">
        <v>3</v>
      </c>
      <c r="D65" s="123" t="s">
        <v>4</v>
      </c>
      <c r="E65" s="122" t="s">
        <v>152</v>
      </c>
      <c r="F65" s="122" t="s">
        <v>153</v>
      </c>
      <c r="G65" s="122" t="s">
        <v>154</v>
      </c>
      <c r="H65" s="122" t="s">
        <v>155</v>
      </c>
      <c r="I65" s="122" t="s">
        <v>156</v>
      </c>
      <c r="Q65" s="4" t="s">
        <v>157</v>
      </c>
      <c r="R65" s="119">
        <v>4.8</v>
      </c>
      <c r="S65" s="6">
        <v>18.5</v>
      </c>
      <c r="T65" s="120">
        <f t="shared" si="48"/>
        <v>2.854166666666667</v>
      </c>
    </row>
    <row r="66" spans="2:20" ht="14.4" x14ac:dyDescent="0.3">
      <c r="B66" s="4" t="s">
        <v>152</v>
      </c>
      <c r="C66" s="4" t="s">
        <v>24</v>
      </c>
      <c r="D66" s="5">
        <f ca="1">IFERROR(__xludf.DUMMYFUNCTION("GOOGLEFINANCE(""NSE:""&amp;C66,""price"")"),12411)</f>
        <v>12411</v>
      </c>
      <c r="E66" s="124">
        <v>2.4E-2</v>
      </c>
      <c r="F66" s="124">
        <f ca="1">IF(D66&gt;=I61, E66/2, IF(D66&lt;=G61, E66, E66/2 + ((I61 - D66) / (I61 - G61)) * E66/2))</f>
        <v>1.2E-2</v>
      </c>
      <c r="G66" s="125">
        <f ca="1">IF(D66&gt;=N61, E66/2, IF(D66&lt;=L61, E66, E66/2 + ((N61 - D66) / (N61 - L61)) * E66/2))</f>
        <v>1.2E-2</v>
      </c>
      <c r="H66" s="126">
        <f ca="1">E66-((R45-26)%*E66)</f>
        <v>1.9876629322942038E-2</v>
      </c>
      <c r="I66" s="127">
        <f ca="1">AVERAGE(F66:H66)</f>
        <v>1.4625543107647345E-2</v>
      </c>
      <c r="Q66" s="4" t="s">
        <v>158</v>
      </c>
      <c r="R66" s="128">
        <v>30.6</v>
      </c>
      <c r="S66" s="8">
        <v>7.2</v>
      </c>
      <c r="T66" s="120">
        <f t="shared" si="48"/>
        <v>-0.76470588235294112</v>
      </c>
    </row>
    <row r="67" spans="2:20" ht="13.8" x14ac:dyDescent="0.25">
      <c r="Q67" s="19"/>
      <c r="R67" s="129"/>
      <c r="S67" s="19"/>
      <c r="T67" s="66"/>
    </row>
    <row r="68" spans="2:20" ht="14.4" x14ac:dyDescent="0.3">
      <c r="Q68" s="130" t="s">
        <v>159</v>
      </c>
      <c r="R68" s="131">
        <f t="shared" ref="R68:S68" si="49">SUM(R63:R66)</f>
        <v>100</v>
      </c>
      <c r="S68" s="130">
        <f t="shared" si="49"/>
        <v>100</v>
      </c>
      <c r="T68" s="132">
        <f>(S68/R68)-1</f>
        <v>0</v>
      </c>
    </row>
    <row r="86" spans="2:14" ht="13.8" x14ac:dyDescent="0.25">
      <c r="B86" s="133" t="s">
        <v>160</v>
      </c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</row>
    <row r="87" spans="2:14" ht="13.8" x14ac:dyDescent="0.25"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</row>
  </sheetData>
  <mergeCells count="2">
    <mergeCell ref="S43:S45"/>
    <mergeCell ref="B86:N87"/>
  </mergeCells>
  <conditionalFormatting sqref="B43:F43">
    <cfRule type="colorScale" priority="11">
      <colorScale>
        <cfvo type="min"/>
        <cfvo type="max"/>
        <color rgb="FFFFFFFF"/>
        <color rgb="FF57BB8A"/>
      </colorScale>
    </cfRule>
  </conditionalFormatting>
  <conditionalFormatting sqref="B44:F44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45:F45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2:C31">
    <cfRule type="colorScale" priority="1">
      <colorScale>
        <cfvo type="min"/>
        <cfvo type="max"/>
        <color rgb="FFFFFFFF"/>
        <color rgb="FF57BB8A"/>
      </colorScale>
    </cfRule>
  </conditionalFormatting>
  <conditionalFormatting sqref="C37:D41 E37:E39 G38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D31">
    <cfRule type="colorScale" priority="2">
      <colorScale>
        <cfvo type="min"/>
        <cfvo type="max"/>
        <color rgb="FFFFFFFF"/>
        <color rgb="FF57BB8A"/>
      </colorScale>
    </cfRule>
  </conditionalFormatting>
  <conditionalFormatting sqref="D37:E41 G38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:E31">
    <cfRule type="colorScale" priority="3">
      <colorScale>
        <cfvo type="min"/>
        <cfvo type="max"/>
        <color rgb="FFFFFFFF"/>
        <color rgb="FF57BB8A"/>
      </colorScale>
    </cfRule>
  </conditionalFormatting>
  <conditionalFormatting sqref="E37:E41 G38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47:E54 K43 O47:O54 V49:V50 L59 V59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7:F41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2:G31">
    <cfRule type="colorScale" priority="4">
      <colorScale>
        <cfvo type="min"/>
        <cfvo type="max"/>
        <color rgb="FFFFFFFF"/>
        <color rgb="FF57BB8A"/>
      </colorScale>
    </cfRule>
  </conditionalFormatting>
  <conditionalFormatting sqref="G37:I41 J37 P37:P41">
    <cfRule type="colorScale" priority="7">
      <colorScale>
        <cfvo type="min"/>
        <cfvo type="max"/>
        <color rgb="FFFFFFFF"/>
        <color rgb="FF57BB8A"/>
      </colorScale>
    </cfRule>
  </conditionalFormatting>
  <conditionalFormatting sqref="H12:H34">
    <cfRule type="colorScale" priority="27">
      <colorScale>
        <cfvo type="min"/>
        <cfvo type="max"/>
        <color rgb="FFFFFFFF"/>
        <color rgb="FF57BB8A"/>
      </colorScale>
    </cfRule>
  </conditionalFormatting>
  <conditionalFormatting sqref="I12:I34">
    <cfRule type="colorScale" priority="28">
      <colorScale>
        <cfvo type="min"/>
        <cfvo type="max"/>
        <color rgb="FF57BB8A"/>
        <color rgb="FFFFFFFF"/>
      </colorScale>
    </cfRule>
  </conditionalFormatting>
  <conditionalFormatting sqref="I43:M43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12:J31">
    <cfRule type="colorScale" priority="6">
      <colorScale>
        <cfvo type="min"/>
        <cfvo type="max"/>
        <color rgb="FFFFFFFF"/>
        <color rgb="FF57BB8A"/>
      </colorScale>
    </cfRule>
  </conditionalFormatting>
  <conditionalFormatting sqref="J47:J54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37:K41 N37:N40">
    <cfRule type="colorScale" priority="8">
      <colorScale>
        <cfvo type="min"/>
        <cfvo type="max"/>
        <color rgb="FFFFFFFF"/>
        <color rgb="FF57BB8A"/>
      </colorScale>
    </cfRule>
  </conditionalFormatting>
  <conditionalFormatting sqref="K12:K31">
    <cfRule type="colorScale" priority="5">
      <colorScale>
        <cfvo type="min"/>
        <cfvo type="max"/>
        <color rgb="FFFFFFFF"/>
        <color rgb="FF57BB8A"/>
      </colorScale>
    </cfRule>
  </conditionalFormatting>
  <conditionalFormatting sqref="K42:K43 C43:D43 E43:E45 J43 C45:D45 E47 J47 O47 V49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2:M34">
    <cfRule type="colorScale" priority="3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L37:M41 O37:P40">
    <cfRule type="colorScale" priority="9">
      <colorScale>
        <cfvo type="min"/>
        <cfvo type="max"/>
        <color rgb="FFFFFFFF"/>
        <color rgb="FF57BB8A"/>
      </colorScale>
    </cfRule>
  </conditionalFormatting>
  <conditionalFormatting sqref="N12:N34">
    <cfRule type="colorScale" priority="29">
      <colorScale>
        <cfvo type="min"/>
        <cfvo type="max"/>
        <color rgb="FF57BB8A"/>
        <color rgb="FFFFFFFF"/>
      </colorScale>
    </cfRule>
  </conditionalFormatting>
  <conditionalFormatting sqref="O37:O40 P37">
    <cfRule type="colorScale" priority="10">
      <colorScale>
        <cfvo type="min"/>
        <cfvo type="max"/>
        <color rgb="FFFFFFFF"/>
        <color rgb="FF57BB8A"/>
      </colorScale>
    </cfRule>
  </conditionalFormatting>
  <conditionalFormatting sqref="O12:P34">
    <cfRule type="colorScale" priority="30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P45:P46 Q45:R45">
    <cfRule type="colorScale" priority="1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P43:R43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59:R60 T61:T68 R69:R75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47:T58 E49:E54 O49:O54 L59 V59:V61 L73:L77">
    <cfRule type="colorScale" priority="13">
      <colorScale>
        <cfvo type="min"/>
        <cfvo type="max"/>
        <color rgb="FFFFFFFF"/>
        <color rgb="FF57BB8A"/>
      </colorScale>
    </cfRule>
  </conditionalFormatting>
  <conditionalFormatting sqref="U47:U58 F48:F54 M59 M73:M77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86" r:id="rId1" xr:uid="{FDE30727-44C9-4E00-9801-B5BB59A3CD3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ULTRATECH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2025-08-14T00:20:29Z</dcterms:created>
  <dcterms:modified xsi:type="dcterms:W3CDTF">2025-08-14T00:20:55Z</dcterms:modified>
</cp:coreProperties>
</file>