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286C092C-7100-4743-96DB-1C11A0E2F936}" xr6:coauthVersionLast="47" xr6:coauthVersionMax="47" xr10:uidLastSave="{00000000-0000-0000-0000-000000000000}"/>
  <bookViews>
    <workbookView xWindow="-108" yWindow="-108" windowWidth="23256" windowHeight="12456" xr2:uid="{A84E489F-DE0D-4A27-9CB7-5958CEE76A91}"/>
  </bookViews>
  <sheets>
    <sheet name="Havell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" i="1" l="1"/>
  <c r="P77" i="1" s="1"/>
  <c r="L77" i="1"/>
  <c r="K77" i="1"/>
  <c r="H77" i="1"/>
  <c r="P76" i="1"/>
  <c r="N76" i="1"/>
  <c r="O76" i="1" s="1"/>
  <c r="L76" i="1"/>
  <c r="K76" i="1"/>
  <c r="H76" i="1"/>
  <c r="N75" i="1"/>
  <c r="P75" i="1" s="1"/>
  <c r="L75" i="1"/>
  <c r="K75" i="1"/>
  <c r="H75" i="1"/>
  <c r="P74" i="1"/>
  <c r="N74" i="1"/>
  <c r="O74" i="1" s="1"/>
  <c r="L74" i="1"/>
  <c r="K74" i="1"/>
  <c r="H74" i="1"/>
  <c r="N73" i="1"/>
  <c r="P73" i="1" s="1"/>
  <c r="L73" i="1"/>
  <c r="K73" i="1"/>
  <c r="H73" i="1"/>
  <c r="P72" i="1"/>
  <c r="N72" i="1"/>
  <c r="O72" i="1" s="1"/>
  <c r="L72" i="1"/>
  <c r="K72" i="1"/>
  <c r="H72" i="1"/>
  <c r="N71" i="1"/>
  <c r="P71" i="1" s="1"/>
  <c r="L71" i="1"/>
  <c r="K71" i="1"/>
  <c r="H71" i="1"/>
  <c r="P70" i="1"/>
  <c r="N70" i="1"/>
  <c r="O70" i="1" s="1"/>
  <c r="L70" i="1"/>
  <c r="K70" i="1"/>
  <c r="H70" i="1"/>
  <c r="N69" i="1"/>
  <c r="P69" i="1" s="1"/>
  <c r="L69" i="1"/>
  <c r="K69" i="1"/>
  <c r="H69" i="1"/>
  <c r="P68" i="1"/>
  <c r="N68" i="1"/>
  <c r="O68" i="1" s="1"/>
  <c r="L68" i="1"/>
  <c r="K68" i="1"/>
  <c r="H68" i="1"/>
  <c r="N67" i="1"/>
  <c r="P67" i="1" s="1"/>
  <c r="L67" i="1"/>
  <c r="K67" i="1"/>
  <c r="H67" i="1"/>
  <c r="P66" i="1"/>
  <c r="N66" i="1"/>
  <c r="O66" i="1" s="1"/>
  <c r="L66" i="1"/>
  <c r="K66" i="1"/>
  <c r="H66" i="1"/>
  <c r="N65" i="1"/>
  <c r="P65" i="1" s="1"/>
  <c r="L65" i="1"/>
  <c r="K65" i="1"/>
  <c r="H65" i="1"/>
  <c r="P64" i="1"/>
  <c r="N64" i="1"/>
  <c r="O64" i="1" s="1"/>
  <c r="L64" i="1"/>
  <c r="K64" i="1"/>
  <c r="H64" i="1"/>
  <c r="N63" i="1"/>
  <c r="P63" i="1" s="1"/>
  <c r="L63" i="1"/>
  <c r="K63" i="1"/>
  <c r="H63" i="1"/>
  <c r="P62" i="1"/>
  <c r="N62" i="1"/>
  <c r="O62" i="1" s="1"/>
  <c r="L62" i="1"/>
  <c r="K62" i="1"/>
  <c r="H62" i="1"/>
  <c r="N61" i="1"/>
  <c r="P61" i="1" s="1"/>
  <c r="L61" i="1"/>
  <c r="K61" i="1"/>
  <c r="H61" i="1"/>
  <c r="P60" i="1"/>
  <c r="N60" i="1"/>
  <c r="O60" i="1" s="1"/>
  <c r="L60" i="1"/>
  <c r="K60" i="1"/>
  <c r="H60" i="1"/>
  <c r="N59" i="1"/>
  <c r="P59" i="1" s="1"/>
  <c r="L59" i="1"/>
  <c r="K59" i="1"/>
  <c r="H59" i="1"/>
  <c r="P58" i="1"/>
  <c r="N58" i="1"/>
  <c r="O58" i="1" s="1"/>
  <c r="L58" i="1"/>
  <c r="K58" i="1"/>
  <c r="H58" i="1"/>
  <c r="N57" i="1"/>
  <c r="P57" i="1" s="1"/>
  <c r="L57" i="1"/>
  <c r="K57" i="1"/>
  <c r="H57" i="1"/>
  <c r="P56" i="1"/>
  <c r="N56" i="1"/>
  <c r="O56" i="1" s="1"/>
  <c r="L56" i="1"/>
  <c r="K56" i="1"/>
  <c r="H56" i="1"/>
  <c r="N55" i="1"/>
  <c r="P55" i="1" s="1"/>
  <c r="L55" i="1"/>
  <c r="K55" i="1"/>
  <c r="H55" i="1"/>
  <c r="P54" i="1"/>
  <c r="N54" i="1"/>
  <c r="O54" i="1" s="1"/>
  <c r="L54" i="1"/>
  <c r="K54" i="1"/>
  <c r="H54" i="1"/>
  <c r="N53" i="1"/>
  <c r="P53" i="1" s="1"/>
  <c r="L53" i="1"/>
  <c r="K53" i="1"/>
  <c r="H53" i="1"/>
  <c r="P52" i="1"/>
  <c r="N52" i="1"/>
  <c r="O52" i="1" s="1"/>
  <c r="L52" i="1"/>
  <c r="K52" i="1"/>
  <c r="H52" i="1"/>
  <c r="N51" i="1"/>
  <c r="P51" i="1" s="1"/>
  <c r="L51" i="1"/>
  <c r="K51" i="1"/>
  <c r="H51" i="1"/>
  <c r="P50" i="1"/>
  <c r="N50" i="1"/>
  <c r="O50" i="1" s="1"/>
  <c r="L50" i="1"/>
  <c r="K50" i="1"/>
  <c r="K41" i="1" s="1"/>
  <c r="H50" i="1"/>
  <c r="N49" i="1"/>
  <c r="P49" i="1" s="1"/>
  <c r="L49" i="1"/>
  <c r="K49" i="1"/>
  <c r="H49" i="1"/>
  <c r="P48" i="1"/>
  <c r="N48" i="1"/>
  <c r="O48" i="1" s="1"/>
  <c r="L48" i="1"/>
  <c r="K48" i="1"/>
  <c r="K42" i="1" s="1"/>
  <c r="H48" i="1"/>
  <c r="N47" i="1"/>
  <c r="N39" i="1" s="1"/>
  <c r="L47" i="1"/>
  <c r="K47" i="1"/>
  <c r="H47" i="1"/>
  <c r="H42" i="1" s="1"/>
  <c r="P46" i="1"/>
  <c r="N46" i="1"/>
  <c r="O46" i="1" s="1"/>
  <c r="E46" i="1"/>
  <c r="H46" i="1" s="1"/>
  <c r="D46" i="1"/>
  <c r="M43" i="1"/>
  <c r="L43" i="1"/>
  <c r="K43" i="1"/>
  <c r="J43" i="1"/>
  <c r="I43" i="1"/>
  <c r="G43" i="1"/>
  <c r="F43" i="1"/>
  <c r="E43" i="1"/>
  <c r="D43" i="1"/>
  <c r="M42" i="1"/>
  <c r="L42" i="1"/>
  <c r="J42" i="1"/>
  <c r="I42" i="1"/>
  <c r="G42" i="1"/>
  <c r="F42" i="1"/>
  <c r="E42" i="1"/>
  <c r="D42" i="1"/>
  <c r="M41" i="1"/>
  <c r="L41" i="1"/>
  <c r="J41" i="1"/>
  <c r="I41" i="1"/>
  <c r="H41" i="1"/>
  <c r="G41" i="1"/>
  <c r="F41" i="1"/>
  <c r="E41" i="1"/>
  <c r="D41" i="1"/>
  <c r="M40" i="1"/>
  <c r="L40" i="1"/>
  <c r="J40" i="1"/>
  <c r="I40" i="1"/>
  <c r="H40" i="1"/>
  <c r="G40" i="1"/>
  <c r="F40" i="1"/>
  <c r="E40" i="1"/>
  <c r="D40" i="1"/>
  <c r="M39" i="1"/>
  <c r="L39" i="1"/>
  <c r="J39" i="1"/>
  <c r="I39" i="1"/>
  <c r="H39" i="1"/>
  <c r="G39" i="1"/>
  <c r="F39" i="1"/>
  <c r="E39" i="1"/>
  <c r="D39" i="1"/>
  <c r="P36" i="1"/>
  <c r="Z34" i="1"/>
  <c r="Y34" i="1"/>
  <c r="AA34" i="1" s="1"/>
  <c r="N34" i="1"/>
  <c r="F46" i="1" s="1"/>
  <c r="AB32" i="1"/>
  <c r="AB31" i="1"/>
  <c r="AA31" i="1"/>
  <c r="T31" i="1"/>
  <c r="S31" i="1"/>
  <c r="U24" i="1" s="1"/>
  <c r="O31" i="1"/>
  <c r="N31" i="1"/>
  <c r="P31" i="1" s="1"/>
  <c r="K31" i="1"/>
  <c r="J31" i="1"/>
  <c r="I31" i="1"/>
  <c r="E31" i="1"/>
  <c r="F31" i="1" s="1"/>
  <c r="D31" i="1"/>
  <c r="AB30" i="1"/>
  <c r="P30" i="1"/>
  <c r="O30" i="1"/>
  <c r="N30" i="1"/>
  <c r="J30" i="1"/>
  <c r="K30" i="1" s="1"/>
  <c r="I30" i="1"/>
  <c r="E30" i="1"/>
  <c r="D30" i="1"/>
  <c r="F30" i="1" s="1"/>
  <c r="AB29" i="1"/>
  <c r="V29" i="1"/>
  <c r="P29" i="1"/>
  <c r="K29" i="1"/>
  <c r="F29" i="1"/>
  <c r="AB28" i="1"/>
  <c r="V28" i="1"/>
  <c r="P28" i="1"/>
  <c r="K28" i="1"/>
  <c r="F28" i="1"/>
  <c r="AB27" i="1"/>
  <c r="AA27" i="1"/>
  <c r="V27" i="1"/>
  <c r="P27" i="1"/>
  <c r="K27" i="1"/>
  <c r="F27" i="1"/>
  <c r="AB26" i="1"/>
  <c r="V26" i="1"/>
  <c r="P26" i="1"/>
  <c r="K26" i="1"/>
  <c r="F26" i="1"/>
  <c r="AB25" i="1"/>
  <c r="V25" i="1"/>
  <c r="P25" i="1"/>
  <c r="K25" i="1"/>
  <c r="F25" i="1"/>
  <c r="AB24" i="1"/>
  <c r="V24" i="1"/>
  <c r="P24" i="1"/>
  <c r="K24" i="1"/>
  <c r="F24" i="1"/>
  <c r="F17" i="1"/>
  <c r="K17" i="1" s="1"/>
  <c r="D17" i="1"/>
  <c r="E17" i="1" s="1"/>
  <c r="E21" i="1" s="1"/>
  <c r="D16" i="1"/>
  <c r="D12" i="1"/>
  <c r="S9" i="1"/>
  <c r="R9" i="1"/>
  <c r="Q9" i="1"/>
  <c r="N9" i="1"/>
  <c r="K9" i="1"/>
  <c r="H9" i="1"/>
  <c r="G9" i="1"/>
  <c r="F9" i="1"/>
  <c r="D9" i="1"/>
  <c r="C9" i="1"/>
  <c r="B9" i="1"/>
  <c r="W5" i="1"/>
  <c r="U5" i="1"/>
  <c r="T5" i="1"/>
  <c r="R5" i="1"/>
  <c r="Q5" i="1"/>
  <c r="P5" i="1"/>
  <c r="O5" i="1"/>
  <c r="N5" i="1"/>
  <c r="M5" i="1"/>
  <c r="K5" i="1"/>
  <c r="J5" i="1"/>
  <c r="I5" i="1"/>
  <c r="H5" i="1"/>
  <c r="C5" i="1"/>
  <c r="V4" i="1"/>
  <c r="L4" i="1"/>
  <c r="G4" i="1"/>
  <c r="F4" i="1"/>
  <c r="E4" i="1"/>
  <c r="V3" i="1"/>
  <c r="V5" i="1" s="1"/>
  <c r="L3" i="1"/>
  <c r="L5" i="1" s="1"/>
  <c r="F3" i="1"/>
  <c r="J9" i="1" s="1"/>
  <c r="E3" i="1"/>
  <c r="E5" i="1" s="1"/>
  <c r="D3" i="1"/>
  <c r="D4" i="1" s="1"/>
  <c r="C3" i="1"/>
  <c r="L17" i="1" l="1"/>
  <c r="K16" i="1"/>
  <c r="N17" i="1"/>
  <c r="L9" i="1"/>
  <c r="K46" i="1"/>
  <c r="L46" i="1"/>
  <c r="G3" i="1"/>
  <c r="E9" i="1"/>
  <c r="G12" i="1"/>
  <c r="AA24" i="1"/>
  <c r="AB34" i="1"/>
  <c r="K40" i="1"/>
  <c r="N41" i="1"/>
  <c r="D5" i="1"/>
  <c r="G17" i="1"/>
  <c r="H17" i="1" s="1"/>
  <c r="U28" i="1"/>
  <c r="Q34" i="1"/>
  <c r="Q36" i="1" s="1"/>
  <c r="N43" i="1"/>
  <c r="O47" i="1"/>
  <c r="O51" i="1"/>
  <c r="O55" i="1"/>
  <c r="O59" i="1"/>
  <c r="O63" i="1"/>
  <c r="O67" i="1"/>
  <c r="O71" i="1"/>
  <c r="O75" i="1"/>
  <c r="D15" i="1"/>
  <c r="U27" i="1"/>
  <c r="AA29" i="1"/>
  <c r="U31" i="1"/>
  <c r="R34" i="1"/>
  <c r="R36" i="1" s="1"/>
  <c r="K39" i="1"/>
  <c r="N40" i="1"/>
  <c r="P47" i="1"/>
  <c r="U29" i="1"/>
  <c r="F5" i="1"/>
  <c r="I9" i="1"/>
  <c r="I17" i="1"/>
  <c r="F12" i="1" s="1"/>
  <c r="U26" i="1"/>
  <c r="AA28" i="1"/>
  <c r="V31" i="1"/>
  <c r="H43" i="1"/>
  <c r="G20" i="1" s="1"/>
  <c r="E16" i="1" s="1"/>
  <c r="U25" i="1"/>
  <c r="N42" i="1"/>
  <c r="AA26" i="1"/>
  <c r="AA30" i="1"/>
  <c r="O49" i="1"/>
  <c r="O53" i="1"/>
  <c r="O57" i="1"/>
  <c r="O61" i="1"/>
  <c r="O65" i="1"/>
  <c r="O69" i="1"/>
  <c r="O73" i="1"/>
  <c r="O77" i="1"/>
  <c r="AA25" i="1"/>
  <c r="AA32" i="1"/>
  <c r="S34" i="1" l="1"/>
  <c r="P9" i="1" s="1"/>
  <c r="H12" i="1"/>
  <c r="I12" i="1"/>
  <c r="F16" i="1"/>
  <c r="E15" i="1"/>
  <c r="P42" i="1"/>
  <c r="P40" i="1"/>
  <c r="P43" i="1"/>
  <c r="P41" i="1"/>
  <c r="P39" i="1"/>
  <c r="O39" i="1"/>
  <c r="O42" i="1"/>
  <c r="O40" i="1"/>
  <c r="O43" i="1"/>
  <c r="O41" i="1"/>
  <c r="N16" i="1"/>
  <c r="K15" i="1"/>
  <c r="L16" i="1"/>
  <c r="M16" i="1" s="1"/>
  <c r="M17" i="1"/>
  <c r="G5" i="1"/>
  <c r="M9" i="1"/>
  <c r="F15" i="1" l="1"/>
  <c r="I16" i="1"/>
  <c r="G16" i="1"/>
  <c r="H16" i="1" s="1"/>
  <c r="N15" i="1"/>
  <c r="L15" i="1"/>
  <c r="G15" i="1" l="1"/>
  <c r="H15" i="1" s="1"/>
  <c r="I15" i="1"/>
  <c r="M15" i="1"/>
</calcChain>
</file>

<file path=xl/sharedStrings.xml><?xml version="1.0" encoding="utf-8"?>
<sst xmlns="http://schemas.openxmlformats.org/spreadsheetml/2006/main" count="242" uniqueCount="166">
  <si>
    <t>INCOME</t>
  </si>
  <si>
    <t>BALANCESHEET</t>
  </si>
  <si>
    <t>CASHFLOW</t>
  </si>
  <si>
    <t>Company</t>
  </si>
  <si>
    <t>Price</t>
  </si>
  <si>
    <t>Marketcap</t>
  </si>
  <si>
    <t>Sales</t>
  </si>
  <si>
    <t>Profit</t>
  </si>
  <si>
    <t>TRAIL_EPS</t>
  </si>
  <si>
    <t>FV</t>
  </si>
  <si>
    <t>Equity</t>
  </si>
  <si>
    <t>Reserve</t>
  </si>
  <si>
    <t>DEBT</t>
  </si>
  <si>
    <t>LEASE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</si>
  <si>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</si>
  <si>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</si>
  <si>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</si>
  <si>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</si>
  <si>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</si>
  <si>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</si>
  <si>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</si>
  <si>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</si>
  <si>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</si>
  <si>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NETCASHFLOW</t>
  </si>
  <si>
    <t>HAVELLS</t>
  </si>
  <si>
    <t>LAST YEAR_25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</si>
  <si>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</si>
  <si>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</si>
  <si>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</si>
  <si>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</si>
  <si>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</si>
  <si>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</si>
  <si>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</si>
  <si>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</si>
  <si>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REC DAY</t>
  </si>
  <si>
    <t>DEBT2EQUITY</t>
  </si>
  <si>
    <t>DEBTRATIO</t>
  </si>
  <si>
    <t>ICR</t>
  </si>
  <si>
    <t>ROE</t>
  </si>
  <si>
    <t>ROPE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</si>
  <si>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</si>
  <si>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</si>
  <si>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</si>
  <si>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</si>
  <si>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</si>
  <si>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</si>
  <si>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</si>
  <si>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</si>
  <si>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(INC R)</t>
  </si>
  <si>
    <t>WEIGHTAGE</t>
  </si>
  <si>
    <t>WEIGHTAGE @ EPS</t>
  </si>
  <si>
    <t>WEIGHTAGE @ BV</t>
  </si>
  <si>
    <t>WEIGHTAGE @ PEG</t>
  </si>
  <si>
    <t>ACTUAL WEIGHTAGE</t>
  </si>
  <si>
    <t>Expecrtation</t>
  </si>
  <si>
    <t>Year</t>
  </si>
  <si>
    <t>EPS</t>
  </si>
  <si>
    <t>LOW PRICE RANGE</t>
  </si>
  <si>
    <t>FAIRVALUE</t>
  </si>
  <si>
    <t>HIGH PRICE RANGE</t>
  </si>
  <si>
    <t>BookValue</t>
  </si>
  <si>
    <t>fy_2035</t>
  </si>
  <si>
    <t>fy_2030</t>
  </si>
  <si>
    <t>fy_2026</t>
  </si>
  <si>
    <t>Estimation</t>
  </si>
  <si>
    <t>MARGIN</t>
  </si>
  <si>
    <t>Long Term</t>
  </si>
  <si>
    <t>Quarterly</t>
  </si>
  <si>
    <t>RESULT</t>
  </si>
  <si>
    <t>Q1_FY26</t>
  </si>
  <si>
    <t>Q1_FY25</t>
  </si>
  <si>
    <t>Growth</t>
  </si>
  <si>
    <t>FY_25</t>
  </si>
  <si>
    <t>FY_24</t>
  </si>
  <si>
    <t>FY25</t>
  </si>
  <si>
    <t>FY24</t>
  </si>
  <si>
    <t>Segment Wise Revenue</t>
  </si>
  <si>
    <t>Share</t>
  </si>
  <si>
    <t>Major Cost</t>
  </si>
  <si>
    <t>Cable</t>
  </si>
  <si>
    <t>RawMaterial</t>
  </si>
  <si>
    <t>Finance cost</t>
  </si>
  <si>
    <t>Ele. Con. Durable</t>
  </si>
  <si>
    <t>Traded Goods</t>
  </si>
  <si>
    <t>Expenses</t>
  </si>
  <si>
    <t>Lloyd Consumer</t>
  </si>
  <si>
    <t>OTHERS</t>
  </si>
  <si>
    <t>SwithGear</t>
  </si>
  <si>
    <t>Employee cost</t>
  </si>
  <si>
    <t>Lighiting &amp; Fixture</t>
  </si>
  <si>
    <t>ADVERTISIMENT</t>
  </si>
  <si>
    <t>Others</t>
  </si>
  <si>
    <t>D&amp;A</t>
  </si>
  <si>
    <t>Margin</t>
  </si>
  <si>
    <t>Finance</t>
  </si>
  <si>
    <t>I.C.R</t>
  </si>
  <si>
    <t>Total</t>
  </si>
  <si>
    <t>Inventory Change</t>
  </si>
  <si>
    <t>Impariment</t>
  </si>
  <si>
    <t>Near trend</t>
  </si>
  <si>
    <t>Current Trend</t>
  </si>
  <si>
    <t>H1_FY_25</t>
  </si>
  <si>
    <t>9M_FY_25</t>
  </si>
  <si>
    <t>Q1_FY_26</t>
  </si>
  <si>
    <t>EST_2026</t>
  </si>
  <si>
    <t>Q2</t>
  </si>
  <si>
    <t>Q3_fy25</t>
  </si>
  <si>
    <t>Q4_fy25</t>
  </si>
  <si>
    <t>Q1_fy26</t>
  </si>
  <si>
    <t>TRAIL-EPS</t>
  </si>
  <si>
    <t>EPS_24</t>
  </si>
  <si>
    <t>Trail_EPS</t>
  </si>
  <si>
    <t>F_EPS_26</t>
  </si>
  <si>
    <t>F_PEG</t>
  </si>
  <si>
    <t>PE_24</t>
  </si>
  <si>
    <t>T_PE</t>
  </si>
  <si>
    <t>F_PE_25</t>
  </si>
  <si>
    <t>Low Price</t>
  </si>
  <si>
    <t>HIgh Price</t>
  </si>
  <si>
    <t>Low PE</t>
  </si>
  <si>
    <t>HIgh PE</t>
  </si>
  <si>
    <t>Low PBV</t>
  </si>
  <si>
    <t>HIgh PBV</t>
  </si>
  <si>
    <t>25 Years</t>
  </si>
  <si>
    <t>20 Year</t>
  </si>
  <si>
    <t>10 Years</t>
  </si>
  <si>
    <t>5 Years</t>
  </si>
  <si>
    <t>CYear</t>
  </si>
  <si>
    <t>Actuual Data</t>
  </si>
  <si>
    <t>Trail FY_2025</t>
  </si>
  <si>
    <t>FY_2025</t>
  </si>
  <si>
    <t>FY_2024</t>
  </si>
  <si>
    <t>FY_2023</t>
  </si>
  <si>
    <t>FY_2022</t>
  </si>
  <si>
    <t>FY_2021</t>
  </si>
  <si>
    <t>FY_2020</t>
  </si>
  <si>
    <t>FY_2019</t>
  </si>
  <si>
    <t>FY_2018</t>
  </si>
  <si>
    <t>FY_2017</t>
  </si>
  <si>
    <t>FY_2016</t>
  </si>
  <si>
    <t>Split 5:1</t>
  </si>
  <si>
    <t>FY_2015</t>
  </si>
  <si>
    <t>FY_2014</t>
  </si>
  <si>
    <t>FY_2013</t>
  </si>
  <si>
    <t>FY_2012</t>
  </si>
  <si>
    <t>Bonus 1:1</t>
  </si>
  <si>
    <t>FY_2011</t>
  </si>
  <si>
    <t>FY_2010</t>
  </si>
  <si>
    <t>FY_2009</t>
  </si>
  <si>
    <t>FY_2008</t>
  </si>
  <si>
    <t>Bonus1:1</t>
  </si>
  <si>
    <t>FY_2007</t>
  </si>
  <si>
    <t>FY_2006</t>
  </si>
  <si>
    <t>FY_2005</t>
  </si>
  <si>
    <t>Split 10:5</t>
  </si>
  <si>
    <t>FY_2004</t>
  </si>
  <si>
    <t>FY_2003</t>
  </si>
  <si>
    <t>FY_2002</t>
  </si>
  <si>
    <t>FY_2001</t>
  </si>
  <si>
    <t>FY_2000</t>
  </si>
  <si>
    <t>FY_1999</t>
  </si>
  <si>
    <t>FY_1998</t>
  </si>
  <si>
    <t>FY_1997</t>
  </si>
  <si>
    <t>FY_1996</t>
  </si>
  <si>
    <t>FY_1995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</si>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</sst>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3">
    <font>
      <sz val="10"/>
      <color rgb="FF000000"/>
      <name val="Arial"/>
      <scheme val="minor"/>
    </font>
    <font>
      <sz val="10"/>
      <color rgb="FFFFFFFF"/>
      <name val="Arial"/>
    </font>
    <font>
      <sz val="11"/>
      <color rgb="FF000000"/>
      <name val="Calibri"/>
    </font>
    <font>
      <sz val="10"/>
      <color theme="1"/>
      <name val="Arial"/>
      <scheme val="minor"/>
    </font>
    <font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i/>
      <sz val="11"/>
      <color rgb="FF000000"/>
      <name val="Arial"/>
    </font>
    <font>
      <sz val="11"/>
      <color rgb="FFFFFFFF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Source Code Pro"/>
    </font>
    <font>
      <sz val="11"/>
      <color theme="1"/>
      <name val="Times New Roman"/>
    </font>
    <font>
      <sz val="10"/>
      <color theme="1"/>
      <name val="Arial"/>
    </font>
    <font>
      <i/>
      <sz val="11"/>
      <color rgb="FF0C0C0C"/>
      <name val="&quot;Times New Roman&quot;"/>
    </font>
    <font>
      <sz val="11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i/>
      <u/>
      <sz val="10"/>
      <color theme="1"/>
      <name val="Arial"/>
      <scheme val="minor"/>
    </font>
    <font>
      <sz val="27"/>
      <color theme="1"/>
      <name val="Arial"/>
      <scheme val="minor"/>
    </font>
    <font>
      <b/>
      <u/>
      <sz val="10"/>
      <color theme="1"/>
      <name val="Arial"/>
      <scheme val="minor"/>
    </font>
    <font>
      <u/>
      <sz val="10"/>
      <color rgb="FFFFFFFF"/>
      <name val="Arial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57BB8A"/>
        <bgColor rgb="FF57BB8A"/>
      </patternFill>
    </fill>
    <fill>
      <patternFill patternType="solid">
        <fgColor rgb="FFE67C73"/>
        <bgColor rgb="FFE67C73"/>
      </patternFill>
    </fill>
    <fill>
      <patternFill patternType="solid">
        <fgColor rgb="FFFFFFFF"/>
        <bgColor rgb="FFFFFFFF"/>
      </patternFill>
    </fill>
    <fill>
      <patternFill patternType="solid">
        <fgColor rgb="FFFBFEFD"/>
        <bgColor rgb="FFFBFEFD"/>
      </patternFill>
    </fill>
    <fill>
      <patternFill patternType="solid">
        <fgColor rgb="FFF7D8D5"/>
        <bgColor rgb="FFF7D8D5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164" fontId="2" fillId="0" borderId="1" xfId="0" applyNumberFormat="1" applyFont="1" applyBorder="1"/>
    <xf numFmtId="9" fontId="2" fillId="0" borderId="1" xfId="0" applyNumberFormat="1" applyFont="1" applyBorder="1"/>
    <xf numFmtId="0" fontId="2" fillId="0" borderId="0" xfId="0" applyFont="1"/>
    <xf numFmtId="0" fontId="1" fillId="2" borderId="0" xfId="0" applyFont="1" applyFill="1"/>
    <xf numFmtId="0" fontId="4" fillId="2" borderId="2" xfId="0" applyFont="1" applyFill="1" applyBorder="1"/>
    <xf numFmtId="0" fontId="5" fillId="0" borderId="2" xfId="0" applyFont="1" applyBorder="1"/>
    <xf numFmtId="0" fontId="4" fillId="2" borderId="3" xfId="0" applyFont="1" applyFill="1" applyBorder="1"/>
    <xf numFmtId="0" fontId="4" fillId="2" borderId="4" xfId="0" applyFont="1" applyFill="1" applyBorder="1"/>
    <xf numFmtId="9" fontId="3" fillId="0" borderId="0" xfId="0" applyNumberFormat="1" applyFont="1"/>
    <xf numFmtId="9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0" fontId="8" fillId="2" borderId="1" xfId="0" applyFont="1" applyFill="1" applyBorder="1"/>
    <xf numFmtId="1" fontId="9" fillId="0" borderId="1" xfId="0" applyNumberFormat="1" applyFont="1" applyBorder="1" applyAlignment="1">
      <alignment horizontal="right"/>
    </xf>
    <xf numFmtId="10" fontId="10" fillId="4" borderId="1" xfId="0" applyNumberFormat="1" applyFont="1" applyFill="1" applyBorder="1" applyAlignment="1">
      <alignment horizontal="right"/>
    </xf>
    <xf numFmtId="10" fontId="10" fillId="5" borderId="1" xfId="0" applyNumberFormat="1" applyFont="1" applyFill="1" applyBorder="1" applyAlignment="1">
      <alignment horizontal="right"/>
    </xf>
    <xf numFmtId="10" fontId="10" fillId="6" borderId="1" xfId="0" applyNumberFormat="1" applyFont="1" applyFill="1" applyBorder="1" applyAlignment="1">
      <alignment horizontal="right"/>
    </xf>
    <xf numFmtId="10" fontId="11" fillId="7" borderId="4" xfId="0" applyNumberFormat="1" applyFont="1" applyFill="1" applyBorder="1" applyAlignment="1">
      <alignment horizontal="right"/>
    </xf>
    <xf numFmtId="10" fontId="12" fillId="8" borderId="1" xfId="0" applyNumberFormat="1" applyFont="1" applyFill="1" applyBorder="1" applyAlignment="1">
      <alignment horizontal="right"/>
    </xf>
    <xf numFmtId="0" fontId="6" fillId="0" borderId="0" xfId="0" applyFont="1"/>
    <xf numFmtId="0" fontId="13" fillId="0" borderId="0" xfId="0" applyFont="1"/>
    <xf numFmtId="0" fontId="13" fillId="0" borderId="1" xfId="0" applyFont="1" applyBorder="1" applyAlignment="1">
      <alignment horizontal="left"/>
    </xf>
    <xf numFmtId="3" fontId="13" fillId="9" borderId="1" xfId="0" applyNumberFormat="1" applyFont="1" applyFill="1" applyBorder="1" applyAlignment="1">
      <alignment horizontal="right"/>
    </xf>
    <xf numFmtId="3" fontId="6" fillId="10" borderId="1" xfId="0" applyNumberFormat="1" applyFont="1" applyFill="1" applyBorder="1" applyAlignment="1">
      <alignment horizontal="right"/>
    </xf>
    <xf numFmtId="3" fontId="7" fillId="10" borderId="1" xfId="0" applyNumberFormat="1" applyFont="1" applyFill="1" applyBorder="1" applyAlignment="1">
      <alignment horizontal="center"/>
    </xf>
    <xf numFmtId="1" fontId="6" fillId="11" borderId="1" xfId="0" applyNumberFormat="1" applyFont="1" applyFill="1" applyBorder="1" applyAlignment="1">
      <alignment horizontal="right"/>
    </xf>
    <xf numFmtId="1" fontId="14" fillId="11" borderId="1" xfId="0" applyNumberFormat="1" applyFont="1" applyFill="1" applyBorder="1" applyAlignment="1">
      <alignment horizontal="right"/>
    </xf>
    <xf numFmtId="165" fontId="3" fillId="0" borderId="0" xfId="0" applyNumberFormat="1" applyFont="1"/>
    <xf numFmtId="9" fontId="1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15" fillId="0" borderId="1" xfId="0" applyFont="1" applyBorder="1"/>
    <xf numFmtId="9" fontId="15" fillId="0" borderId="1" xfId="0" applyNumberFormat="1" applyFont="1" applyBorder="1"/>
    <xf numFmtId="9" fontId="3" fillId="0" borderId="1" xfId="0" applyNumberFormat="1" applyFont="1" applyBorder="1"/>
    <xf numFmtId="10" fontId="3" fillId="0" borderId="0" xfId="0" applyNumberFormat="1" applyFont="1"/>
    <xf numFmtId="165" fontId="16" fillId="0" borderId="1" xfId="0" applyNumberFormat="1" applyFont="1" applyBorder="1"/>
    <xf numFmtId="165" fontId="17" fillId="0" borderId="1" xfId="0" applyNumberFormat="1" applyFont="1" applyBorder="1"/>
    <xf numFmtId="1" fontId="3" fillId="0" borderId="1" xfId="0" applyNumberFormat="1" applyFont="1" applyBorder="1"/>
    <xf numFmtId="166" fontId="17" fillId="0" borderId="1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9" fontId="18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3" fillId="0" borderId="1" xfId="0" applyFont="1" applyBorder="1"/>
    <xf numFmtId="166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64" fontId="19" fillId="3" borderId="0" xfId="0" applyNumberFormat="1" applyFont="1" applyFill="1" applyAlignment="1">
      <alignment horizontal="center" vertical="center"/>
    </xf>
    <xf numFmtId="0" fontId="20" fillId="0" borderId="5" xfId="0" applyFont="1" applyBorder="1"/>
    <xf numFmtId="9" fontId="20" fillId="0" borderId="1" xfId="0" applyNumberFormat="1" applyFont="1" applyBorder="1"/>
    <xf numFmtId="0" fontId="0" fillId="0" borderId="0" xfId="0"/>
    <xf numFmtId="165" fontId="13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3" fontId="13" fillId="0" borderId="1" xfId="0" applyNumberFormat="1" applyFont="1" applyBorder="1" applyAlignment="1">
      <alignment horizontal="right"/>
    </xf>
    <xf numFmtId="1" fontId="1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6" borderId="1" xfId="0" applyFont="1" applyFill="1" applyBorder="1"/>
    <xf numFmtId="164" fontId="3" fillId="0" borderId="1" xfId="0" applyNumberFormat="1" applyFont="1" applyBorder="1"/>
    <xf numFmtId="0" fontId="3" fillId="12" borderId="1" xfId="0" applyFont="1" applyFill="1" applyBorder="1"/>
    <xf numFmtId="1" fontId="3" fillId="0" borderId="0" xfId="0" applyNumberFormat="1" applyFont="1"/>
    <xf numFmtId="1" fontId="3" fillId="6" borderId="1" xfId="0" applyNumberFormat="1" applyFont="1" applyFill="1" applyBorder="1"/>
    <xf numFmtId="1" fontId="3" fillId="12" borderId="1" xfId="0" applyNumberFormat="1" applyFont="1" applyFill="1" applyBorder="1"/>
    <xf numFmtId="0" fontId="3" fillId="0" borderId="0" xfId="0" applyFont="1"/>
    <xf numFmtId="3" fontId="3" fillId="0" borderId="0" xfId="0" applyNumberFormat="1" applyFont="1"/>
    <xf numFmtId="0" fontId="21" fillId="2" borderId="6" xfId="0" applyFont="1" applyFill="1" applyBorder="1" applyAlignment="1">
      <alignment horizontal="center"/>
    </xf>
    <xf numFmtId="0" fontId="22" fillId="0" borderId="7" xfId="0" applyFont="1" applyBorder="1"/>
    <xf numFmtId="0" fontId="2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333375</xdr:colOff>
      <xdr:row>82</xdr:row>
      <xdr:rowOff>9525</xdr:rowOff>
    </xdr:from>
    <xdr:ext cx="6448425" cy="48387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40917AEA-A9D0-49E4-87CC-5A3F337F6A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15475" y="14746605"/>
          <a:ext cx="6448425" cy="4838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77</xdr:row>
      <xdr:rowOff>200025</xdr:rowOff>
    </xdr:from>
    <xdr:ext cx="9667875" cy="38957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239DE550-86FF-460F-869E-57F36D92139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1490" y="13946505"/>
          <a:ext cx="9667875" cy="3895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B191-43D9-4A38-8B85-ADF3AA5E7E1F}">
  <sheetPr>
    <outlinePr summaryBelow="0" summaryRight="0"/>
  </sheetPr>
  <dimension ref="B1:AB108"/>
  <sheetViews>
    <sheetView showGridLines="0" tabSelected="1" workbookViewId="0"/>
  </sheetViews>
  <sheetFormatPr defaultColWidth="12.6640625" defaultRowHeight="15.75" customHeight="1"/>
  <cols>
    <col min="1" max="1" width="7.21875" customWidth="1"/>
  </cols>
  <sheetData>
    <row r="1" spans="2:23" ht="13.2">
      <c r="E1" s="1" t="s">
        <v>0</v>
      </c>
      <c r="I1" s="1" t="s">
        <v>1</v>
      </c>
      <c r="R1" s="1" t="s">
        <v>2</v>
      </c>
    </row>
    <row r="2" spans="2:23" ht="13.2"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19</v>
      </c>
    </row>
    <row r="3" spans="2:23" ht="15.75" customHeight="1">
      <c r="B3" s="2" t="s">
        <v>24</v>
      </c>
      <c r="C3" s="3">
        <f ca="1">IFERROR(__xludf.DUMMYFUNCTION("GOOGLEFINANCE(""nse:""&amp;B3,""price"")"),1465.2)</f>
        <v>1465.2</v>
      </c>
      <c r="D3" s="3">
        <f ca="1">IFERROR(__xludf.DUMMYFUNCTION("GOOGLEFINANCE(""nse:""&amp;B3,""MARKETCAP"")/10000000"),92063.8408692)</f>
        <v>92063.840869199994</v>
      </c>
      <c r="E3" s="4">
        <f t="shared" ref="E3:G4" si="0">D46</f>
        <v>21427</v>
      </c>
      <c r="F3" s="4">
        <f t="shared" si="0"/>
        <v>1410</v>
      </c>
      <c r="G3" s="5">
        <f t="shared" si="0"/>
        <v>22.52</v>
      </c>
      <c r="H3" s="4">
        <v>1</v>
      </c>
      <c r="I3" s="6">
        <v>62.67</v>
      </c>
      <c r="J3" s="7">
        <v>8261</v>
      </c>
      <c r="K3" s="4">
        <v>0</v>
      </c>
      <c r="L3" s="4">
        <f>241+78</f>
        <v>319</v>
      </c>
      <c r="M3" s="4">
        <v>8867</v>
      </c>
      <c r="N3" s="4">
        <v>4775</v>
      </c>
      <c r="O3" s="4">
        <v>13809</v>
      </c>
      <c r="P3" s="4">
        <v>5468</v>
      </c>
      <c r="Q3" s="8">
        <v>1258</v>
      </c>
      <c r="R3" s="7">
        <v>766</v>
      </c>
      <c r="S3" s="7">
        <v>1515</v>
      </c>
      <c r="T3" s="7">
        <v>-302</v>
      </c>
      <c r="U3" s="7">
        <v>-669</v>
      </c>
      <c r="V3" s="7">
        <f t="shared" ref="V3:V4" si="1">SUM(S3:U3)</f>
        <v>544</v>
      </c>
      <c r="W3" s="7">
        <v>786</v>
      </c>
    </row>
    <row r="4" spans="2:23" ht="15.75" customHeight="1">
      <c r="B4" s="2" t="s">
        <v>25</v>
      </c>
      <c r="C4" s="7">
        <v>1529</v>
      </c>
      <c r="D4" s="9">
        <f ca="1">C4*D3/C3</f>
        <v>96072.626732873876</v>
      </c>
      <c r="E4" s="4">
        <f t="shared" si="0"/>
        <v>21778</v>
      </c>
      <c r="F4" s="4">
        <f t="shared" si="0"/>
        <v>1470</v>
      </c>
      <c r="G4" s="6">
        <f t="shared" si="0"/>
        <v>23.49</v>
      </c>
      <c r="H4" s="2">
        <v>1</v>
      </c>
      <c r="I4" s="10">
        <v>62.65</v>
      </c>
      <c r="J4" s="7">
        <v>7384</v>
      </c>
      <c r="K4" s="4">
        <v>0</v>
      </c>
      <c r="L4" s="2">
        <f>242+61</f>
        <v>303</v>
      </c>
      <c r="M4" s="2">
        <v>7897</v>
      </c>
      <c r="N4" s="2">
        <v>4283</v>
      </c>
      <c r="O4" s="2">
        <v>12432</v>
      </c>
      <c r="P4" s="2">
        <v>4986</v>
      </c>
      <c r="Q4" s="2">
        <v>1165</v>
      </c>
      <c r="R4" s="7">
        <v>786</v>
      </c>
      <c r="S4" s="7">
        <v>1953</v>
      </c>
      <c r="T4" s="7">
        <v>-1614</v>
      </c>
      <c r="U4" s="7">
        <v>-534</v>
      </c>
      <c r="V4" s="7">
        <f t="shared" si="1"/>
        <v>-195</v>
      </c>
      <c r="W4" s="7">
        <v>588</v>
      </c>
    </row>
    <row r="5" spans="2:23" ht="15.75" customHeight="1">
      <c r="B5" s="2" t="s">
        <v>26</v>
      </c>
      <c r="C5" s="11">
        <f t="shared" ref="C5:R5" ca="1" si="2">(C3/C4)-1</f>
        <v>-4.1726618705035912E-2</v>
      </c>
      <c r="D5" s="11">
        <f t="shared" ca="1" si="2"/>
        <v>-4.1726618705036023E-2</v>
      </c>
      <c r="E5" s="11">
        <f t="shared" si="2"/>
        <v>-1.6117182477729863E-2</v>
      </c>
      <c r="F5" s="11">
        <f t="shared" si="2"/>
        <v>-4.081632653061229E-2</v>
      </c>
      <c r="G5" s="11">
        <f t="shared" si="2"/>
        <v>-4.1294167730949294E-2</v>
      </c>
      <c r="H5" s="11">
        <f t="shared" si="2"/>
        <v>0</v>
      </c>
      <c r="I5" s="11">
        <f t="shared" si="2"/>
        <v>3.1923383878695866E-4</v>
      </c>
      <c r="J5" s="11">
        <f t="shared" si="2"/>
        <v>0.11877031419284934</v>
      </c>
      <c r="K5" s="11" t="e">
        <f t="shared" si="2"/>
        <v>#DIV/0!</v>
      </c>
      <c r="L5" s="11">
        <f t="shared" si="2"/>
        <v>5.2805280528052778E-2</v>
      </c>
      <c r="M5" s="11">
        <f t="shared" si="2"/>
        <v>0.12283145498290482</v>
      </c>
      <c r="N5" s="11">
        <f t="shared" si="2"/>
        <v>0.11487275274340414</v>
      </c>
      <c r="O5" s="11">
        <f t="shared" si="2"/>
        <v>0.11076254826254828</v>
      </c>
      <c r="P5" s="11">
        <f t="shared" si="2"/>
        <v>9.6670677898114787E-2</v>
      </c>
      <c r="Q5" s="11">
        <f t="shared" si="2"/>
        <v>7.9828326180257481E-2</v>
      </c>
      <c r="R5" s="11">
        <f t="shared" si="2"/>
        <v>-2.5445292620865145E-2</v>
      </c>
      <c r="S5" s="11">
        <v>8.23</v>
      </c>
      <c r="T5" s="11">
        <f t="shared" ref="T5:W5" si="3">(T3/T4)-1</f>
        <v>-0.81288723667905827</v>
      </c>
      <c r="U5" s="11">
        <f t="shared" si="3"/>
        <v>0.25280898876404501</v>
      </c>
      <c r="V5" s="11">
        <f t="shared" si="3"/>
        <v>-3.7897435897435896</v>
      </c>
      <c r="W5" s="11">
        <f t="shared" si="3"/>
        <v>0.33673469387755106</v>
      </c>
    </row>
    <row r="6" spans="2:23" ht="15.75" customHeight="1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2:23" ht="15.75" customHeight="1">
      <c r="B7" s="13" t="s">
        <v>26</v>
      </c>
      <c r="C7" s="13" t="s">
        <v>27</v>
      </c>
      <c r="D7" s="12"/>
      <c r="E7" s="12"/>
      <c r="F7" s="13" t="s">
        <v>28</v>
      </c>
      <c r="G7" s="12"/>
      <c r="H7" s="12"/>
      <c r="I7" s="13" t="s">
        <v>29</v>
      </c>
      <c r="J7" s="12"/>
      <c r="K7" s="12"/>
      <c r="L7" s="13" t="s">
        <v>30</v>
      </c>
      <c r="M7" s="12"/>
      <c r="N7" s="12"/>
      <c r="O7" s="12"/>
      <c r="P7" s="12"/>
      <c r="Q7" s="14" t="s">
        <v>2</v>
      </c>
      <c r="R7" s="15"/>
      <c r="S7" s="15"/>
    </row>
    <row r="8" spans="2:23" ht="13.8"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3" t="s">
        <v>36</v>
      </c>
      <c r="H8" s="13" t="s">
        <v>37</v>
      </c>
      <c r="I8" s="13" t="s">
        <v>38</v>
      </c>
      <c r="J8" s="13" t="s">
        <v>39</v>
      </c>
      <c r="K8" s="13" t="s">
        <v>40</v>
      </c>
      <c r="L8" s="1" t="s">
        <v>41</v>
      </c>
      <c r="M8" s="13" t="s">
        <v>42</v>
      </c>
      <c r="N8" s="13" t="s">
        <v>43</v>
      </c>
      <c r="O8" s="13" t="s">
        <v>44</v>
      </c>
      <c r="P8" s="13" t="s">
        <v>45</v>
      </c>
      <c r="Q8" s="16" t="s">
        <v>46</v>
      </c>
      <c r="R8" s="17" t="s">
        <v>47</v>
      </c>
      <c r="S8" s="17" t="s">
        <v>48</v>
      </c>
      <c r="T8" s="18"/>
      <c r="U8" s="18"/>
    </row>
    <row r="9" spans="2:23" ht="15.75" customHeight="1">
      <c r="B9" s="19">
        <f>G34</f>
        <v>-0.06</v>
      </c>
      <c r="C9" s="20">
        <f>D30</f>
        <v>6.3611365719523374E-2</v>
      </c>
      <c r="D9" s="21">
        <f>M3/N3</f>
        <v>1.8569633507853402</v>
      </c>
      <c r="E9" s="22">
        <f>(Q3/E3)*365</f>
        <v>21.429504830354226</v>
      </c>
      <c r="F9" s="19">
        <f>K3/(I3+J3)</f>
        <v>0</v>
      </c>
      <c r="G9" s="19">
        <f>P3/O3</f>
        <v>0.39597364037946264</v>
      </c>
      <c r="H9" s="23">
        <f>D31</f>
        <v>43.643923240938165</v>
      </c>
      <c r="I9" s="19">
        <f>F3/(J3+I3)</f>
        <v>0.16939643210266625</v>
      </c>
      <c r="J9" s="21">
        <f>F3/I3</f>
        <v>22.498803255146001</v>
      </c>
      <c r="K9" s="19">
        <f>F3/O3</f>
        <v>0.10210732131218771</v>
      </c>
      <c r="L9" s="21">
        <f ca="1">C3/G3</f>
        <v>65.06216696269982</v>
      </c>
      <c r="M9" s="20">
        <f ca="1">G3/C3</f>
        <v>1.5369915369915369E-2</v>
      </c>
      <c r="N9" s="23">
        <f>(I3+J3)/(I3)</f>
        <v>132.81745651827029</v>
      </c>
      <c r="O9" s="24">
        <v>12.6</v>
      </c>
      <c r="P9" s="23">
        <f ca="1">S34</f>
        <v>30.878949963961915</v>
      </c>
      <c r="Q9" s="25">
        <f>S3/N3</f>
        <v>0.31727748691099478</v>
      </c>
      <c r="R9" s="25">
        <f>S3-K3</f>
        <v>1515</v>
      </c>
      <c r="S9" s="26">
        <f>S3-R3</f>
        <v>749</v>
      </c>
    </row>
    <row r="11" spans="2:23" ht="15.75" customHeight="1">
      <c r="C11" s="27" t="s">
        <v>3</v>
      </c>
      <c r="D11" s="27" t="s">
        <v>4</v>
      </c>
      <c r="E11" s="27" t="s">
        <v>49</v>
      </c>
      <c r="F11" s="27" t="s">
        <v>50</v>
      </c>
      <c r="G11" s="27" t="s">
        <v>51</v>
      </c>
      <c r="H11" s="27" t="s">
        <v>52</v>
      </c>
      <c r="I11" s="27" t="s">
        <v>53</v>
      </c>
    </row>
    <row r="12" spans="2:23" ht="15.75" customHeight="1">
      <c r="C12" s="2" t="s">
        <v>24</v>
      </c>
      <c r="D12" s="28">
        <f ca="1">IFERROR(__xludf.DUMMYFUNCTION("GOOGLEFINANCE(""NSE:""&amp;C12,""price"")"),1465.2)</f>
        <v>1465.2</v>
      </c>
      <c r="E12" s="29">
        <v>5.0000000000000001E-3</v>
      </c>
      <c r="F12" s="30">
        <f ca="1">IF(D12&gt;=I17, E12/2, IF(D12&lt;=G17, E12, E12/2 + ((I17 - D12) / (I17 - G17)) * E12/2))</f>
        <v>2.7701750060063471E-3</v>
      </c>
      <c r="G12" s="31">
        <f ca="1">IF(D12&gt;=N17, E12/2, IF(D12&lt;=L17, E12, E12/2 + ((N17 - D12) / (N17 - L17)) * E12/2))</f>
        <v>2.5208464403891845E-3</v>
      </c>
      <c r="H12" s="32">
        <f ca="1">E12-((R36-3)%*E12)</f>
        <v>2.0621050036038085E-3</v>
      </c>
      <c r="I12" s="33">
        <f ca="1">AVERAGE(F12:H12)</f>
        <v>2.45104214999978E-3</v>
      </c>
    </row>
    <row r="14" spans="2:23" ht="15.75" customHeight="1">
      <c r="B14" s="13" t="s">
        <v>54</v>
      </c>
      <c r="C14" s="1" t="s">
        <v>55</v>
      </c>
      <c r="D14" s="1" t="s">
        <v>6</v>
      </c>
      <c r="E14" s="1" t="s">
        <v>7</v>
      </c>
      <c r="F14" s="1" t="s">
        <v>56</v>
      </c>
      <c r="G14" s="27" t="s">
        <v>57</v>
      </c>
      <c r="H14" s="27" t="s">
        <v>58</v>
      </c>
      <c r="I14" s="27" t="s">
        <v>59</v>
      </c>
      <c r="J14" s="34"/>
      <c r="K14" s="27" t="s">
        <v>60</v>
      </c>
      <c r="L14" s="27" t="s">
        <v>57</v>
      </c>
      <c r="M14" s="27" t="s">
        <v>58</v>
      </c>
      <c r="N14" s="27" t="s">
        <v>59</v>
      </c>
      <c r="P14" s="35"/>
      <c r="Q14" s="35"/>
      <c r="R14" s="35"/>
      <c r="S14" s="35"/>
      <c r="T14" s="35"/>
    </row>
    <row r="15" spans="2:23" ht="15.75" customHeight="1">
      <c r="B15" s="35"/>
      <c r="C15" s="36" t="s">
        <v>61</v>
      </c>
      <c r="D15" s="37">
        <f t="shared" ref="D15:F15" si="4">FV(12%,5,0,-D16,0)</f>
        <v>76235.529148792222</v>
      </c>
      <c r="E15" s="37">
        <f t="shared" si="4"/>
        <v>5862.0784100435922</v>
      </c>
      <c r="F15" s="37">
        <f t="shared" si="4"/>
        <v>94.135228476230779</v>
      </c>
      <c r="G15" s="38">
        <f t="shared" ref="G15:G17" si="5">F15*35</f>
        <v>3294.7329966680772</v>
      </c>
      <c r="H15" s="39">
        <f t="shared" ref="H15:H17" si="6">AVERAGE(G15,I15)</f>
        <v>4706.7614238115384</v>
      </c>
      <c r="I15" s="38">
        <f t="shared" ref="I15:I17" si="7">F15*65</f>
        <v>6118.7898509550005</v>
      </c>
      <c r="J15" s="34"/>
      <c r="K15" s="37">
        <f>FV(10%,5,0,-K16,0)</f>
        <v>372.54900401535309</v>
      </c>
      <c r="L15" s="40">
        <f t="shared" ref="L15:L17" si="8">K15*6</f>
        <v>2235.2940240921184</v>
      </c>
      <c r="M15" s="39">
        <f t="shared" ref="M15:M17" si="9">AVERAGE(L15,N15)</f>
        <v>2980.3920321228247</v>
      </c>
      <c r="N15" s="40">
        <f t="shared" ref="N15:N17" si="10">K15*10</f>
        <v>3725.490040153531</v>
      </c>
    </row>
    <row r="16" spans="2:23" ht="15.75" customHeight="1">
      <c r="B16" s="35"/>
      <c r="C16" s="36" t="s">
        <v>62</v>
      </c>
      <c r="D16" s="37">
        <f>FV(D20,4,0,-D17,0)</f>
        <v>43258.086598942791</v>
      </c>
      <c r="E16" s="37">
        <f t="shared" ref="E16:E17" si="11">D16*G20</f>
        <v>3326.3007201869209</v>
      </c>
      <c r="F16" s="37">
        <f>(E16*F17)/E17</f>
        <v>53.414856706619574</v>
      </c>
      <c r="G16" s="38">
        <f t="shared" si="5"/>
        <v>1869.5199847316851</v>
      </c>
      <c r="H16" s="39">
        <f t="shared" si="6"/>
        <v>2670.7428353309788</v>
      </c>
      <c r="I16" s="38">
        <f t="shared" si="7"/>
        <v>3471.9656859302722</v>
      </c>
      <c r="J16" s="34"/>
      <c r="K16" s="37">
        <f>FV(12%,4,0,-K17,0)</f>
        <v>231.32362047758346</v>
      </c>
      <c r="L16" s="40">
        <f t="shared" si="8"/>
        <v>1387.9417228655007</v>
      </c>
      <c r="M16" s="39">
        <f t="shared" si="9"/>
        <v>1850.5889638206677</v>
      </c>
      <c r="N16" s="40">
        <f t="shared" si="10"/>
        <v>2313.2362047758347</v>
      </c>
    </row>
    <row r="17" spans="2:28" ht="15.75" customHeight="1">
      <c r="B17" s="35"/>
      <c r="C17" s="36" t="s">
        <v>63</v>
      </c>
      <c r="D17" s="37">
        <f>FV(D21,1,0,-D47,0)</f>
        <v>23084.68</v>
      </c>
      <c r="E17" s="37">
        <f t="shared" si="11"/>
        <v>1477.4195200000001</v>
      </c>
      <c r="F17" s="37">
        <f>FV(F21,1,0,-F47,0)</f>
        <v>23.724899999999998</v>
      </c>
      <c r="G17" s="38">
        <f t="shared" si="5"/>
        <v>830.37149999999997</v>
      </c>
      <c r="H17" s="39">
        <f t="shared" si="6"/>
        <v>1186.2449999999999</v>
      </c>
      <c r="I17" s="38">
        <f t="shared" si="7"/>
        <v>1542.1184999999998</v>
      </c>
      <c r="J17" s="34"/>
      <c r="K17" s="41">
        <f>(F17*60%)+N46</f>
        <v>147.01034277556229</v>
      </c>
      <c r="L17" s="40">
        <f t="shared" si="8"/>
        <v>882.0620566533737</v>
      </c>
      <c r="M17" s="39">
        <f t="shared" si="9"/>
        <v>1176.0827422044983</v>
      </c>
      <c r="N17" s="40">
        <f t="shared" si="10"/>
        <v>1470.103427755623</v>
      </c>
    </row>
    <row r="18" spans="2:28" ht="13.2">
      <c r="O18" s="18"/>
      <c r="X18" s="42"/>
    </row>
    <row r="19" spans="2:28" ht="13.2">
      <c r="B19" s="13" t="s">
        <v>64</v>
      </c>
      <c r="C19" s="1" t="s">
        <v>55</v>
      </c>
      <c r="D19" s="1" t="s">
        <v>6</v>
      </c>
      <c r="E19" s="1" t="s">
        <v>7</v>
      </c>
      <c r="F19" s="1" t="s">
        <v>56</v>
      </c>
      <c r="G19" s="1" t="s">
        <v>65</v>
      </c>
    </row>
    <row r="20" spans="2:28" ht="13.2">
      <c r="B20" s="35"/>
      <c r="C20" s="36" t="s">
        <v>66</v>
      </c>
      <c r="D20" s="43">
        <v>0.17</v>
      </c>
      <c r="E20" s="43">
        <v>0.17</v>
      </c>
      <c r="F20" s="43">
        <v>0.17</v>
      </c>
      <c r="G20" s="44">
        <f>AVERAGE(H39:H43)</f>
        <v>7.6894309982453418E-2</v>
      </c>
    </row>
    <row r="21" spans="2:28" ht="13.2">
      <c r="B21" s="35"/>
      <c r="C21" s="36" t="s">
        <v>63</v>
      </c>
      <c r="D21" s="43">
        <v>0.06</v>
      </c>
      <c r="E21" s="43">
        <f>(E17/E47)-1</f>
        <v>5.0472925170068628E-3</v>
      </c>
      <c r="F21" s="43">
        <v>0.01</v>
      </c>
      <c r="G21" s="44">
        <v>6.4000000000000001E-2</v>
      </c>
      <c r="H21" s="35"/>
      <c r="I21" s="35"/>
      <c r="J21" s="35"/>
      <c r="K21" s="35"/>
      <c r="L21" s="35"/>
      <c r="M21" s="35"/>
      <c r="N21" s="35"/>
    </row>
    <row r="22" spans="2:28" ht="13.2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2:28" ht="13.2">
      <c r="B23" s="1" t="s">
        <v>67</v>
      </c>
      <c r="C23" s="1" t="s">
        <v>68</v>
      </c>
      <c r="D23" s="1" t="s">
        <v>69</v>
      </c>
      <c r="E23" s="1" t="s">
        <v>70</v>
      </c>
      <c r="F23" s="1" t="s">
        <v>71</v>
      </c>
      <c r="H23" s="1" t="s">
        <v>68</v>
      </c>
      <c r="I23" s="1" t="s">
        <v>72</v>
      </c>
      <c r="J23" s="1" t="s">
        <v>73</v>
      </c>
      <c r="K23" s="1" t="s">
        <v>71</v>
      </c>
      <c r="M23" s="1" t="s">
        <v>68</v>
      </c>
      <c r="N23" s="1" t="s">
        <v>74</v>
      </c>
      <c r="O23" s="1" t="s">
        <v>75</v>
      </c>
      <c r="P23" s="1" t="s">
        <v>71</v>
      </c>
      <c r="R23" s="1" t="s">
        <v>76</v>
      </c>
      <c r="S23" s="1" t="s">
        <v>72</v>
      </c>
      <c r="T23" s="1" t="s">
        <v>73</v>
      </c>
      <c r="U23" s="1" t="s">
        <v>77</v>
      </c>
      <c r="V23" s="1" t="s">
        <v>71</v>
      </c>
      <c r="X23" s="1" t="s">
        <v>78</v>
      </c>
      <c r="Y23" s="1" t="s">
        <v>69</v>
      </c>
      <c r="Z23" s="1" t="s">
        <v>70</v>
      </c>
      <c r="AA23" s="1" t="s">
        <v>77</v>
      </c>
      <c r="AB23" s="1" t="s">
        <v>71</v>
      </c>
    </row>
    <row r="24" spans="2:28" ht="13.8">
      <c r="B24" s="35"/>
      <c r="C24" s="45" t="s">
        <v>6</v>
      </c>
      <c r="D24" s="45">
        <v>5455</v>
      </c>
      <c r="E24" s="45">
        <v>5806</v>
      </c>
      <c r="F24" s="46">
        <f t="shared" ref="F24:F29" si="12">(D24/E24)^(1/1)-1</f>
        <v>-6.0454702032380347E-2</v>
      </c>
      <c r="G24" s="18"/>
      <c r="H24" s="45" t="s">
        <v>6</v>
      </c>
      <c r="I24" s="45">
        <v>21778</v>
      </c>
      <c r="J24" s="45">
        <v>18590</v>
      </c>
      <c r="K24" s="46">
        <f t="shared" ref="K24:K29" si="13">(I24/J24)^(1/1)-1</f>
        <v>0.17149004841312543</v>
      </c>
      <c r="L24" s="18"/>
      <c r="M24" s="45" t="s">
        <v>6</v>
      </c>
      <c r="N24" s="45">
        <v>6544</v>
      </c>
      <c r="O24" s="45">
        <v>5442</v>
      </c>
      <c r="P24" s="46">
        <f t="shared" ref="P24:P29" si="14">(N24/O24)^(1/1)-1</f>
        <v>0.20249908122013971</v>
      </c>
      <c r="R24" s="7" t="s">
        <v>79</v>
      </c>
      <c r="S24" s="3">
        <v>1933</v>
      </c>
      <c r="T24" s="3">
        <v>1521</v>
      </c>
      <c r="U24" s="47">
        <f t="shared" ref="U24:U29" si="15">S24/$S$31</f>
        <v>0.35435380384967918</v>
      </c>
      <c r="V24" s="47">
        <f t="shared" ref="V24:V29" si="16">(S24/T24)^(1/1)-1</f>
        <v>0.27087442472057854</v>
      </c>
      <c r="X24" s="7" t="s">
        <v>80</v>
      </c>
      <c r="Y24" s="7">
        <v>3012</v>
      </c>
      <c r="Z24" s="7">
        <v>3067</v>
      </c>
      <c r="AA24" s="47">
        <f t="shared" ref="AA24:AA32" si="17">Y24/$Y$34</f>
        <v>0.59596595158667021</v>
      </c>
      <c r="AB24" s="47">
        <f t="shared" ref="AB24:AB32" si="18">(Y24/Z24)^(1/1)-1</f>
        <v>-1.7932833387675262E-2</v>
      </c>
    </row>
    <row r="25" spans="2:28" ht="13.8">
      <c r="B25" s="35"/>
      <c r="C25" s="45" t="s">
        <v>81</v>
      </c>
      <c r="D25" s="45">
        <v>9.3800000000000008</v>
      </c>
      <c r="E25" s="45">
        <v>8.5500000000000007</v>
      </c>
      <c r="F25" s="46">
        <f t="shared" si="12"/>
        <v>9.7076023391812871E-2</v>
      </c>
      <c r="H25" s="45" t="s">
        <v>81</v>
      </c>
      <c r="I25" s="45">
        <v>43</v>
      </c>
      <c r="J25" s="45">
        <v>46</v>
      </c>
      <c r="K25" s="46">
        <f t="shared" si="13"/>
        <v>-6.5217391304347783E-2</v>
      </c>
      <c r="M25" s="45" t="s">
        <v>81</v>
      </c>
      <c r="N25" s="45">
        <v>15</v>
      </c>
      <c r="O25" s="45">
        <v>18</v>
      </c>
      <c r="P25" s="46">
        <f t="shared" si="14"/>
        <v>-0.16666666666666663</v>
      </c>
      <c r="R25" s="7" t="s">
        <v>82</v>
      </c>
      <c r="S25" s="3">
        <v>907</v>
      </c>
      <c r="T25" s="3">
        <v>1055</v>
      </c>
      <c r="U25" s="47">
        <f t="shared" si="15"/>
        <v>0.16626947754353805</v>
      </c>
      <c r="V25" s="47">
        <f t="shared" si="16"/>
        <v>-0.14028436018957346</v>
      </c>
      <c r="X25" s="7" t="s">
        <v>83</v>
      </c>
      <c r="Y25" s="7">
        <v>684</v>
      </c>
      <c r="Z25" s="7">
        <v>745</v>
      </c>
      <c r="AA25" s="47">
        <f t="shared" si="17"/>
        <v>0.13533888143601674</v>
      </c>
      <c r="AB25" s="47">
        <f t="shared" si="18"/>
        <v>-8.1879194630872454E-2</v>
      </c>
    </row>
    <row r="26" spans="2:28" ht="13.8">
      <c r="B26" s="35"/>
      <c r="C26" s="7" t="s">
        <v>84</v>
      </c>
      <c r="D26" s="7">
        <v>5055</v>
      </c>
      <c r="E26" s="7">
        <v>5334</v>
      </c>
      <c r="F26" s="46">
        <f t="shared" si="12"/>
        <v>-5.2305961754780639E-2</v>
      </c>
      <c r="H26" s="7" t="s">
        <v>84</v>
      </c>
      <c r="I26" s="7">
        <v>20091</v>
      </c>
      <c r="J26" s="7">
        <v>17132</v>
      </c>
      <c r="K26" s="46">
        <f t="shared" si="13"/>
        <v>0.17271772122344142</v>
      </c>
      <c r="M26" s="7" t="s">
        <v>84</v>
      </c>
      <c r="N26" s="7">
        <v>5911</v>
      </c>
      <c r="O26" s="7">
        <v>4919</v>
      </c>
      <c r="P26" s="46">
        <f t="shared" si="14"/>
        <v>0.20166700548892047</v>
      </c>
      <c r="R26" s="7" t="s">
        <v>85</v>
      </c>
      <c r="S26" s="3">
        <v>1271</v>
      </c>
      <c r="T26" s="3">
        <v>1929</v>
      </c>
      <c r="U26" s="47">
        <f t="shared" si="15"/>
        <v>0.23299725022914758</v>
      </c>
      <c r="V26" s="47">
        <f t="shared" si="16"/>
        <v>-0.34110938310005179</v>
      </c>
      <c r="X26" s="7" t="s">
        <v>86</v>
      </c>
      <c r="Y26" s="7">
        <v>662</v>
      </c>
      <c r="Z26" s="7">
        <v>640</v>
      </c>
      <c r="AA26" s="47">
        <f t="shared" si="17"/>
        <v>0.13098587647754836</v>
      </c>
      <c r="AB26" s="47">
        <f t="shared" si="18"/>
        <v>3.4375000000000044E-2</v>
      </c>
    </row>
    <row r="27" spans="2:28" ht="13.8">
      <c r="B27" s="35"/>
      <c r="C27" s="7" t="s">
        <v>7</v>
      </c>
      <c r="D27" s="7">
        <v>347</v>
      </c>
      <c r="E27" s="7">
        <v>407</v>
      </c>
      <c r="F27" s="46">
        <f t="shared" si="12"/>
        <v>-0.14742014742014742</v>
      </c>
      <c r="H27" s="7" t="s">
        <v>7</v>
      </c>
      <c r="I27" s="7">
        <v>1470</v>
      </c>
      <c r="J27" s="7">
        <v>1271</v>
      </c>
      <c r="K27" s="46">
        <f t="shared" si="13"/>
        <v>0.15656963021243109</v>
      </c>
      <c r="M27" s="7" t="s">
        <v>7</v>
      </c>
      <c r="N27" s="7">
        <v>517</v>
      </c>
      <c r="O27" s="7">
        <v>447</v>
      </c>
      <c r="P27" s="46">
        <f t="shared" si="14"/>
        <v>0.15659955257270686</v>
      </c>
      <c r="R27" s="7" t="s">
        <v>87</v>
      </c>
      <c r="S27" s="3">
        <v>630</v>
      </c>
      <c r="T27" s="3">
        <v>577</v>
      </c>
      <c r="U27" s="47">
        <f t="shared" si="15"/>
        <v>0.1154903758020165</v>
      </c>
      <c r="V27" s="47">
        <f t="shared" si="16"/>
        <v>9.1854419410745125E-2</v>
      </c>
      <c r="X27" s="7" t="s">
        <v>88</v>
      </c>
      <c r="Y27" s="7">
        <v>499</v>
      </c>
      <c r="Z27" s="7">
        <v>462</v>
      </c>
      <c r="AA27" s="47">
        <f t="shared" si="17"/>
        <v>9.8734067012532692E-2</v>
      </c>
      <c r="AB27" s="47">
        <f t="shared" si="18"/>
        <v>8.0086580086579984E-2</v>
      </c>
    </row>
    <row r="28" spans="2:28" ht="13.8">
      <c r="B28" s="35"/>
      <c r="C28" s="7" t="s">
        <v>10</v>
      </c>
      <c r="D28" s="7">
        <v>62.69</v>
      </c>
      <c r="E28" s="7">
        <v>62.69</v>
      </c>
      <c r="F28" s="46">
        <f t="shared" si="12"/>
        <v>0</v>
      </c>
      <c r="G28" s="48"/>
      <c r="H28" s="7" t="s">
        <v>10</v>
      </c>
      <c r="I28" s="7">
        <v>62.69</v>
      </c>
      <c r="J28" s="7">
        <v>62.67</v>
      </c>
      <c r="K28" s="46">
        <f t="shared" si="13"/>
        <v>3.1913196106581054E-4</v>
      </c>
      <c r="M28" s="7" t="s">
        <v>10</v>
      </c>
      <c r="N28" s="7">
        <v>62.69</v>
      </c>
      <c r="O28" s="7">
        <v>62.67</v>
      </c>
      <c r="P28" s="46">
        <f t="shared" si="14"/>
        <v>3.1913196106581054E-4</v>
      </c>
      <c r="R28" s="7" t="s">
        <v>89</v>
      </c>
      <c r="S28" s="3">
        <v>380</v>
      </c>
      <c r="T28" s="3">
        <v>388</v>
      </c>
      <c r="U28" s="47">
        <f t="shared" si="15"/>
        <v>6.9660861594867091E-2</v>
      </c>
      <c r="V28" s="47">
        <f t="shared" si="16"/>
        <v>-2.0618556701030966E-2</v>
      </c>
      <c r="X28" s="7" t="s">
        <v>90</v>
      </c>
      <c r="Y28" s="7">
        <v>143</v>
      </c>
      <c r="Z28" s="7">
        <v>172</v>
      </c>
      <c r="AA28" s="47">
        <f t="shared" si="17"/>
        <v>2.8294532230044439E-2</v>
      </c>
      <c r="AB28" s="47">
        <f t="shared" si="18"/>
        <v>-0.16860465116279066</v>
      </c>
    </row>
    <row r="29" spans="2:28" ht="13.8">
      <c r="B29" s="35"/>
      <c r="C29" s="7" t="s">
        <v>56</v>
      </c>
      <c r="D29" s="7">
        <v>5.55</v>
      </c>
      <c r="E29" s="7">
        <v>6.49</v>
      </c>
      <c r="F29" s="46">
        <f t="shared" si="12"/>
        <v>-0.14483821263482288</v>
      </c>
      <c r="H29" s="7" t="s">
        <v>56</v>
      </c>
      <c r="I29" s="7">
        <v>23.49</v>
      </c>
      <c r="J29" s="7">
        <v>20.28</v>
      </c>
      <c r="K29" s="46">
        <f t="shared" si="13"/>
        <v>0.15828402366863892</v>
      </c>
      <c r="M29" s="7" t="s">
        <v>56</v>
      </c>
      <c r="N29" s="7">
        <v>8.26</v>
      </c>
      <c r="O29" s="7">
        <v>7.13</v>
      </c>
      <c r="P29" s="46">
        <f t="shared" si="14"/>
        <v>0.15848527349228614</v>
      </c>
      <c r="R29" s="7" t="s">
        <v>91</v>
      </c>
      <c r="S29" s="7">
        <v>334</v>
      </c>
      <c r="T29" s="7">
        <v>337</v>
      </c>
      <c r="U29" s="47">
        <f t="shared" si="15"/>
        <v>6.1228230980751606E-2</v>
      </c>
      <c r="V29" s="47">
        <f t="shared" si="16"/>
        <v>-8.9020771513352859E-3</v>
      </c>
      <c r="X29" s="7" t="s">
        <v>92</v>
      </c>
      <c r="Y29" s="7">
        <v>106</v>
      </c>
      <c r="Z29" s="7">
        <v>92</v>
      </c>
      <c r="AA29" s="47">
        <f t="shared" si="17"/>
        <v>2.0973569345347626E-2</v>
      </c>
      <c r="AB29" s="47">
        <f t="shared" si="18"/>
        <v>0.15217391304347827</v>
      </c>
    </row>
    <row r="30" spans="2:28" ht="13.8">
      <c r="B30" s="35"/>
      <c r="C30" s="7" t="s">
        <v>93</v>
      </c>
      <c r="D30" s="49">
        <f t="shared" ref="D30:E30" si="19">D27/D24</f>
        <v>6.3611365719523374E-2</v>
      </c>
      <c r="E30" s="49">
        <f t="shared" si="19"/>
        <v>7.0099896658629007E-2</v>
      </c>
      <c r="F30" s="50">
        <f t="shared" ref="F30:F31" si="20">D30-E30</f>
        <v>-6.4885309391056328E-3</v>
      </c>
      <c r="G30" s="48"/>
      <c r="H30" s="7" t="s">
        <v>93</v>
      </c>
      <c r="I30" s="49">
        <f t="shared" ref="I30:J30" si="21">I27/I24</f>
        <v>6.7499311231518047E-2</v>
      </c>
      <c r="J30" s="49">
        <f t="shared" si="21"/>
        <v>6.837009144701453E-2</v>
      </c>
      <c r="K30" s="50">
        <f t="shared" ref="K30:K31" si="22">I30-J30</f>
        <v>-8.7078021549648332E-4</v>
      </c>
      <c r="M30" s="7" t="s">
        <v>93</v>
      </c>
      <c r="N30" s="49">
        <f t="shared" ref="N30:O30" si="23">N27/N24</f>
        <v>7.9003667481662598E-2</v>
      </c>
      <c r="O30" s="49">
        <f t="shared" si="23"/>
        <v>8.2138919514884237E-2</v>
      </c>
      <c r="P30" s="50">
        <f t="shared" ref="P30:P31" si="24">N30-O30</f>
        <v>-3.1352520332216388E-3</v>
      </c>
      <c r="X30" s="7" t="s">
        <v>94</v>
      </c>
      <c r="Y30" s="7">
        <v>9.3800000000000008</v>
      </c>
      <c r="Z30" s="7">
        <v>8.5500000000000007</v>
      </c>
      <c r="AA30" s="47">
        <f t="shared" si="17"/>
        <v>1.8559630232015164E-3</v>
      </c>
      <c r="AB30" s="47">
        <f t="shared" si="18"/>
        <v>9.7076023391812871E-2</v>
      </c>
    </row>
    <row r="31" spans="2:28" ht="13.8">
      <c r="B31" s="35"/>
      <c r="C31" s="7" t="s">
        <v>95</v>
      </c>
      <c r="D31" s="51">
        <f t="shared" ref="D31:E31" si="25">(D24-D26+D25)/D25</f>
        <v>43.643923240938165</v>
      </c>
      <c r="E31" s="51">
        <f t="shared" si="25"/>
        <v>56.204678362573098</v>
      </c>
      <c r="F31" s="52">
        <f t="shared" si="20"/>
        <v>-12.560755121634934</v>
      </c>
      <c r="H31" s="7" t="s">
        <v>95</v>
      </c>
      <c r="I31" s="51">
        <f t="shared" ref="I31:J31" si="26">(I24-I26+I25)/I25</f>
        <v>40.232558139534881</v>
      </c>
      <c r="J31" s="51">
        <f t="shared" si="26"/>
        <v>32.695652173913047</v>
      </c>
      <c r="K31" s="52">
        <f t="shared" si="22"/>
        <v>7.536905965621834</v>
      </c>
      <c r="M31" s="7" t="s">
        <v>95</v>
      </c>
      <c r="N31" s="51">
        <f t="shared" ref="N31:O31" si="27">(N24-N26+N25)/N25</f>
        <v>43.2</v>
      </c>
      <c r="O31" s="51">
        <f t="shared" si="27"/>
        <v>30.055555555555557</v>
      </c>
      <c r="P31" s="52">
        <f t="shared" si="24"/>
        <v>13.144444444444446</v>
      </c>
      <c r="R31" s="53" t="s">
        <v>96</v>
      </c>
      <c r="S31" s="54">
        <f t="shared" ref="S31:T31" si="28">SUM(S24:S29)</f>
        <v>5455</v>
      </c>
      <c r="T31" s="54">
        <f t="shared" si="28"/>
        <v>5807</v>
      </c>
      <c r="U31" s="55">
        <f>S31/$S$31</f>
        <v>1</v>
      </c>
      <c r="V31" s="55">
        <f>(S31/T31)^(1/1)-1</f>
        <v>-6.061649733080765E-2</v>
      </c>
      <c r="X31" s="7" t="s">
        <v>97</v>
      </c>
      <c r="Y31" s="7">
        <v>-65</v>
      </c>
      <c r="Z31" s="7">
        <v>124</v>
      </c>
      <c r="AA31" s="47">
        <f t="shared" si="17"/>
        <v>-1.2861151013656563E-2</v>
      </c>
      <c r="AB31" s="47">
        <f t="shared" si="18"/>
        <v>-1.5241935483870968</v>
      </c>
    </row>
    <row r="32" spans="2:28" ht="13.2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X32" s="7" t="s">
        <v>98</v>
      </c>
      <c r="Y32" s="7">
        <v>3.6</v>
      </c>
      <c r="Z32" s="7">
        <v>3.39</v>
      </c>
      <c r="AA32" s="47">
        <f t="shared" si="17"/>
        <v>7.1230990229482506E-4</v>
      </c>
      <c r="AB32" s="47">
        <f t="shared" si="18"/>
        <v>6.1946902654867353E-2</v>
      </c>
    </row>
    <row r="33" spans="2:28" ht="13.2">
      <c r="B33" s="13" t="s">
        <v>99</v>
      </c>
      <c r="C33" s="13" t="s">
        <v>100</v>
      </c>
      <c r="D33" s="1" t="s">
        <v>101</v>
      </c>
      <c r="E33" s="1" t="s">
        <v>102</v>
      </c>
      <c r="F33" s="1" t="s">
        <v>72</v>
      </c>
      <c r="G33" s="1" t="s">
        <v>103</v>
      </c>
      <c r="H33" s="1" t="s">
        <v>104</v>
      </c>
      <c r="I33" s="35"/>
      <c r="J33" s="1" t="s">
        <v>105</v>
      </c>
      <c r="K33" s="1" t="s">
        <v>106</v>
      </c>
      <c r="L33" s="1" t="s">
        <v>107</v>
      </c>
      <c r="M33" s="1" t="s">
        <v>108</v>
      </c>
      <c r="N33" s="1" t="s">
        <v>109</v>
      </c>
      <c r="P33" s="56" t="s">
        <v>110</v>
      </c>
      <c r="Q33" s="56" t="s">
        <v>111</v>
      </c>
      <c r="R33" s="56" t="s">
        <v>112</v>
      </c>
      <c r="S33" s="56" t="s">
        <v>113</v>
      </c>
    </row>
    <row r="34" spans="2:28" ht="14.4">
      <c r="B34" s="35"/>
      <c r="C34" s="57" t="s">
        <v>6</v>
      </c>
      <c r="D34" s="43">
        <v>0.18</v>
      </c>
      <c r="E34" s="43">
        <v>0.16</v>
      </c>
      <c r="F34" s="43">
        <v>0.17</v>
      </c>
      <c r="G34" s="43">
        <v>-0.06</v>
      </c>
      <c r="H34" s="43">
        <v>0.06</v>
      </c>
      <c r="I34" s="35"/>
      <c r="J34" s="58">
        <v>4.28</v>
      </c>
      <c r="K34" s="59">
        <v>4.43</v>
      </c>
      <c r="L34" s="59">
        <v>8.26</v>
      </c>
      <c r="M34" s="59">
        <v>5.55</v>
      </c>
      <c r="N34" s="59">
        <f>SUM(J34:M34)</f>
        <v>22.52</v>
      </c>
      <c r="P34" s="60">
        <v>20.28</v>
      </c>
      <c r="Q34" s="61">
        <f>N34</f>
        <v>22.52</v>
      </c>
      <c r="R34" s="62">
        <f>F17</f>
        <v>23.724899999999998</v>
      </c>
      <c r="S34" s="63">
        <f ca="1">R36/2</f>
        <v>30.878949963961915</v>
      </c>
      <c r="X34" s="64" t="s">
        <v>96</v>
      </c>
      <c r="Y34" s="64">
        <f t="shared" ref="Y34:Z34" si="29">SUM(Y24:Y32)</f>
        <v>5053.9800000000005</v>
      </c>
      <c r="Z34" s="64">
        <f t="shared" si="29"/>
        <v>5313.9400000000005</v>
      </c>
      <c r="AA34" s="65">
        <f>Y34/$Y$34</f>
        <v>1</v>
      </c>
      <c r="AB34" s="65">
        <f>(Y34/Z34)^(1/1)-1</f>
        <v>-4.8920386756342804E-2</v>
      </c>
    </row>
    <row r="35" spans="2:28" ht="13.2">
      <c r="B35" s="35"/>
      <c r="C35" s="57" t="s">
        <v>7</v>
      </c>
      <c r="D35" s="43">
        <v>0.26</v>
      </c>
      <c r="E35" s="43">
        <v>0.16</v>
      </c>
      <c r="F35" s="43">
        <v>0.16</v>
      </c>
      <c r="G35" s="43">
        <v>-0.15</v>
      </c>
      <c r="H35" s="43">
        <v>0.01</v>
      </c>
      <c r="I35" s="35"/>
      <c r="J35" s="35"/>
      <c r="K35" s="35"/>
      <c r="L35" s="35"/>
      <c r="M35" s="35"/>
      <c r="N35" s="35"/>
      <c r="P35" s="56" t="s">
        <v>114</v>
      </c>
      <c r="Q35" s="56" t="s">
        <v>115</v>
      </c>
      <c r="R35" s="56" t="s">
        <v>116</v>
      </c>
      <c r="S35" s="66"/>
    </row>
    <row r="36" spans="2:28" ht="14.4">
      <c r="B36" s="35"/>
      <c r="C36" s="57" t="s">
        <v>65</v>
      </c>
      <c r="D36" s="67">
        <v>6.5000000000000002E-2</v>
      </c>
      <c r="E36" s="67">
        <v>6.3E-2</v>
      </c>
      <c r="F36" s="67">
        <v>6.7000000000000004E-2</v>
      </c>
      <c r="G36" s="67">
        <v>6.4000000000000001E-2</v>
      </c>
      <c r="H36" s="67">
        <v>6.4000000000000001E-2</v>
      </c>
      <c r="I36" s="35"/>
      <c r="J36" s="35"/>
      <c r="K36" s="35"/>
      <c r="L36" s="35"/>
      <c r="M36" s="35"/>
      <c r="N36" s="35"/>
      <c r="P36" s="68">
        <f>1515/P34</f>
        <v>74.704142011834321</v>
      </c>
      <c r="Q36" s="68">
        <f ca="1">C3/Q34</f>
        <v>65.06216696269982</v>
      </c>
      <c r="R36" s="68">
        <f ca="1">C3/R34</f>
        <v>61.75789992792383</v>
      </c>
      <c r="S36" s="66"/>
    </row>
    <row r="37" spans="2:28" ht="13.2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2:28" ht="13.2">
      <c r="B38" s="13" t="s">
        <v>71</v>
      </c>
      <c r="C38" s="69" t="s">
        <v>55</v>
      </c>
      <c r="D38" s="1" t="s">
        <v>6</v>
      </c>
      <c r="E38" s="1" t="s">
        <v>7</v>
      </c>
      <c r="F38" s="1" t="s">
        <v>56</v>
      </c>
      <c r="G38" s="1" t="s">
        <v>10</v>
      </c>
      <c r="H38" s="1" t="s">
        <v>93</v>
      </c>
      <c r="I38" s="1" t="s">
        <v>117</v>
      </c>
      <c r="J38" s="1" t="s">
        <v>118</v>
      </c>
      <c r="K38" s="1" t="s">
        <v>119</v>
      </c>
      <c r="L38" s="1" t="s">
        <v>120</v>
      </c>
      <c r="M38" s="1" t="s">
        <v>11</v>
      </c>
      <c r="N38" s="1" t="s">
        <v>60</v>
      </c>
      <c r="O38" s="1" t="s">
        <v>121</v>
      </c>
      <c r="P38" s="1" t="s">
        <v>122</v>
      </c>
    </row>
    <row r="39" spans="2:28" ht="13.2">
      <c r="B39" s="35"/>
      <c r="C39" s="57" t="s">
        <v>123</v>
      </c>
      <c r="D39" s="43">
        <f t="shared" ref="D39:E39" si="30">(D47/D72)^(1/25)-1</f>
        <v>0.23786461270098469</v>
      </c>
      <c r="E39" s="43">
        <f t="shared" si="30"/>
        <v>0.27598970393524191</v>
      </c>
      <c r="F39" s="43">
        <f>((82*F47)/F72)^(1/25)-1</f>
        <v>0.29509916860211116</v>
      </c>
      <c r="G39" s="43">
        <f>(G47/G72)^(1/25)-1</f>
        <v>0.10644321676789459</v>
      </c>
      <c r="H39" s="67">
        <f>MEDIAN(H47:H72)</f>
        <v>7.3994956366504036E-2</v>
      </c>
      <c r="I39" s="43">
        <f t="shared" ref="I39:J39" si="31">((82*I47)/I72)^(1/25)-1</f>
        <v>0.37428846593841092</v>
      </c>
      <c r="J39" s="43">
        <f t="shared" si="31"/>
        <v>0.32824272923122177</v>
      </c>
      <c r="K39" s="70">
        <f t="shared" ref="K39:L39" si="32">MEDIAN(K47:K72)</f>
        <v>16.290718518393938</v>
      </c>
      <c r="L39" s="70">
        <f t="shared" si="32"/>
        <v>35.885964912280706</v>
      </c>
      <c r="M39" s="43">
        <f>(M47/M72)^(1/25)-1</f>
        <v>0.29456413432202178</v>
      </c>
      <c r="N39" s="43">
        <f>((82*N47)/N72)^(1/25)-1</f>
        <v>0.25668131892425938</v>
      </c>
      <c r="O39" s="70">
        <f t="shared" ref="O39:P39" si="33">MEDIAN(O47:O72)</f>
        <v>4.8424225964149921</v>
      </c>
      <c r="P39" s="70">
        <f t="shared" si="33"/>
        <v>9.2442425629925626</v>
      </c>
    </row>
    <row r="40" spans="2:28" ht="13.2">
      <c r="B40" s="35"/>
      <c r="C40" s="57" t="s">
        <v>124</v>
      </c>
      <c r="D40" s="43">
        <f t="shared" ref="D40:E40" si="34">(D47/D67)^(1/20)-1</f>
        <v>0.19844324522036461</v>
      </c>
      <c r="E40" s="43">
        <f t="shared" si="34"/>
        <v>0.21282399895212478</v>
      </c>
      <c r="F40" s="43">
        <f>((40*F47)/F67)^(1/20)-1</f>
        <v>0.19570654769555551</v>
      </c>
      <c r="G40" s="43">
        <f>(G47/G67)^(1/20)-1</f>
        <v>0.12448159364381595</v>
      </c>
      <c r="H40" s="67">
        <f>MEDIAN(H47:H67)</f>
        <v>8.3969465648854963E-2</v>
      </c>
      <c r="I40" s="43">
        <f t="shared" ref="I40:J40" si="35">((40*I47)/I67)^(1/20)-1</f>
        <v>0.38003007119436205</v>
      </c>
      <c r="J40" s="43">
        <f t="shared" si="35"/>
        <v>0.3219741250341428</v>
      </c>
      <c r="K40" s="70">
        <f t="shared" ref="K40:L40" si="36">MEDIAN(K47:K67)</f>
        <v>20.611353711790393</v>
      </c>
      <c r="L40" s="70">
        <f t="shared" si="36"/>
        <v>46.03092783505155</v>
      </c>
      <c r="M40" s="43">
        <f>(M47/M67)^(1/20)-1</f>
        <v>0.26016490387925351</v>
      </c>
      <c r="N40" s="43">
        <f>((40*N47)/N67)^(1/20)-1</f>
        <v>0.23948701272428874</v>
      </c>
      <c r="O40" s="70">
        <f t="shared" ref="O40:P40" si="37">MEDIAN(O47:O67)</f>
        <v>5.506891271056662</v>
      </c>
      <c r="P40" s="70">
        <f t="shared" si="37"/>
        <v>10.015817694369973</v>
      </c>
    </row>
    <row r="41" spans="2:28" ht="13.2">
      <c r="B41" s="35"/>
      <c r="C41" s="57" t="s">
        <v>125</v>
      </c>
      <c r="D41" s="43">
        <f t="shared" ref="D41:G41" si="38">(D47/D57)^(1/10)-1</f>
        <v>0.15218431738434357</v>
      </c>
      <c r="E41" s="43">
        <f t="shared" si="38"/>
        <v>0.12198341731938234</v>
      </c>
      <c r="F41" s="43">
        <f t="shared" si="38"/>
        <v>0.12244515510513598</v>
      </c>
      <c r="G41" s="43">
        <f t="shared" si="38"/>
        <v>1.1073687045353164E-3</v>
      </c>
      <c r="H41" s="67">
        <f>MEDIAN(H47:H57)</f>
        <v>8.5874166009039382E-2</v>
      </c>
      <c r="I41" s="43">
        <f t="shared" ref="I41:J41" si="39">(I47/I57)^(1/10)-1</f>
        <v>0.22876293064402531</v>
      </c>
      <c r="J41" s="43">
        <f t="shared" si="39"/>
        <v>0.19794871719795681</v>
      </c>
      <c r="K41" s="70">
        <f t="shared" ref="K41:L41" si="40">MEDIAN(K47:K57)</f>
        <v>38.230647709320692</v>
      </c>
      <c r="L41" s="70">
        <f t="shared" si="40"/>
        <v>68.622448979591837</v>
      </c>
      <c r="M41" s="43">
        <f t="shared" ref="M41:N41" si="41">(M47/M57)^(1/10)-1</f>
        <v>0.16748366033987172</v>
      </c>
      <c r="N41" s="43">
        <f t="shared" si="41"/>
        <v>0.16303167761667403</v>
      </c>
      <c r="O41" s="70">
        <f t="shared" ref="O41:P41" si="42">MEDIAN(O47:O57)</f>
        <v>7.2634587898999525</v>
      </c>
      <c r="P41" s="70">
        <f t="shared" si="42"/>
        <v>11.799779977997799</v>
      </c>
    </row>
    <row r="42" spans="2:28" ht="13.2">
      <c r="B42" s="35"/>
      <c r="C42" s="57" t="s">
        <v>126</v>
      </c>
      <c r="D42" s="43">
        <f t="shared" ref="D42:G42" si="43">(D47/D52)^(1/5)-1</f>
        <v>0.18225312746470257</v>
      </c>
      <c r="E42" s="43">
        <f t="shared" si="43"/>
        <v>0.1486983549970351</v>
      </c>
      <c r="F42" s="43">
        <f t="shared" si="43"/>
        <v>0.14840517008006793</v>
      </c>
      <c r="G42" s="43">
        <f t="shared" si="43"/>
        <v>-9.8606973453763125E-4</v>
      </c>
      <c r="H42" s="67">
        <f>MEDIAN(H47:H52)</f>
        <v>7.3133650656350677E-2</v>
      </c>
      <c r="I42" s="43">
        <f t="shared" ref="I42:J42" si="44">(I47/I52)^(1/5)-1</f>
        <v>0.24699766457210615</v>
      </c>
      <c r="J42" s="43">
        <f t="shared" si="44"/>
        <v>0.21148200161763619</v>
      </c>
      <c r="K42" s="70">
        <f t="shared" ref="K42:L42" si="45">MEDIAN(K47:K52)</f>
        <v>53.61570663768466</v>
      </c>
      <c r="L42" s="70">
        <f t="shared" si="45"/>
        <v>78.603127641589182</v>
      </c>
      <c r="M42" s="43">
        <f t="shared" ref="M42:N42" si="46">(M47/M52)^(1/5)-1</f>
        <v>0.14221846911317026</v>
      </c>
      <c r="N42" s="43">
        <f t="shared" si="46"/>
        <v>0.14171021029739372</v>
      </c>
      <c r="O42" s="70">
        <f t="shared" ref="O42:P42" si="47">MEDIAN(O47:O52)</f>
        <v>9.7663094277536917</v>
      </c>
      <c r="P42" s="70">
        <f t="shared" si="47"/>
        <v>14.225990288879093</v>
      </c>
    </row>
    <row r="43" spans="2:28" ht="13.2">
      <c r="B43" s="35"/>
      <c r="C43" s="57" t="s">
        <v>127</v>
      </c>
      <c r="D43" s="43">
        <f t="shared" ref="D43:G43" si="48">(D47/D48)-1</f>
        <v>0.17149004841312543</v>
      </c>
      <c r="E43" s="43">
        <f t="shared" si="48"/>
        <v>0.15748031496062986</v>
      </c>
      <c r="F43" s="43">
        <f t="shared" si="48"/>
        <v>0.15828402366863892</v>
      </c>
      <c r="G43" s="43">
        <f t="shared" si="48"/>
        <v>-4.920634920634992E-3</v>
      </c>
      <c r="H43" s="67">
        <f>H47</f>
        <v>6.7499311231518047E-2</v>
      </c>
      <c r="I43" s="43">
        <f t="shared" ref="I43:J43" si="49">(I47/I48)-1</f>
        <v>0.19257340241796195</v>
      </c>
      <c r="J43" s="43">
        <f t="shared" si="49"/>
        <v>0.32369578881206795</v>
      </c>
      <c r="K43" s="71">
        <f t="shared" ref="K43:L43" si="50">K47</f>
        <v>58.790974882928907</v>
      </c>
      <c r="L43" s="71">
        <f t="shared" si="50"/>
        <v>89.65517241379311</v>
      </c>
      <c r="M43" s="43">
        <f t="shared" ref="M43:N43" si="51">(M47/M48)-1</f>
        <v>0.11877031419284934</v>
      </c>
      <c r="N43" s="43">
        <f t="shared" si="51"/>
        <v>0.12325102388350007</v>
      </c>
      <c r="O43" s="71">
        <f t="shared" ref="O43:P43" si="52">O47</f>
        <v>10.401022863657824</v>
      </c>
      <c r="P43" s="71">
        <f t="shared" si="52"/>
        <v>15.86137157919144</v>
      </c>
    </row>
    <row r="44" spans="2:28" ht="13.2">
      <c r="F44" s="48"/>
    </row>
    <row r="45" spans="2:28" ht="13.2">
      <c r="B45" s="13" t="s">
        <v>128</v>
      </c>
      <c r="C45" s="69" t="s">
        <v>55</v>
      </c>
      <c r="D45" s="1" t="s">
        <v>6</v>
      </c>
      <c r="E45" s="1" t="s">
        <v>7</v>
      </c>
      <c r="F45" s="1" t="s">
        <v>56</v>
      </c>
      <c r="G45" s="1" t="s">
        <v>10</v>
      </c>
      <c r="H45" s="1" t="s">
        <v>93</v>
      </c>
      <c r="I45" s="1" t="s">
        <v>117</v>
      </c>
      <c r="J45" s="1" t="s">
        <v>118</v>
      </c>
      <c r="K45" s="1" t="s">
        <v>119</v>
      </c>
      <c r="L45" s="1" t="s">
        <v>120</v>
      </c>
      <c r="M45" s="1" t="s">
        <v>11</v>
      </c>
      <c r="N45" s="1" t="s">
        <v>60</v>
      </c>
      <c r="O45" s="1" t="s">
        <v>121</v>
      </c>
      <c r="P45" s="1" t="s">
        <v>122</v>
      </c>
    </row>
    <row r="46" spans="2:28" ht="13.2">
      <c r="C46" s="72" t="s">
        <v>129</v>
      </c>
      <c r="D46" s="73">
        <f>D47+D24-E24</f>
        <v>21427</v>
      </c>
      <c r="E46" s="73">
        <f>E47+D27-E27</f>
        <v>1410</v>
      </c>
      <c r="F46" s="74">
        <f>N34</f>
        <v>22.52</v>
      </c>
      <c r="G46" s="51">
        <v>62.69</v>
      </c>
      <c r="H46" s="44">
        <f t="shared" ref="H46:H77" si="53">E46/D46</f>
        <v>6.5804825687217058E-2</v>
      </c>
      <c r="I46" s="75">
        <v>1389</v>
      </c>
      <c r="J46" s="7">
        <v>1673</v>
      </c>
      <c r="K46" s="51">
        <f t="shared" ref="K46:K77" si="54">I46/F46</f>
        <v>61.678507992895206</v>
      </c>
      <c r="L46" s="51">
        <f t="shared" ref="L46:L77" si="55">J46/F46</f>
        <v>74.289520426287751</v>
      </c>
      <c r="M46" s="7">
        <v>8261</v>
      </c>
      <c r="N46" s="51">
        <f t="shared" ref="N46:N57" si="56">(M46+G46)/(G46/1)</f>
        <v>132.7754027755623</v>
      </c>
      <c r="O46" s="51">
        <f t="shared" ref="O46:O77" si="57">I46/N46</f>
        <v>10.461274987415436</v>
      </c>
      <c r="P46" s="76">
        <f t="shared" ref="P46:P77" si="58">J46/N46</f>
        <v>12.600225380810674</v>
      </c>
    </row>
    <row r="47" spans="2:28" ht="13.2">
      <c r="C47" s="72" t="s">
        <v>130</v>
      </c>
      <c r="D47" s="73">
        <v>21778</v>
      </c>
      <c r="E47" s="73">
        <v>1470</v>
      </c>
      <c r="F47" s="74">
        <v>23.49</v>
      </c>
      <c r="G47" s="51">
        <v>62.69</v>
      </c>
      <c r="H47" s="44">
        <f t="shared" si="53"/>
        <v>6.7499311231518047E-2</v>
      </c>
      <c r="I47" s="75">
        <v>1381</v>
      </c>
      <c r="J47" s="7">
        <v>2106</v>
      </c>
      <c r="K47" s="51">
        <f t="shared" si="54"/>
        <v>58.790974882928907</v>
      </c>
      <c r="L47" s="51">
        <f t="shared" si="55"/>
        <v>89.65517241379311</v>
      </c>
      <c r="M47" s="7">
        <v>8261</v>
      </c>
      <c r="N47" s="51">
        <f t="shared" si="56"/>
        <v>132.7754027755623</v>
      </c>
      <c r="O47" s="51">
        <f t="shared" si="57"/>
        <v>10.401022863657824</v>
      </c>
      <c r="P47" s="76">
        <f t="shared" si="58"/>
        <v>15.86137157919144</v>
      </c>
    </row>
    <row r="48" spans="2:28" ht="13.2">
      <c r="C48" s="72" t="s">
        <v>131</v>
      </c>
      <c r="D48" s="73">
        <v>18590</v>
      </c>
      <c r="E48" s="77">
        <v>1270</v>
      </c>
      <c r="F48" s="74">
        <v>20.28</v>
      </c>
      <c r="G48" s="51">
        <v>63</v>
      </c>
      <c r="H48" s="44">
        <f t="shared" si="53"/>
        <v>6.8316299085529858E-2</v>
      </c>
      <c r="I48" s="75">
        <v>1158</v>
      </c>
      <c r="J48" s="7">
        <v>1591</v>
      </c>
      <c r="K48" s="51">
        <f t="shared" si="54"/>
        <v>57.100591715976329</v>
      </c>
      <c r="L48" s="51">
        <f t="shared" si="55"/>
        <v>78.451676528599606</v>
      </c>
      <c r="M48" s="7">
        <v>7384</v>
      </c>
      <c r="N48" s="51">
        <f t="shared" si="56"/>
        <v>118.2063492063492</v>
      </c>
      <c r="O48" s="51">
        <f t="shared" si="57"/>
        <v>9.7964280918490676</v>
      </c>
      <c r="P48" s="76">
        <f t="shared" si="58"/>
        <v>13.459513898214047</v>
      </c>
      <c r="R48" s="35"/>
      <c r="S48" s="35"/>
      <c r="T48" s="35"/>
      <c r="U48" s="35"/>
      <c r="V48" s="35"/>
    </row>
    <row r="49" spans="2:16" ht="13.2">
      <c r="C49" s="72" t="s">
        <v>132</v>
      </c>
      <c r="D49" s="73">
        <v>16910</v>
      </c>
      <c r="E49" s="77">
        <v>1071</v>
      </c>
      <c r="F49" s="74">
        <v>17.11</v>
      </c>
      <c r="G49" s="51">
        <v>63</v>
      </c>
      <c r="H49" s="47">
        <f t="shared" si="53"/>
        <v>6.3335304553518629E-2</v>
      </c>
      <c r="I49" s="75">
        <v>1024</v>
      </c>
      <c r="J49" s="7">
        <v>1405</v>
      </c>
      <c r="K49" s="51">
        <f t="shared" si="54"/>
        <v>59.848042080654587</v>
      </c>
      <c r="L49" s="51">
        <f t="shared" si="55"/>
        <v>82.115721800116887</v>
      </c>
      <c r="M49" s="7">
        <v>6563</v>
      </c>
      <c r="N49" s="51">
        <f t="shared" si="56"/>
        <v>105.17460317460318</v>
      </c>
      <c r="O49" s="51">
        <f t="shared" si="57"/>
        <v>9.7361907636583158</v>
      </c>
      <c r="P49" s="76">
        <f t="shared" si="58"/>
        <v>13.358738303652279</v>
      </c>
    </row>
    <row r="50" spans="2:16" ht="13.2">
      <c r="C50" s="72" t="s">
        <v>133</v>
      </c>
      <c r="D50" s="73">
        <v>13939</v>
      </c>
      <c r="E50" s="77">
        <v>1197</v>
      </c>
      <c r="F50" s="51">
        <v>19.11</v>
      </c>
      <c r="G50" s="51">
        <v>62.65</v>
      </c>
      <c r="H50" s="47">
        <f t="shared" si="53"/>
        <v>8.5874166009039382E-2</v>
      </c>
      <c r="I50" s="75">
        <v>958</v>
      </c>
      <c r="J50" s="7">
        <v>1505</v>
      </c>
      <c r="K50" s="51">
        <f t="shared" si="54"/>
        <v>50.130821559392992</v>
      </c>
      <c r="L50" s="51">
        <f t="shared" si="55"/>
        <v>78.754578754578759</v>
      </c>
      <c r="M50" s="7">
        <v>5940</v>
      </c>
      <c r="N50" s="51">
        <f t="shared" si="56"/>
        <v>95.812450119712679</v>
      </c>
      <c r="O50" s="51">
        <f t="shared" si="57"/>
        <v>9.9987005739131902</v>
      </c>
      <c r="P50" s="76">
        <f t="shared" si="58"/>
        <v>15.707770734592224</v>
      </c>
    </row>
    <row r="51" spans="2:16" ht="13.2">
      <c r="C51" s="72" t="s">
        <v>134</v>
      </c>
      <c r="D51" s="73">
        <v>10428</v>
      </c>
      <c r="E51" s="77">
        <v>1044</v>
      </c>
      <c r="F51" s="51">
        <v>16.88</v>
      </c>
      <c r="G51" s="51">
        <v>63</v>
      </c>
      <c r="H51" s="47">
        <f t="shared" si="53"/>
        <v>0.1001150747986191</v>
      </c>
      <c r="I51" s="75">
        <v>447</v>
      </c>
      <c r="J51" s="7">
        <v>1232</v>
      </c>
      <c r="K51" s="51">
        <f t="shared" si="54"/>
        <v>26.481042654028439</v>
      </c>
      <c r="L51" s="51">
        <f t="shared" si="55"/>
        <v>72.985781990521332</v>
      </c>
      <c r="M51" s="7">
        <v>5114</v>
      </c>
      <c r="N51" s="51">
        <f t="shared" si="56"/>
        <v>82.174603174603178</v>
      </c>
      <c r="O51" s="51">
        <f t="shared" si="57"/>
        <v>5.4396368553216146</v>
      </c>
      <c r="P51" s="76">
        <f t="shared" si="58"/>
        <v>14.992466679544137</v>
      </c>
    </row>
    <row r="52" spans="2:16" ht="13.2">
      <c r="C52" s="72" t="s">
        <v>135</v>
      </c>
      <c r="D52" s="75">
        <v>9429</v>
      </c>
      <c r="E52" s="78">
        <v>735</v>
      </c>
      <c r="F52" s="51">
        <v>11.76</v>
      </c>
      <c r="G52" s="51">
        <v>63</v>
      </c>
      <c r="H52" s="47">
        <f t="shared" si="53"/>
        <v>7.7951002227171495E-2</v>
      </c>
      <c r="I52" s="75">
        <v>458</v>
      </c>
      <c r="J52" s="7">
        <v>807</v>
      </c>
      <c r="K52" s="51">
        <f t="shared" si="54"/>
        <v>38.945578231292515</v>
      </c>
      <c r="L52" s="51">
        <f t="shared" si="55"/>
        <v>68.622448979591837</v>
      </c>
      <c r="M52" s="7">
        <v>4249</v>
      </c>
      <c r="N52" s="51">
        <f t="shared" si="56"/>
        <v>68.444444444444443</v>
      </c>
      <c r="O52" s="51">
        <f t="shared" si="57"/>
        <v>6.6915584415584419</v>
      </c>
      <c r="P52" s="76">
        <f t="shared" si="58"/>
        <v>11.790584415584416</v>
      </c>
    </row>
    <row r="53" spans="2:16" ht="13.2">
      <c r="C53" s="72" t="s">
        <v>136</v>
      </c>
      <c r="D53" s="7">
        <v>10068</v>
      </c>
      <c r="E53" s="51">
        <v>792</v>
      </c>
      <c r="F53" s="51">
        <v>12.66</v>
      </c>
      <c r="G53" s="51">
        <v>63</v>
      </c>
      <c r="H53" s="47">
        <f t="shared" si="53"/>
        <v>7.8665077473182354E-2</v>
      </c>
      <c r="I53" s="7">
        <v>484</v>
      </c>
      <c r="J53" s="7">
        <v>780</v>
      </c>
      <c r="K53" s="51">
        <f t="shared" si="54"/>
        <v>38.230647709320692</v>
      </c>
      <c r="L53" s="51">
        <f t="shared" si="55"/>
        <v>61.611374407582936</v>
      </c>
      <c r="M53" s="7">
        <v>4135</v>
      </c>
      <c r="N53" s="51">
        <f t="shared" si="56"/>
        <v>66.634920634920633</v>
      </c>
      <c r="O53" s="51">
        <f t="shared" si="57"/>
        <v>7.2634587898999525</v>
      </c>
      <c r="P53" s="76">
        <f t="shared" si="58"/>
        <v>11.705574082896618</v>
      </c>
    </row>
    <row r="54" spans="2:16" ht="13.2">
      <c r="C54" s="72" t="s">
        <v>137</v>
      </c>
      <c r="D54" s="7">
        <v>8139</v>
      </c>
      <c r="E54" s="51">
        <v>712</v>
      </c>
      <c r="F54" s="51">
        <v>11.4</v>
      </c>
      <c r="G54" s="51">
        <v>63</v>
      </c>
      <c r="H54" s="47">
        <f t="shared" si="53"/>
        <v>8.7480034402260723E-2</v>
      </c>
      <c r="I54" s="7">
        <v>434</v>
      </c>
      <c r="J54" s="7">
        <v>593</v>
      </c>
      <c r="K54" s="51">
        <f t="shared" si="54"/>
        <v>38.070175438596493</v>
      </c>
      <c r="L54" s="51">
        <f t="shared" si="55"/>
        <v>52.017543859649123</v>
      </c>
      <c r="M54" s="7">
        <v>3667</v>
      </c>
      <c r="N54" s="51">
        <f t="shared" si="56"/>
        <v>59.206349206349209</v>
      </c>
      <c r="O54" s="51">
        <f t="shared" si="57"/>
        <v>7.3302949061662197</v>
      </c>
      <c r="P54" s="76">
        <f t="shared" si="58"/>
        <v>10.015817694369973</v>
      </c>
    </row>
    <row r="55" spans="2:16" ht="13.2">
      <c r="C55" s="72" t="s">
        <v>138</v>
      </c>
      <c r="D55" s="7">
        <v>6135</v>
      </c>
      <c r="E55" s="78">
        <v>539</v>
      </c>
      <c r="F55" s="51">
        <v>8.6300000000000008</v>
      </c>
      <c r="G55" s="51">
        <v>62</v>
      </c>
      <c r="H55" s="47">
        <f t="shared" si="53"/>
        <v>8.7856560717196414E-2</v>
      </c>
      <c r="I55" s="7">
        <v>303</v>
      </c>
      <c r="J55" s="7">
        <v>475</v>
      </c>
      <c r="K55" s="51">
        <f t="shared" si="54"/>
        <v>35.110081112398603</v>
      </c>
      <c r="L55" s="51">
        <f t="shared" si="55"/>
        <v>55.040556199304746</v>
      </c>
      <c r="M55" s="7">
        <v>3214</v>
      </c>
      <c r="N55" s="51">
        <f t="shared" si="56"/>
        <v>52.838709677419352</v>
      </c>
      <c r="O55" s="51">
        <f t="shared" si="57"/>
        <v>5.7344322344322345</v>
      </c>
      <c r="P55" s="76">
        <f t="shared" si="58"/>
        <v>8.9896214896214897</v>
      </c>
    </row>
    <row r="56" spans="2:16" ht="13.2">
      <c r="C56" s="72" t="s">
        <v>139</v>
      </c>
      <c r="D56" s="7">
        <v>5378</v>
      </c>
      <c r="E56" s="51">
        <v>715</v>
      </c>
      <c r="F56" s="51">
        <v>11.45</v>
      </c>
      <c r="G56" s="51">
        <v>62</v>
      </c>
      <c r="H56" s="47">
        <f t="shared" si="53"/>
        <v>0.13294905169207885</v>
      </c>
      <c r="I56" s="7">
        <v>236</v>
      </c>
      <c r="J56" s="7">
        <v>325</v>
      </c>
      <c r="K56" s="51">
        <f t="shared" si="54"/>
        <v>20.611353711790393</v>
      </c>
      <c r="L56" s="51">
        <f t="shared" si="55"/>
        <v>28.384279475982535</v>
      </c>
      <c r="M56" s="7">
        <v>2495</v>
      </c>
      <c r="N56" s="51">
        <f t="shared" si="56"/>
        <v>41.241935483870968</v>
      </c>
      <c r="O56" s="51">
        <f t="shared" si="57"/>
        <v>5.7223308564724285</v>
      </c>
      <c r="P56" s="76">
        <f t="shared" si="58"/>
        <v>7.8803285099726237</v>
      </c>
    </row>
    <row r="57" spans="2:16" ht="13.2">
      <c r="B57" s="79" t="s">
        <v>140</v>
      </c>
      <c r="C57" s="72" t="s">
        <v>141</v>
      </c>
      <c r="D57" s="7">
        <v>5282</v>
      </c>
      <c r="E57" s="78">
        <v>465</v>
      </c>
      <c r="F57" s="51">
        <v>7.4</v>
      </c>
      <c r="G57" s="51">
        <v>62</v>
      </c>
      <c r="H57" s="47">
        <f t="shared" si="53"/>
        <v>8.8034835289663008E-2</v>
      </c>
      <c r="I57" s="75">
        <v>176</v>
      </c>
      <c r="J57" s="75">
        <v>346</v>
      </c>
      <c r="K57" s="51">
        <f t="shared" si="54"/>
        <v>23.783783783783782</v>
      </c>
      <c r="L57" s="51">
        <f t="shared" si="55"/>
        <v>46.756756756756758</v>
      </c>
      <c r="M57" s="7">
        <v>1756</v>
      </c>
      <c r="N57" s="51">
        <f t="shared" si="56"/>
        <v>29.322580645161292</v>
      </c>
      <c r="O57" s="51">
        <f t="shared" si="57"/>
        <v>6.0022002200220017</v>
      </c>
      <c r="P57" s="76">
        <f t="shared" si="58"/>
        <v>11.799779977997799</v>
      </c>
    </row>
    <row r="58" spans="2:16" ht="13.2">
      <c r="C58" s="72" t="s">
        <v>142</v>
      </c>
      <c r="D58" s="7">
        <v>4720</v>
      </c>
      <c r="E58" s="51">
        <v>479</v>
      </c>
      <c r="F58" s="51">
        <v>38.36</v>
      </c>
      <c r="G58" s="51">
        <v>62</v>
      </c>
      <c r="H58" s="47">
        <f t="shared" si="53"/>
        <v>0.10148305084745762</v>
      </c>
      <c r="I58" s="7">
        <v>586</v>
      </c>
      <c r="J58" s="7">
        <v>936</v>
      </c>
      <c r="K58" s="51">
        <f t="shared" si="54"/>
        <v>15.276329509906153</v>
      </c>
      <c r="L58" s="51">
        <f t="shared" si="55"/>
        <v>24.400417101147028</v>
      </c>
      <c r="M58" s="7">
        <v>1604</v>
      </c>
      <c r="N58" s="51">
        <f t="shared" ref="N58:N68" si="59">(G58+M58)/(G58/5)</f>
        <v>134.35483870967741</v>
      </c>
      <c r="O58" s="51">
        <f t="shared" si="57"/>
        <v>4.3615846338535418</v>
      </c>
      <c r="P58" s="76">
        <f t="shared" si="58"/>
        <v>6.966626650660265</v>
      </c>
    </row>
    <row r="59" spans="2:16" ht="13.2">
      <c r="C59" s="72" t="s">
        <v>143</v>
      </c>
      <c r="D59" s="7">
        <v>4225</v>
      </c>
      <c r="E59" s="51">
        <v>371</v>
      </c>
      <c r="F59" s="51">
        <v>29.76</v>
      </c>
      <c r="G59" s="51">
        <v>62</v>
      </c>
      <c r="H59" s="47">
        <f t="shared" si="53"/>
        <v>8.7810650887573963E-2</v>
      </c>
      <c r="I59" s="7">
        <v>515</v>
      </c>
      <c r="J59" s="7">
        <v>705</v>
      </c>
      <c r="K59" s="51">
        <f t="shared" si="54"/>
        <v>17.30510752688172</v>
      </c>
      <c r="L59" s="51">
        <f t="shared" si="55"/>
        <v>23.689516129032256</v>
      </c>
      <c r="M59" s="7">
        <v>1380</v>
      </c>
      <c r="N59" s="51">
        <f t="shared" si="59"/>
        <v>116.29032258064515</v>
      </c>
      <c r="O59" s="51">
        <f t="shared" si="57"/>
        <v>4.4285714285714288</v>
      </c>
      <c r="P59" s="76">
        <f t="shared" si="58"/>
        <v>6.0624133148404997</v>
      </c>
    </row>
    <row r="60" spans="2:16" ht="13.2">
      <c r="C60" s="72" t="s">
        <v>144</v>
      </c>
      <c r="D60" s="7">
        <v>3616</v>
      </c>
      <c r="E60" s="51">
        <v>305</v>
      </c>
      <c r="F60" s="51">
        <v>24.48</v>
      </c>
      <c r="G60" s="51">
        <v>62</v>
      </c>
      <c r="H60" s="47">
        <f t="shared" si="53"/>
        <v>8.4347345132743362E-2</v>
      </c>
      <c r="I60" s="7">
        <v>313</v>
      </c>
      <c r="J60" s="7">
        <v>616</v>
      </c>
      <c r="K60" s="51">
        <f t="shared" si="54"/>
        <v>12.785947712418301</v>
      </c>
      <c r="L60" s="51">
        <f t="shared" si="55"/>
        <v>25.163398692810457</v>
      </c>
      <c r="M60" s="7">
        <v>893</v>
      </c>
      <c r="N60" s="51">
        <f t="shared" si="59"/>
        <v>77.016129032258064</v>
      </c>
      <c r="O60" s="51">
        <f t="shared" si="57"/>
        <v>4.0640837696335081</v>
      </c>
      <c r="P60" s="76">
        <f t="shared" si="58"/>
        <v>7.9983246073298426</v>
      </c>
    </row>
    <row r="61" spans="2:16" ht="13.2">
      <c r="B61" s="79" t="s">
        <v>145</v>
      </c>
      <c r="C61" s="72" t="s">
        <v>146</v>
      </c>
      <c r="D61" s="7">
        <v>2882</v>
      </c>
      <c r="E61" s="51">
        <v>242</v>
      </c>
      <c r="F61" s="51">
        <v>19.399999999999999</v>
      </c>
      <c r="G61" s="51">
        <v>62</v>
      </c>
      <c r="H61" s="47">
        <f t="shared" si="53"/>
        <v>8.3969465648854963E-2</v>
      </c>
      <c r="I61" s="7">
        <v>290</v>
      </c>
      <c r="J61" s="7">
        <v>893</v>
      </c>
      <c r="K61" s="51">
        <f t="shared" si="54"/>
        <v>14.948453608247425</v>
      </c>
      <c r="L61" s="51">
        <f t="shared" si="55"/>
        <v>46.03092783505155</v>
      </c>
      <c r="M61" s="7">
        <v>591</v>
      </c>
      <c r="N61" s="51">
        <f t="shared" si="59"/>
        <v>52.661290322580641</v>
      </c>
      <c r="O61" s="51">
        <f t="shared" si="57"/>
        <v>5.506891271056662</v>
      </c>
      <c r="P61" s="76">
        <f t="shared" si="58"/>
        <v>16.957427258805513</v>
      </c>
    </row>
    <row r="62" spans="2:16" ht="13.2">
      <c r="C62" s="72" t="s">
        <v>147</v>
      </c>
      <c r="D62" s="7">
        <v>2371</v>
      </c>
      <c r="E62" s="51">
        <v>227</v>
      </c>
      <c r="F62" s="51">
        <v>37.75</v>
      </c>
      <c r="G62" s="51">
        <v>31</v>
      </c>
      <c r="H62" s="47">
        <f t="shared" si="53"/>
        <v>9.574019401096584E-2</v>
      </c>
      <c r="I62" s="7">
        <v>142</v>
      </c>
      <c r="J62" s="7">
        <v>634</v>
      </c>
      <c r="K62" s="51">
        <f t="shared" si="54"/>
        <v>3.76158940397351</v>
      </c>
      <c r="L62" s="51">
        <f t="shared" si="55"/>
        <v>16.794701986754966</v>
      </c>
      <c r="M62" s="7">
        <v>369</v>
      </c>
      <c r="N62" s="51">
        <f t="shared" si="59"/>
        <v>64.516129032258064</v>
      </c>
      <c r="O62" s="51">
        <f t="shared" si="57"/>
        <v>2.2010000000000001</v>
      </c>
      <c r="P62" s="76">
        <f t="shared" si="58"/>
        <v>9.827</v>
      </c>
    </row>
    <row r="63" spans="2:16" ht="13.2">
      <c r="C63" s="72" t="s">
        <v>148</v>
      </c>
      <c r="D63" s="7">
        <v>2198</v>
      </c>
      <c r="E63" s="51">
        <v>145</v>
      </c>
      <c r="F63" s="51">
        <v>24.93</v>
      </c>
      <c r="G63" s="51">
        <v>30</v>
      </c>
      <c r="H63" s="47">
        <f t="shared" si="53"/>
        <v>6.5969062784349414E-2</v>
      </c>
      <c r="I63" s="75">
        <v>100</v>
      </c>
      <c r="J63" s="75">
        <v>525</v>
      </c>
      <c r="K63" s="51">
        <f t="shared" si="54"/>
        <v>4.011231448054553</v>
      </c>
      <c r="L63" s="51">
        <f t="shared" si="55"/>
        <v>21.0589651022864</v>
      </c>
      <c r="M63" s="7">
        <v>582</v>
      </c>
      <c r="N63" s="51">
        <f t="shared" si="59"/>
        <v>102</v>
      </c>
      <c r="O63" s="51">
        <f t="shared" si="57"/>
        <v>0.98039215686274506</v>
      </c>
      <c r="P63" s="76">
        <f t="shared" si="58"/>
        <v>5.1470588235294121</v>
      </c>
    </row>
    <row r="64" spans="2:16" ht="13.2">
      <c r="C64" s="72" t="s">
        <v>149</v>
      </c>
      <c r="D64" s="7">
        <v>2056</v>
      </c>
      <c r="E64" s="51">
        <v>144</v>
      </c>
      <c r="F64" s="51">
        <v>26</v>
      </c>
      <c r="G64" s="51">
        <v>29</v>
      </c>
      <c r="H64" s="47">
        <f t="shared" si="53"/>
        <v>7.0038910505836577E-2</v>
      </c>
      <c r="I64" s="7">
        <v>376</v>
      </c>
      <c r="J64" s="7">
        <v>749</v>
      </c>
      <c r="K64" s="51">
        <f t="shared" si="54"/>
        <v>14.461538461538462</v>
      </c>
      <c r="L64" s="51">
        <f t="shared" si="55"/>
        <v>28.807692307692307</v>
      </c>
      <c r="M64" s="7">
        <v>643</v>
      </c>
      <c r="N64" s="51">
        <f t="shared" si="59"/>
        <v>115.86206896551724</v>
      </c>
      <c r="O64" s="51">
        <f t="shared" si="57"/>
        <v>3.2452380952380953</v>
      </c>
      <c r="P64" s="76">
        <f t="shared" si="58"/>
        <v>6.4645833333333336</v>
      </c>
    </row>
    <row r="65" spans="2:19" ht="13.2">
      <c r="B65" s="79" t="s">
        <v>150</v>
      </c>
      <c r="C65" s="72" t="s">
        <v>151</v>
      </c>
      <c r="D65" s="7">
        <v>1547</v>
      </c>
      <c r="E65" s="51">
        <v>102</v>
      </c>
      <c r="F65" s="51">
        <v>19</v>
      </c>
      <c r="G65" s="51">
        <v>27</v>
      </c>
      <c r="H65" s="47">
        <f t="shared" si="53"/>
        <v>6.5934065934065936E-2</v>
      </c>
      <c r="I65" s="7">
        <v>256</v>
      </c>
      <c r="J65" s="7">
        <v>800</v>
      </c>
      <c r="K65" s="51">
        <f t="shared" si="54"/>
        <v>13.473684210526315</v>
      </c>
      <c r="L65" s="51">
        <f t="shared" si="55"/>
        <v>42.10526315789474</v>
      </c>
      <c r="M65" s="7">
        <v>236</v>
      </c>
      <c r="N65" s="51">
        <f t="shared" si="59"/>
        <v>48.703703703703702</v>
      </c>
      <c r="O65" s="51">
        <f t="shared" si="57"/>
        <v>5.2562737642585553</v>
      </c>
      <c r="P65" s="76">
        <f t="shared" si="58"/>
        <v>16.425855513307987</v>
      </c>
    </row>
    <row r="66" spans="2:19" ht="13.2">
      <c r="B66" s="79" t="s">
        <v>150</v>
      </c>
      <c r="C66" s="72" t="s">
        <v>152</v>
      </c>
      <c r="D66" s="7">
        <v>1004</v>
      </c>
      <c r="E66" s="51">
        <v>63</v>
      </c>
      <c r="F66" s="51">
        <v>24.26</v>
      </c>
      <c r="G66" s="51">
        <v>13</v>
      </c>
      <c r="H66" s="47">
        <f t="shared" si="53"/>
        <v>6.2749003984063745E-2</v>
      </c>
      <c r="I66" s="7">
        <v>249</v>
      </c>
      <c r="J66" s="7">
        <v>643</v>
      </c>
      <c r="K66" s="51">
        <f t="shared" si="54"/>
        <v>10.263808738664467</v>
      </c>
      <c r="L66" s="51">
        <f t="shared" si="55"/>
        <v>26.504534212695795</v>
      </c>
      <c r="M66" s="7">
        <v>163</v>
      </c>
      <c r="N66" s="51">
        <f t="shared" si="59"/>
        <v>67.692307692307693</v>
      </c>
      <c r="O66" s="51">
        <f t="shared" si="57"/>
        <v>3.6784090909090907</v>
      </c>
      <c r="P66" s="76">
        <f t="shared" si="58"/>
        <v>9.4988636363636356</v>
      </c>
    </row>
    <row r="67" spans="2:19" ht="13.2">
      <c r="C67" s="72" t="s">
        <v>153</v>
      </c>
      <c r="D67" s="7">
        <v>583</v>
      </c>
      <c r="E67" s="51">
        <v>31</v>
      </c>
      <c r="F67" s="51">
        <v>26.33</v>
      </c>
      <c r="G67" s="51">
        <v>6</v>
      </c>
      <c r="H67" s="47">
        <f t="shared" si="53"/>
        <v>5.3173241852487133E-2</v>
      </c>
      <c r="I67" s="7">
        <v>88</v>
      </c>
      <c r="J67" s="7">
        <v>317</v>
      </c>
      <c r="K67" s="51">
        <f t="shared" si="54"/>
        <v>3.3421952145841249</v>
      </c>
      <c r="L67" s="51">
        <f t="shared" si="55"/>
        <v>12.039498670717814</v>
      </c>
      <c r="M67" s="7">
        <v>81</v>
      </c>
      <c r="N67" s="51">
        <f t="shared" si="59"/>
        <v>72.5</v>
      </c>
      <c r="O67" s="51">
        <f t="shared" si="57"/>
        <v>1.2137931034482758</v>
      </c>
      <c r="P67" s="76">
        <f t="shared" si="58"/>
        <v>4.3724137931034486</v>
      </c>
    </row>
    <row r="68" spans="2:19" ht="13.2">
      <c r="B68" s="79" t="s">
        <v>154</v>
      </c>
      <c r="C68" s="72" t="s">
        <v>155</v>
      </c>
      <c r="D68" s="7">
        <v>363</v>
      </c>
      <c r="E68" s="51">
        <v>21</v>
      </c>
      <c r="F68" s="51">
        <v>18.079999999999998</v>
      </c>
      <c r="G68" s="51">
        <v>6</v>
      </c>
      <c r="H68" s="47">
        <f t="shared" si="53"/>
        <v>5.7851239669421489E-2</v>
      </c>
      <c r="I68" s="7">
        <v>104</v>
      </c>
      <c r="J68" s="7">
        <v>308</v>
      </c>
      <c r="K68" s="51">
        <f t="shared" si="54"/>
        <v>5.7522123893805315</v>
      </c>
      <c r="L68" s="51">
        <f t="shared" si="55"/>
        <v>17.035398230088497</v>
      </c>
      <c r="M68" s="7">
        <v>54</v>
      </c>
      <c r="N68" s="51">
        <f t="shared" si="59"/>
        <v>50</v>
      </c>
      <c r="O68" s="51">
        <f t="shared" si="57"/>
        <v>2.08</v>
      </c>
      <c r="P68" s="76">
        <f t="shared" si="58"/>
        <v>6.16</v>
      </c>
    </row>
    <row r="69" spans="2:19" ht="13.2">
      <c r="C69" s="72" t="s">
        <v>156</v>
      </c>
      <c r="D69" s="7">
        <v>293</v>
      </c>
      <c r="E69" s="51">
        <v>9</v>
      </c>
      <c r="F69" s="51">
        <v>16</v>
      </c>
      <c r="G69" s="51">
        <v>6</v>
      </c>
      <c r="H69" s="47">
        <f t="shared" si="53"/>
        <v>3.0716723549488054E-2</v>
      </c>
      <c r="I69" s="75">
        <v>96</v>
      </c>
      <c r="J69" s="7">
        <v>157</v>
      </c>
      <c r="K69" s="51">
        <f t="shared" si="54"/>
        <v>6</v>
      </c>
      <c r="L69" s="51">
        <f t="shared" si="55"/>
        <v>9.8125</v>
      </c>
      <c r="M69" s="7">
        <v>35</v>
      </c>
      <c r="N69" s="51">
        <f t="shared" ref="N69:N77" si="60">(G69+M69)/(G69/10)</f>
        <v>68.333333333333343</v>
      </c>
      <c r="O69" s="51">
        <f t="shared" si="57"/>
        <v>1.4048780487804877</v>
      </c>
      <c r="P69" s="76">
        <f t="shared" si="58"/>
        <v>2.2975609756097559</v>
      </c>
    </row>
    <row r="70" spans="2:19" ht="13.2">
      <c r="C70" s="72" t="s">
        <v>157</v>
      </c>
      <c r="D70" s="7">
        <v>222</v>
      </c>
      <c r="E70" s="51">
        <v>8.6</v>
      </c>
      <c r="F70" s="51">
        <v>17.170000000000002</v>
      </c>
      <c r="G70" s="51">
        <v>6</v>
      </c>
      <c r="H70" s="47">
        <f t="shared" si="53"/>
        <v>3.8738738738738739E-2</v>
      </c>
      <c r="I70" s="75">
        <v>108</v>
      </c>
      <c r="J70" s="7">
        <v>157</v>
      </c>
      <c r="K70" s="51">
        <f t="shared" si="54"/>
        <v>6.2900407687827604</v>
      </c>
      <c r="L70" s="51">
        <f t="shared" si="55"/>
        <v>9.1438555620267898</v>
      </c>
      <c r="M70" s="7">
        <v>28</v>
      </c>
      <c r="N70" s="51">
        <f t="shared" si="60"/>
        <v>56.666666666666671</v>
      </c>
      <c r="O70" s="51">
        <f t="shared" si="57"/>
        <v>1.9058823529411764</v>
      </c>
      <c r="P70" s="76">
        <f t="shared" si="58"/>
        <v>2.7705882352941176</v>
      </c>
    </row>
    <row r="71" spans="2:19" ht="13.2">
      <c r="C71" s="72" t="s">
        <v>158</v>
      </c>
      <c r="D71" s="7">
        <v>171</v>
      </c>
      <c r="E71" s="51">
        <v>6.21</v>
      </c>
      <c r="F71" s="7">
        <v>6</v>
      </c>
      <c r="G71" s="51">
        <v>5</v>
      </c>
      <c r="H71" s="47">
        <f t="shared" si="53"/>
        <v>3.6315789473684211E-2</v>
      </c>
      <c r="I71" s="7">
        <v>112</v>
      </c>
      <c r="J71" s="7">
        <v>178</v>
      </c>
      <c r="K71" s="51">
        <f t="shared" si="54"/>
        <v>18.666666666666668</v>
      </c>
      <c r="L71" s="51">
        <f t="shared" si="55"/>
        <v>29.666666666666668</v>
      </c>
      <c r="M71" s="7">
        <v>19</v>
      </c>
      <c r="N71" s="51">
        <f t="shared" si="60"/>
        <v>48</v>
      </c>
      <c r="O71" s="51">
        <f t="shared" si="57"/>
        <v>2.3333333333333335</v>
      </c>
      <c r="P71" s="76">
        <f t="shared" si="58"/>
        <v>3.7083333333333335</v>
      </c>
    </row>
    <row r="72" spans="2:19" ht="13.2">
      <c r="C72" s="72" t="s">
        <v>159</v>
      </c>
      <c r="D72" s="7">
        <v>105</v>
      </c>
      <c r="E72" s="51">
        <v>3.32</v>
      </c>
      <c r="F72" s="7">
        <v>3</v>
      </c>
      <c r="G72" s="51">
        <v>5</v>
      </c>
      <c r="H72" s="47">
        <f t="shared" si="53"/>
        <v>3.1619047619047616E-2</v>
      </c>
      <c r="I72" s="7">
        <v>40</v>
      </c>
      <c r="J72" s="7">
        <v>143</v>
      </c>
      <c r="K72" s="51">
        <f t="shared" si="54"/>
        <v>13.333333333333334</v>
      </c>
      <c r="L72" s="51">
        <f t="shared" si="55"/>
        <v>47.666666666666664</v>
      </c>
      <c r="M72" s="7">
        <v>13</v>
      </c>
      <c r="N72" s="51">
        <f t="shared" si="60"/>
        <v>36</v>
      </c>
      <c r="O72" s="51">
        <f t="shared" si="57"/>
        <v>1.1111111111111112</v>
      </c>
      <c r="P72" s="76">
        <f t="shared" si="58"/>
        <v>3.9722222222222223</v>
      </c>
      <c r="Q72" s="79"/>
      <c r="R72" s="79"/>
      <c r="S72" s="18"/>
    </row>
    <row r="73" spans="2:19" ht="13.2">
      <c r="C73" s="72" t="s">
        <v>160</v>
      </c>
      <c r="D73" s="7">
        <v>82</v>
      </c>
      <c r="E73" s="51">
        <v>2.4500000000000002</v>
      </c>
      <c r="F73" s="7">
        <v>3</v>
      </c>
      <c r="G73" s="51">
        <v>5</v>
      </c>
      <c r="H73" s="47">
        <f t="shared" si="53"/>
        <v>2.9878048780487807E-2</v>
      </c>
      <c r="I73" s="7">
        <v>15</v>
      </c>
      <c r="J73" s="7">
        <v>46</v>
      </c>
      <c r="K73" s="51">
        <f t="shared" si="54"/>
        <v>5</v>
      </c>
      <c r="L73" s="51">
        <f t="shared" si="55"/>
        <v>15.333333333333334</v>
      </c>
      <c r="M73" s="7">
        <v>11</v>
      </c>
      <c r="N73" s="51">
        <f t="shared" si="60"/>
        <v>32</v>
      </c>
      <c r="O73" s="51">
        <f t="shared" si="57"/>
        <v>0.46875</v>
      </c>
      <c r="P73" s="76">
        <f t="shared" si="58"/>
        <v>1.4375</v>
      </c>
      <c r="Q73" s="79"/>
      <c r="R73" s="79"/>
      <c r="S73" s="18"/>
    </row>
    <row r="74" spans="2:19" ht="13.2">
      <c r="C74" s="72" t="s">
        <v>161</v>
      </c>
      <c r="D74" s="7">
        <v>62</v>
      </c>
      <c r="E74" s="51">
        <v>1.48</v>
      </c>
      <c r="F74" s="7">
        <v>2</v>
      </c>
      <c r="G74" s="51">
        <v>5</v>
      </c>
      <c r="H74" s="47">
        <f t="shared" si="53"/>
        <v>2.3870967741935485E-2</v>
      </c>
      <c r="I74" s="7">
        <v>13</v>
      </c>
      <c r="J74" s="7">
        <v>26</v>
      </c>
      <c r="K74" s="51">
        <f t="shared" si="54"/>
        <v>6.5</v>
      </c>
      <c r="L74" s="51">
        <f t="shared" si="55"/>
        <v>13</v>
      </c>
      <c r="M74" s="7">
        <v>9</v>
      </c>
      <c r="N74" s="51">
        <f t="shared" si="60"/>
        <v>28</v>
      </c>
      <c r="O74" s="51">
        <f t="shared" si="57"/>
        <v>0.4642857142857143</v>
      </c>
      <c r="P74" s="76">
        <f t="shared" si="58"/>
        <v>0.9285714285714286</v>
      </c>
      <c r="Q74" s="79"/>
      <c r="R74" s="79"/>
      <c r="S74" s="18"/>
    </row>
    <row r="75" spans="2:19" ht="13.2">
      <c r="C75" s="72" t="s">
        <v>162</v>
      </c>
      <c r="D75" s="7">
        <v>50</v>
      </c>
      <c r="E75" s="51">
        <v>2.2999999999999998</v>
      </c>
      <c r="F75" s="7">
        <v>3</v>
      </c>
      <c r="G75" s="51">
        <v>5</v>
      </c>
      <c r="H75" s="47">
        <f t="shared" si="53"/>
        <v>4.5999999999999999E-2</v>
      </c>
      <c r="I75" s="75">
        <v>13</v>
      </c>
      <c r="J75" s="75">
        <v>25</v>
      </c>
      <c r="K75" s="51">
        <f t="shared" si="54"/>
        <v>4.333333333333333</v>
      </c>
      <c r="L75" s="51">
        <f t="shared" si="55"/>
        <v>8.3333333333333339</v>
      </c>
      <c r="M75" s="7">
        <v>9</v>
      </c>
      <c r="N75" s="51">
        <f t="shared" si="60"/>
        <v>28</v>
      </c>
      <c r="O75" s="51">
        <f t="shared" si="57"/>
        <v>0.4642857142857143</v>
      </c>
      <c r="P75" s="76">
        <f t="shared" si="58"/>
        <v>0.8928571428571429</v>
      </c>
      <c r="Q75" s="80"/>
      <c r="R75" s="80"/>
      <c r="S75" s="18"/>
    </row>
    <row r="76" spans="2:19" ht="13.2">
      <c r="C76" s="72" t="s">
        <v>163</v>
      </c>
      <c r="D76" s="7">
        <v>29</v>
      </c>
      <c r="E76" s="51">
        <v>1.65</v>
      </c>
      <c r="F76" s="7">
        <v>2</v>
      </c>
      <c r="G76" s="51">
        <v>4</v>
      </c>
      <c r="H76" s="47">
        <f t="shared" si="53"/>
        <v>5.6896551724137927E-2</v>
      </c>
      <c r="I76" s="75">
        <v>17</v>
      </c>
      <c r="J76" s="75">
        <v>44</v>
      </c>
      <c r="K76" s="51">
        <f t="shared" si="54"/>
        <v>8.5</v>
      </c>
      <c r="L76" s="51">
        <f t="shared" si="55"/>
        <v>22</v>
      </c>
      <c r="M76" s="7">
        <v>6</v>
      </c>
      <c r="N76" s="51">
        <f t="shared" si="60"/>
        <v>25</v>
      </c>
      <c r="O76" s="51">
        <f t="shared" si="57"/>
        <v>0.68</v>
      </c>
      <c r="P76" s="76">
        <f t="shared" si="58"/>
        <v>1.76</v>
      </c>
      <c r="Q76" s="76"/>
      <c r="R76" s="76"/>
      <c r="S76" s="18"/>
    </row>
    <row r="77" spans="2:19" ht="13.2">
      <c r="C77" s="72" t="s">
        <v>164</v>
      </c>
      <c r="D77" s="7">
        <v>22</v>
      </c>
      <c r="E77" s="51">
        <v>1.45</v>
      </c>
      <c r="F77" s="7">
        <v>2</v>
      </c>
      <c r="G77" s="51">
        <v>4</v>
      </c>
      <c r="H77" s="47">
        <f t="shared" si="53"/>
        <v>6.5909090909090903E-2</v>
      </c>
      <c r="I77" s="7">
        <v>23</v>
      </c>
      <c r="J77" s="7">
        <v>50</v>
      </c>
      <c r="K77" s="51">
        <f t="shared" si="54"/>
        <v>11.5</v>
      </c>
      <c r="L77" s="51">
        <f t="shared" si="55"/>
        <v>25</v>
      </c>
      <c r="M77" s="7">
        <v>5</v>
      </c>
      <c r="N77" s="51">
        <f t="shared" si="60"/>
        <v>22.5</v>
      </c>
      <c r="O77" s="51">
        <f t="shared" si="57"/>
        <v>1.0222222222222221</v>
      </c>
      <c r="P77" s="76">
        <f t="shared" si="58"/>
        <v>2.2222222222222223</v>
      </c>
    </row>
    <row r="108" spans="2:14" ht="13.2">
      <c r="B108" s="81" t="s">
        <v>165</v>
      </c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3"/>
    </row>
  </sheetData>
  <mergeCells count="2">
    <mergeCell ref="S34:S36"/>
    <mergeCell ref="B108:N108"/>
  </mergeCells>
  <conditionalFormatting sqref="C24:F29 M24:P29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:D4">
    <cfRule type="colorScale" priority="9">
      <colorScale>
        <cfvo type="min"/>
        <cfvo type="max"/>
        <color rgb="FFFFFFFF"/>
        <color rgb="FF57BB8A"/>
      </colorScale>
    </cfRule>
  </conditionalFormatting>
  <conditionalFormatting sqref="D46:D77 E46:E47">
    <cfRule type="colorScale" priority="5">
      <colorScale>
        <cfvo type="min"/>
        <cfvo type="max"/>
        <color rgb="FFFFFFFF"/>
        <color rgb="FF57BB8A"/>
      </colorScale>
    </cfRule>
  </conditionalFormatting>
  <conditionalFormatting sqref="D19:F21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4:G35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6:G36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9:G43 I39:J43 M39:N43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6:E77">
    <cfRule type="colorScale" priority="6">
      <colorScale>
        <cfvo type="min"/>
        <cfvo type="max"/>
        <color rgb="FFFFFFFF"/>
        <color rgb="FF57BB8A"/>
      </colorScale>
    </cfRule>
  </conditionalFormatting>
  <conditionalFormatting sqref="E3:G4">
    <cfRule type="colorScale" priority="10">
      <colorScale>
        <cfvo type="min"/>
        <cfvo type="max"/>
        <color rgb="FFFFFFFF"/>
        <color rgb="FF57BB8A"/>
      </colorScale>
    </cfRule>
  </conditionalFormatting>
  <conditionalFormatting sqref="F46:F77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:G4">
    <cfRule type="colorScale" priority="11">
      <colorScale>
        <cfvo type="min"/>
        <cfvo type="max"/>
        <color rgb="FFFFFFFF"/>
        <color rgb="FF57BB8A"/>
      </colorScale>
    </cfRule>
  </conditionalFormatting>
  <conditionalFormatting sqref="G3:G4">
    <cfRule type="colorScale" priority="12">
      <colorScale>
        <cfvo type="min"/>
        <cfvo type="max"/>
        <color rgb="FFFFFFFF"/>
        <color rgb="FF57BB8A"/>
      </colorScale>
    </cfRule>
  </conditionalFormatting>
  <conditionalFormatting sqref="G19:G21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6:G77">
    <cfRule type="colorScale" priority="25">
      <colorScale>
        <cfvo type="min"/>
        <cfvo type="max"/>
        <color rgb="FFFFFFFF"/>
        <color rgb="FF57BB8A"/>
      </colorScale>
    </cfRule>
  </conditionalFormatting>
  <conditionalFormatting sqref="H39:H43">
    <cfRule type="colorScale" priority="3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6:H77">
    <cfRule type="colorScale" priority="7">
      <colorScale>
        <cfvo type="min"/>
        <cfvo type="max"/>
        <color rgb="FFFFFFFF"/>
        <color rgb="FF57BB8A"/>
      </colorScale>
    </cfRule>
  </conditionalFormatting>
  <conditionalFormatting sqref="H24:K29 M24:P29">
    <cfRule type="colorScale" priority="3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:J4 M46:M77">
    <cfRule type="colorScale" priority="8">
      <colorScale>
        <cfvo type="min"/>
        <cfvo type="max"/>
        <color rgb="FFFFFFFF"/>
        <color rgb="FF57BB8A"/>
      </colorScale>
    </cfRule>
  </conditionalFormatting>
  <conditionalFormatting sqref="J3:J4">
    <cfRule type="colorScale" priority="13">
      <colorScale>
        <cfvo type="min"/>
        <cfvo type="max"/>
        <color rgb="FFFFFFFF"/>
        <color rgb="FF57BB8A"/>
      </colorScale>
    </cfRule>
  </conditionalFormatting>
  <conditionalFormatting sqref="J34:M34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:K4">
    <cfRule type="colorScale" priority="14">
      <colorScale>
        <cfvo type="min"/>
        <cfvo type="max"/>
        <color rgb="FF57BB8A"/>
        <color rgb="FFFFFFFF"/>
      </colorScale>
    </cfRule>
  </conditionalFormatting>
  <conditionalFormatting sqref="K39:L43">
    <cfRule type="colorScale" priority="3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K46:L77">
    <cfRule type="colorScale" priority="3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3:L4">
    <cfRule type="colorScale" priority="15">
      <colorScale>
        <cfvo type="min"/>
        <cfvo type="max"/>
        <color rgb="FF57BB8A"/>
        <color rgb="FFFFFFFF"/>
      </colorScale>
    </cfRule>
  </conditionalFormatting>
  <conditionalFormatting sqref="M3:M4">
    <cfRule type="colorScale" priority="16">
      <colorScale>
        <cfvo type="min"/>
        <cfvo type="max"/>
        <color rgb="FFFFFFFF"/>
        <color rgb="FF57BB8A"/>
      </colorScale>
    </cfRule>
  </conditionalFormatting>
  <conditionalFormatting sqref="M24:P29">
    <cfRule type="colorScale" priority="3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3:N4">
    <cfRule type="colorScale" priority="17">
      <colorScale>
        <cfvo type="min"/>
        <cfvo type="max"/>
        <color rgb="FF57BB8A"/>
        <color rgb="FFFFFFFF"/>
      </colorScale>
    </cfRule>
  </conditionalFormatting>
  <conditionalFormatting sqref="N46:N49">
    <cfRule type="colorScale" priority="34">
      <colorScale>
        <cfvo type="min"/>
        <cfvo type="max"/>
        <color rgb="FFFFFFFF"/>
        <color rgb="FF57BB8A"/>
      </colorScale>
    </cfRule>
  </conditionalFormatting>
  <conditionalFormatting sqref="N49:N77">
    <cfRule type="colorScale" priority="35">
      <colorScale>
        <cfvo type="min"/>
        <cfvo type="max"/>
        <color rgb="FFFFFFFF"/>
        <color rgb="FF57BB8A"/>
      </colorScale>
    </cfRule>
  </conditionalFormatting>
  <conditionalFormatting sqref="O3:O4">
    <cfRule type="colorScale" priority="18">
      <colorScale>
        <cfvo type="min"/>
        <cfvo type="max"/>
        <color rgb="FFFFFFFF"/>
        <color rgb="FF57BB8A"/>
      </colorScale>
    </cfRule>
  </conditionalFormatting>
  <conditionalFormatting sqref="O39:P43">
    <cfRule type="colorScale" priority="4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46:P77">
    <cfRule type="colorScale" priority="3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3:P4">
    <cfRule type="colorScale" priority="19">
      <colorScale>
        <cfvo type="min"/>
        <cfvo type="max"/>
        <color rgb="FF57BB8A"/>
        <color rgb="FFFFFFFF"/>
      </colorScale>
    </cfRule>
  </conditionalFormatting>
  <conditionalFormatting sqref="P34:R34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36:R36">
    <cfRule type="colorScale" priority="2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Q3:Q4">
    <cfRule type="colorScale" priority="20">
      <colorScale>
        <cfvo type="min"/>
        <cfvo type="max"/>
        <color rgb="FF57BB8A"/>
        <color rgb="FFFFFFFF"/>
      </colorScale>
    </cfRule>
  </conditionalFormatting>
  <conditionalFormatting sqref="U24:U29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24:V29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24:AA32 AA34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24:AB32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108" r:id="rId1" xr:uid="{F2A8FC7B-7920-49C4-861D-2A739813821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2025-08-13T12:00:35Z</dcterms:created>
  <dcterms:modified xsi:type="dcterms:W3CDTF">2025-08-13T12:01:24Z</dcterms:modified>
</cp:coreProperties>
</file>