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8_{B515BE30-9513-4E39-8CDE-B44ADFE6D25C}" xr6:coauthVersionLast="47" xr6:coauthVersionMax="47" xr10:uidLastSave="{00000000-0000-0000-0000-000000000000}"/>
  <bookViews>
    <workbookView xWindow="-108" yWindow="-108" windowWidth="23256" windowHeight="12456" xr2:uid="{532440E3-F6E0-4DEE-8AF4-BC2B299776B2}"/>
  </bookViews>
  <sheets>
    <sheet name="Havells" sheetId="1" r:id="rId1"/>
    <sheet name="Consumer Electronics" sheetId="2" r:id="rId2"/>
  </sheets>
  <externalReferences>
    <externalReference r:id="rId3"/>
  </externalReferences>
  <definedNames>
    <definedName name="_xlnm._FilterDatabase" localSheetId="1" hidden="1">'Consumer Electronics'!$B$8:$AB$22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6" i="2" l="1"/>
  <c r="W56" i="2"/>
  <c r="V56" i="2"/>
  <c r="U56" i="2"/>
  <c r="S56" i="2"/>
  <c r="S57" i="2" s="1"/>
  <c r="R56" i="2"/>
  <c r="R57" i="2" s="1"/>
  <c r="Q56" i="2"/>
  <c r="Q57" i="2" s="1"/>
  <c r="P56" i="2"/>
  <c r="T56" i="2" s="1"/>
  <c r="O56" i="2"/>
  <c r="K56" i="2"/>
  <c r="G56" i="2"/>
  <c r="M37" i="2"/>
  <c r="O35" i="2"/>
  <c r="O34" i="2"/>
  <c r="O33" i="2"/>
  <c r="O32" i="2"/>
  <c r="O31" i="2"/>
  <c r="O30" i="2"/>
  <c r="O29" i="2"/>
  <c r="O28" i="2"/>
  <c r="D28" i="2"/>
  <c r="O27" i="2"/>
  <c r="AE24" i="2"/>
  <c r="AC24" i="2"/>
  <c r="X24" i="2"/>
  <c r="AD24" i="2" s="1"/>
  <c r="W24" i="2"/>
  <c r="V24" i="2"/>
  <c r="AA24" i="2" s="1"/>
  <c r="U24" i="2"/>
  <c r="AJ24" i="2" s="1"/>
  <c r="T24" i="2"/>
  <c r="Z24" i="2" s="1"/>
  <c r="S24" i="2"/>
  <c r="Y24" i="2" s="1"/>
  <c r="R24" i="2"/>
  <c r="P24" i="2"/>
  <c r="N24" i="2"/>
  <c r="M24" i="2"/>
  <c r="AF24" i="2" s="1"/>
  <c r="L24" i="2"/>
  <c r="AG24" i="2" s="1"/>
  <c r="K24" i="2"/>
  <c r="J24" i="2"/>
  <c r="I24" i="2"/>
  <c r="AH24" i="2" s="1"/>
  <c r="H24" i="2"/>
  <c r="G24" i="2"/>
  <c r="F24" i="2"/>
  <c r="AO19" i="2"/>
  <c r="AN19" i="2"/>
  <c r="AM19" i="2"/>
  <c r="AL19" i="2"/>
  <c r="AK19" i="2"/>
  <c r="AJ19" i="2"/>
  <c r="AI19" i="2"/>
  <c r="AH19" i="2"/>
  <c r="AG19" i="2"/>
  <c r="AF19" i="2"/>
  <c r="AD19" i="2"/>
  <c r="AC19" i="2"/>
  <c r="AB19" i="2"/>
  <c r="Z19" i="2"/>
  <c r="Y19" i="2"/>
  <c r="AN18" i="2"/>
  <c r="AK18" i="2"/>
  <c r="AJ18" i="2"/>
  <c r="AI18" i="2"/>
  <c r="AH18" i="2"/>
  <c r="AG18" i="2"/>
  <c r="AF18" i="2"/>
  <c r="AD18" i="2"/>
  <c r="AC18" i="2"/>
  <c r="AB18" i="2"/>
  <c r="AA18" i="2"/>
  <c r="Z18" i="2"/>
  <c r="Y18" i="2"/>
  <c r="E18" i="2"/>
  <c r="C18" i="2"/>
  <c r="AM18" i="2" s="1"/>
  <c r="AN17" i="2"/>
  <c r="AO17" i="2" s="1"/>
  <c r="AM17" i="2"/>
  <c r="AL17" i="2"/>
  <c r="AK17" i="2"/>
  <c r="AJ17" i="2"/>
  <c r="AI17" i="2"/>
  <c r="AH17" i="2"/>
  <c r="AG17" i="2"/>
  <c r="AF17" i="2"/>
  <c r="AD17" i="2"/>
  <c r="AB17" i="2"/>
  <c r="Y17" i="2"/>
  <c r="AN16" i="2"/>
  <c r="AK16" i="2"/>
  <c r="AJ16" i="2"/>
  <c r="AI16" i="2"/>
  <c r="AH16" i="2"/>
  <c r="AG16" i="2"/>
  <c r="AF16" i="2"/>
  <c r="AD16" i="2"/>
  <c r="AC16" i="2"/>
  <c r="AB16" i="2"/>
  <c r="Z16" i="2"/>
  <c r="Y16" i="2"/>
  <c r="E16" i="2"/>
  <c r="C16" i="2"/>
  <c r="AL16" i="2" s="1"/>
  <c r="AN15" i="2"/>
  <c r="AK15" i="2"/>
  <c r="AJ15" i="2"/>
  <c r="AI15" i="2"/>
  <c r="AH15" i="2"/>
  <c r="AG15" i="2"/>
  <c r="AF15" i="2"/>
  <c r="AD15" i="2"/>
  <c r="AC15" i="2"/>
  <c r="AB15" i="2"/>
  <c r="Z15" i="2"/>
  <c r="Y15" i="2"/>
  <c r="E15" i="2"/>
  <c r="C15" i="2"/>
  <c r="AM15" i="2" s="1"/>
  <c r="AN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E14" i="2"/>
  <c r="C14" i="2"/>
  <c r="AM14" i="2" s="1"/>
  <c r="AN13" i="2"/>
  <c r="AM13" i="2"/>
  <c r="AK13" i="2"/>
  <c r="AJ13" i="2"/>
  <c r="AI13" i="2"/>
  <c r="AH13" i="2"/>
  <c r="AG13" i="2"/>
  <c r="AF13" i="2"/>
  <c r="AE13" i="2"/>
  <c r="AD13" i="2"/>
  <c r="AB13" i="2"/>
  <c r="Y13" i="2"/>
  <c r="E13" i="2"/>
  <c r="C13" i="2"/>
  <c r="AO13" i="2" s="1"/>
  <c r="AN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E12" i="2"/>
  <c r="C12" i="2"/>
  <c r="AO12" i="2" s="1"/>
  <c r="AN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E11" i="2"/>
  <c r="C11" i="2"/>
  <c r="AL11" i="2" s="1"/>
  <c r="AN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E10" i="2"/>
  <c r="C10" i="2"/>
  <c r="AM10" i="2" s="1"/>
  <c r="AN9" i="2"/>
  <c r="AN24" i="2" s="1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E9" i="2"/>
  <c r="C9" i="2"/>
  <c r="AM9" i="2" s="1"/>
  <c r="L6" i="2"/>
  <c r="K6" i="2"/>
  <c r="J6" i="2"/>
  <c r="I6" i="2"/>
  <c r="L58" i="1"/>
  <c r="K58" i="1"/>
  <c r="H58" i="1"/>
  <c r="L57" i="1"/>
  <c r="K57" i="1"/>
  <c r="H57" i="1"/>
  <c r="L56" i="1"/>
  <c r="K56" i="1"/>
  <c r="H56" i="1"/>
  <c r="L55" i="1"/>
  <c r="K55" i="1"/>
  <c r="H55" i="1"/>
  <c r="L54" i="1"/>
  <c r="K54" i="1"/>
  <c r="H54" i="1"/>
  <c r="L53" i="1"/>
  <c r="K53" i="1"/>
  <c r="H53" i="1"/>
  <c r="L52" i="1"/>
  <c r="K52" i="1"/>
  <c r="H52" i="1"/>
  <c r="R51" i="1"/>
  <c r="Q51" i="1"/>
  <c r="S51" i="1" s="1"/>
  <c r="P51" i="1"/>
  <c r="R47" i="1" s="1"/>
  <c r="L51" i="1"/>
  <c r="K51" i="1"/>
  <c r="H51" i="1"/>
  <c r="L50" i="1"/>
  <c r="K50" i="1"/>
  <c r="H50" i="1"/>
  <c r="S49" i="1"/>
  <c r="R49" i="1"/>
  <c r="L49" i="1"/>
  <c r="K49" i="1"/>
  <c r="H49" i="1"/>
  <c r="S48" i="1"/>
  <c r="R48" i="1"/>
  <c r="L48" i="1"/>
  <c r="K48" i="1"/>
  <c r="H48" i="1"/>
  <c r="S47" i="1"/>
  <c r="L47" i="1"/>
  <c r="K47" i="1"/>
  <c r="H47" i="1"/>
  <c r="S46" i="1"/>
  <c r="R46" i="1"/>
  <c r="L46" i="1"/>
  <c r="K46" i="1"/>
  <c r="H46" i="1"/>
  <c r="S45" i="1"/>
  <c r="R45" i="1"/>
  <c r="L45" i="1"/>
  <c r="K45" i="1"/>
  <c r="H45" i="1"/>
  <c r="S44" i="1"/>
  <c r="R44" i="1"/>
  <c r="L44" i="1"/>
  <c r="K44" i="1"/>
  <c r="H44" i="1"/>
  <c r="S43" i="1"/>
  <c r="R43" i="1"/>
  <c r="L43" i="1"/>
  <c r="K43" i="1"/>
  <c r="H43" i="1"/>
  <c r="S42" i="1"/>
  <c r="R42" i="1"/>
  <c r="L42" i="1"/>
  <c r="K42" i="1"/>
  <c r="H42" i="1"/>
  <c r="L41" i="1"/>
  <c r="K41" i="1"/>
  <c r="H41" i="1"/>
  <c r="L40" i="1"/>
  <c r="K40" i="1"/>
  <c r="H40" i="1"/>
  <c r="R39" i="1"/>
  <c r="Q39" i="1"/>
  <c r="S39" i="1" s="1"/>
  <c r="P39" i="1"/>
  <c r="L39" i="1"/>
  <c r="K39" i="1"/>
  <c r="H39" i="1"/>
  <c r="L38" i="1"/>
  <c r="K38" i="1"/>
  <c r="H38" i="1"/>
  <c r="S37" i="1"/>
  <c r="R37" i="1"/>
  <c r="L37" i="1"/>
  <c r="K37" i="1"/>
  <c r="H37" i="1"/>
  <c r="S36" i="1"/>
  <c r="R36" i="1"/>
  <c r="L36" i="1"/>
  <c r="L22" i="1" s="1"/>
  <c r="K36" i="1"/>
  <c r="K23" i="1" s="1"/>
  <c r="H36" i="1"/>
  <c r="S35" i="1"/>
  <c r="R35" i="1"/>
  <c r="L35" i="1"/>
  <c r="K35" i="1"/>
  <c r="H35" i="1"/>
  <c r="S34" i="1"/>
  <c r="R34" i="1"/>
  <c r="L34" i="1"/>
  <c r="K34" i="1"/>
  <c r="H34" i="1"/>
  <c r="S33" i="1"/>
  <c r="R33" i="1"/>
  <c r="L33" i="1"/>
  <c r="K33" i="1"/>
  <c r="H33" i="1"/>
  <c r="S32" i="1"/>
  <c r="R32" i="1"/>
  <c r="L32" i="1"/>
  <c r="K32" i="1"/>
  <c r="H32" i="1"/>
  <c r="L31" i="1"/>
  <c r="K31" i="1"/>
  <c r="K24" i="1" s="1"/>
  <c r="H31" i="1"/>
  <c r="H23" i="1" s="1"/>
  <c r="L30" i="1"/>
  <c r="K30" i="1"/>
  <c r="H30" i="1"/>
  <c r="L29" i="1"/>
  <c r="K29" i="1"/>
  <c r="H29" i="1"/>
  <c r="AA28" i="1"/>
  <c r="AB28" i="1" s="1"/>
  <c r="Z28" i="1"/>
  <c r="V28" i="1"/>
  <c r="U28" i="1"/>
  <c r="W28" i="1" s="1"/>
  <c r="Q28" i="1"/>
  <c r="P28" i="1"/>
  <c r="H9" i="1" s="1"/>
  <c r="L28" i="1"/>
  <c r="K28" i="1"/>
  <c r="E28" i="1"/>
  <c r="H28" i="1" s="1"/>
  <c r="D28" i="1"/>
  <c r="AA27" i="1"/>
  <c r="Z27" i="1"/>
  <c r="AB27" i="1" s="1"/>
  <c r="W27" i="1"/>
  <c r="V27" i="1"/>
  <c r="U27" i="1"/>
  <c r="Q27" i="1"/>
  <c r="R27" i="1" s="1"/>
  <c r="P27" i="1"/>
  <c r="AB26" i="1"/>
  <c r="W26" i="1"/>
  <c r="R26" i="1"/>
  <c r="J26" i="1"/>
  <c r="I26" i="1"/>
  <c r="F26" i="1"/>
  <c r="AB25" i="1"/>
  <c r="W25" i="1"/>
  <c r="R25" i="1"/>
  <c r="M25" i="1"/>
  <c r="L25" i="1"/>
  <c r="K25" i="1"/>
  <c r="J25" i="1"/>
  <c r="I25" i="1"/>
  <c r="H25" i="1"/>
  <c r="G25" i="1"/>
  <c r="F25" i="1"/>
  <c r="E25" i="1"/>
  <c r="D25" i="1"/>
  <c r="AB24" i="1"/>
  <c r="W24" i="1"/>
  <c r="R24" i="1"/>
  <c r="M24" i="1"/>
  <c r="L24" i="1"/>
  <c r="J24" i="1"/>
  <c r="I24" i="1"/>
  <c r="G24" i="1"/>
  <c r="F24" i="1"/>
  <c r="E24" i="1"/>
  <c r="D24" i="1"/>
  <c r="B24" i="1"/>
  <c r="AB23" i="1"/>
  <c r="W23" i="1"/>
  <c r="R23" i="1"/>
  <c r="M23" i="1"/>
  <c r="J23" i="1"/>
  <c r="I23" i="1"/>
  <c r="G23" i="1"/>
  <c r="F23" i="1"/>
  <c r="E23" i="1"/>
  <c r="D23" i="1"/>
  <c r="AB22" i="1"/>
  <c r="W22" i="1"/>
  <c r="R22" i="1"/>
  <c r="M22" i="1"/>
  <c r="J22" i="1"/>
  <c r="I22" i="1"/>
  <c r="G22" i="1"/>
  <c r="F22" i="1"/>
  <c r="E22" i="1"/>
  <c r="D22" i="1"/>
  <c r="AB21" i="1"/>
  <c r="W21" i="1"/>
  <c r="R21" i="1"/>
  <c r="M21" i="1"/>
  <c r="L21" i="1"/>
  <c r="J21" i="1"/>
  <c r="I21" i="1"/>
  <c r="G21" i="1"/>
  <c r="F21" i="1"/>
  <c r="E21" i="1"/>
  <c r="E17" i="1" s="1"/>
  <c r="D21" i="1"/>
  <c r="D17" i="1" s="1"/>
  <c r="D13" i="1" s="1"/>
  <c r="P18" i="1"/>
  <c r="R16" i="1"/>
  <c r="F14" i="1"/>
  <c r="G14" i="1" s="1"/>
  <c r="E14" i="1"/>
  <c r="E18" i="1" s="1"/>
  <c r="D14" i="1"/>
  <c r="N13" i="1"/>
  <c r="S9" i="1"/>
  <c r="R9" i="1"/>
  <c r="Q9" i="1"/>
  <c r="P9" i="1"/>
  <c r="N9" i="1"/>
  <c r="K9" i="1"/>
  <c r="J9" i="1"/>
  <c r="I9" i="1"/>
  <c r="G9" i="1"/>
  <c r="F9" i="1"/>
  <c r="E9" i="1"/>
  <c r="D9" i="1"/>
  <c r="C9" i="1"/>
  <c r="B9" i="1"/>
  <c r="W5" i="1"/>
  <c r="U5" i="1"/>
  <c r="T5" i="1"/>
  <c r="R5" i="1"/>
  <c r="Q5" i="1"/>
  <c r="P5" i="1"/>
  <c r="O5" i="1"/>
  <c r="N5" i="1"/>
  <c r="M5" i="1"/>
  <c r="K5" i="1"/>
  <c r="J5" i="1"/>
  <c r="I5" i="1"/>
  <c r="H5" i="1"/>
  <c r="G5" i="1"/>
  <c r="F5" i="1"/>
  <c r="V4" i="1"/>
  <c r="L4" i="1"/>
  <c r="G4" i="1"/>
  <c r="F4" i="1"/>
  <c r="E4" i="1"/>
  <c r="V3" i="1"/>
  <c r="V5" i="1" s="1"/>
  <c r="L3" i="1"/>
  <c r="L5" i="1" s="1"/>
  <c r="G3" i="1"/>
  <c r="F3" i="1"/>
  <c r="E3" i="1"/>
  <c r="E5" i="1" s="1"/>
  <c r="D3" i="1"/>
  <c r="D4" i="1" s="1"/>
  <c r="C3" i="1"/>
  <c r="R18" i="1" s="1"/>
  <c r="S16" i="1" s="1"/>
  <c r="AO14" i="2" l="1"/>
  <c r="E24" i="2"/>
  <c r="M9" i="1"/>
  <c r="AL10" i="2"/>
  <c r="AL13" i="2"/>
  <c r="AO10" i="2"/>
  <c r="AO11" i="2"/>
  <c r="AL12" i="2"/>
  <c r="AM11" i="2"/>
  <c r="AM16" i="2"/>
  <c r="AK24" i="2"/>
  <c r="AL9" i="2"/>
  <c r="AO15" i="2"/>
  <c r="AO18" i="2"/>
  <c r="C24" i="2"/>
  <c r="AM12" i="2"/>
  <c r="AO9" i="2"/>
  <c r="P57" i="2"/>
  <c r="AL14" i="2"/>
  <c r="AL15" i="2"/>
  <c r="AL18" i="2"/>
  <c r="AI24" i="2"/>
  <c r="AO16" i="2"/>
  <c r="AB24" i="2"/>
  <c r="D12" i="1"/>
  <c r="H22" i="1"/>
  <c r="L23" i="1"/>
  <c r="L26" i="1" s="1"/>
  <c r="L9" i="1"/>
  <c r="R28" i="1"/>
  <c r="H21" i="1"/>
  <c r="G17" i="1" s="1"/>
  <c r="E13" i="1" s="1"/>
  <c r="K22" i="1"/>
  <c r="H24" i="1"/>
  <c r="C5" i="1"/>
  <c r="D5" i="1"/>
  <c r="Q18" i="1"/>
  <c r="K21" i="1"/>
  <c r="K26" i="1" s="1"/>
  <c r="AO24" i="2" l="1"/>
  <c r="AM24" i="2"/>
  <c r="AL24" i="2"/>
  <c r="F13" i="1"/>
  <c r="E12" i="1"/>
  <c r="M26" i="1"/>
  <c r="F12" i="1" l="1"/>
  <c r="G12" i="1" s="1"/>
  <c r="G13" i="1"/>
</calcChain>
</file>

<file path=xl/sharedStrings.xml><?xml version="1.0" encoding="utf-8"?>
<sst xmlns="http://schemas.openxmlformats.org/spreadsheetml/2006/main" count="518" uniqueCount="224">
  <si>
    <t>INCOME</t>
  </si>
  <si>
    <t>BALANCESHEET</t>
  </si>
  <si>
    <t>CASHFLOW</t>
  </si>
  <si>
    <t>Company</t>
  </si>
  <si>
    <t>Price</t>
  </si>
  <si>
    <t>Marketcap</t>
  </si>
  <si>
    <t>Sales</t>
  </si>
  <si>
    <t>Profit</t>
  </si>
  <si>
    <t>TRAIL_EPS</t>
  </si>
  <si>
    <t>FV</t>
  </si>
  <si>
    <t>Equity</t>
  </si>
  <si>
    <t>Reserve</t>
  </si>
  <si>
    <t>DEBT</t>
  </si>
  <si>
    <t>LEASE</t>
  </si>
  <si>
    <t>CUR.ASSETS</t>
  </si>
  <si>
    <t>CUR.LIABILITIES</t>
  </si>
  <si>
    <t>ASSETS</t>
  </si>
  <si>
    <t>LIABILITIES</t>
  </si>
  <si>
    <t>TRADE REC</t>
  </si>
  <si>
    <t>PPE</t>
  </si>
  <si>
    <t>CFO</t>
  </si>
  <si>
    <t>CFI</t>
  </si>
  <si>
    <t>CFF</t>
  </si>
  <si>
    <t>NETCASHFLOW</t>
  </si>
  <si>
    <t>HAVELLS</t>
  </si>
  <si>
    <t>LAST YEAR_24</t>
  </si>
  <si>
    <t>GROWTH</t>
  </si>
  <si>
    <t>LIQUIDITY</t>
  </si>
  <si>
    <t>SOLVENCY</t>
  </si>
  <si>
    <t>PROFITABILITY</t>
  </si>
  <si>
    <t>VALUATIONS</t>
  </si>
  <si>
    <t>SALES GROWTH</t>
  </si>
  <si>
    <t>P-MARGIN</t>
  </si>
  <si>
    <t>CUR.RATIO</t>
  </si>
  <si>
    <t>TRADE REC DAY</t>
  </si>
  <si>
    <t>DEBT2EQUITY</t>
  </si>
  <si>
    <t>DEBTRATIO</t>
  </si>
  <si>
    <t>ICR</t>
  </si>
  <si>
    <t>ROE</t>
  </si>
  <si>
    <t>ROPE</t>
  </si>
  <si>
    <t>ROA</t>
  </si>
  <si>
    <t>F_PE</t>
  </si>
  <si>
    <t>YIELD</t>
  </si>
  <si>
    <t>BOOKVALUE</t>
  </si>
  <si>
    <t>PBV</t>
  </si>
  <si>
    <t>PEG</t>
  </si>
  <si>
    <t>OCFR</t>
  </si>
  <si>
    <t>CFD</t>
  </si>
  <si>
    <t>FCF (INC R)</t>
  </si>
  <si>
    <t>Expecrtation</t>
  </si>
  <si>
    <t>Year</t>
  </si>
  <si>
    <t>EPS</t>
  </si>
  <si>
    <t>FairValue</t>
  </si>
  <si>
    <t>fy_2035</t>
  </si>
  <si>
    <t>Q3</t>
  </si>
  <si>
    <t>Q4</t>
  </si>
  <si>
    <t>Q1</t>
  </si>
  <si>
    <t>Q2</t>
  </si>
  <si>
    <t>TRAIL-EPS</t>
  </si>
  <si>
    <t>fy_2030</t>
  </si>
  <si>
    <t>fy_2025</t>
  </si>
  <si>
    <t>Current Trend</t>
  </si>
  <si>
    <t>9M_FY_24</t>
  </si>
  <si>
    <t>FY_24</t>
  </si>
  <si>
    <t>Q1_FY_25</t>
  </si>
  <si>
    <t>H1_FY_25</t>
  </si>
  <si>
    <t>EST_2025</t>
  </si>
  <si>
    <t>EPS_24</t>
  </si>
  <si>
    <t>T_EPS_24</t>
  </si>
  <si>
    <t>F_EPS_25</t>
  </si>
  <si>
    <t>F_PEG</t>
  </si>
  <si>
    <t>Estimation</t>
  </si>
  <si>
    <t>MARGIN</t>
  </si>
  <si>
    <t>Long Term</t>
  </si>
  <si>
    <t>PE_24</t>
  </si>
  <si>
    <t>T_PE</t>
  </si>
  <si>
    <t>F_PE_25</t>
  </si>
  <si>
    <t>Growth</t>
  </si>
  <si>
    <t>Margin</t>
  </si>
  <si>
    <t>HIgh Price</t>
  </si>
  <si>
    <t>Low Price</t>
  </si>
  <si>
    <t>HIgh PE</t>
  </si>
  <si>
    <t>Low PE</t>
  </si>
  <si>
    <t>RESULT</t>
  </si>
  <si>
    <t>H1_FY_24</t>
  </si>
  <si>
    <t>Q2_FY_25</t>
  </si>
  <si>
    <t>Q2_FY_24</t>
  </si>
  <si>
    <t>Q1_FY_24</t>
  </si>
  <si>
    <t>20 Years</t>
  </si>
  <si>
    <t>15 Year</t>
  </si>
  <si>
    <t>Finance cost</t>
  </si>
  <si>
    <t>10 Years</t>
  </si>
  <si>
    <t>Expenses</t>
  </si>
  <si>
    <t>5 Years</t>
  </si>
  <si>
    <t>CYear</t>
  </si>
  <si>
    <t>Actuual Data</t>
  </si>
  <si>
    <t>TRAIL_FY25</t>
  </si>
  <si>
    <t>I.C.R</t>
  </si>
  <si>
    <t>FY_2024</t>
  </si>
  <si>
    <t>FY_2023</t>
  </si>
  <si>
    <t>FY_2022</t>
  </si>
  <si>
    <t>Segment Wise Revenue</t>
  </si>
  <si>
    <t>Share</t>
  </si>
  <si>
    <t>FY_2021</t>
  </si>
  <si>
    <t>Cable</t>
  </si>
  <si>
    <t>FY_2020</t>
  </si>
  <si>
    <t>Ele. Con. Durable</t>
  </si>
  <si>
    <t>FY_2019</t>
  </si>
  <si>
    <t>Lloyd Consumer</t>
  </si>
  <si>
    <t>FY_2018</t>
  </si>
  <si>
    <t>SwithGear</t>
  </si>
  <si>
    <t>FY_2017</t>
  </si>
  <si>
    <t>Lighiting &amp; Fixture</t>
  </si>
  <si>
    <t>FY_2016</t>
  </si>
  <si>
    <t>Others</t>
  </si>
  <si>
    <t>Split 5:1</t>
  </si>
  <si>
    <t>FY_2015</t>
  </si>
  <si>
    <t>FY_2014</t>
  </si>
  <si>
    <t>Total</t>
  </si>
  <si>
    <t>FY_2013</t>
  </si>
  <si>
    <t>FY_2012</t>
  </si>
  <si>
    <t>Major Cost</t>
  </si>
  <si>
    <t>Bonus 1:1</t>
  </si>
  <si>
    <t>FY_2011</t>
  </si>
  <si>
    <t>RawMaterial</t>
  </si>
  <si>
    <t>FY_2010</t>
  </si>
  <si>
    <t>Traded Goods</t>
  </si>
  <si>
    <t>FY_2009</t>
  </si>
  <si>
    <t>OTHERS</t>
  </si>
  <si>
    <t>FY_2008</t>
  </si>
  <si>
    <t>Employee cost</t>
  </si>
  <si>
    <t>Bonus1:1</t>
  </si>
  <si>
    <t>FY_2007</t>
  </si>
  <si>
    <t>ADVERTISIMENT</t>
  </si>
  <si>
    <t>FY_2006</t>
  </si>
  <si>
    <t>D&amp;A</t>
  </si>
  <si>
    <t>FY_2005</t>
  </si>
  <si>
    <t>Finance</t>
  </si>
  <si>
    <t>Split 10:5</t>
  </si>
  <si>
    <t>FY_2004</t>
  </si>
  <si>
    <t>Inventory Change</t>
  </si>
  <si>
    <t>FY_2003</t>
  </si>
  <si>
    <t>FY_2002</t>
  </si>
  <si>
    <t>FY_2001</t>
  </si>
  <si>
    <t>FY_2000</t>
  </si>
  <si>
    <t>FY_1999</t>
  </si>
  <si>
    <t>FY_1998</t>
  </si>
  <si>
    <t>FY_1997</t>
  </si>
  <si>
    <t>FY_1996</t>
  </si>
  <si>
    <t>FY_1995</t>
  </si>
  <si>
    <t>WWW.PROFITFROMIT.IN</t>
  </si>
  <si>
    <t>CONSUMER ELECTRONICS</t>
  </si>
  <si>
    <t>INDUSTRY</t>
  </si>
  <si>
    <t>Market Cap</t>
  </si>
  <si>
    <t>EQUITY</t>
  </si>
  <si>
    <t>TOT. EQUITY</t>
  </si>
  <si>
    <t>BORROWING</t>
  </si>
  <si>
    <t>TOT. ASSET</t>
  </si>
  <si>
    <t>Sales_18</t>
  </si>
  <si>
    <t>SALES_23</t>
  </si>
  <si>
    <t>TRAIL_SALES</t>
  </si>
  <si>
    <t>PROFIT_23</t>
  </si>
  <si>
    <t>TRAIL_PROFIT</t>
  </si>
  <si>
    <t>CUR. RATIO</t>
  </si>
  <si>
    <t>TR.DAYS</t>
  </si>
  <si>
    <t>TRAIL_PE</t>
  </si>
  <si>
    <t>Consmer Electronics</t>
  </si>
  <si>
    <t>COMPANIES</t>
  </si>
  <si>
    <t>LTP</t>
  </si>
  <si>
    <t>UPDATE DATE</t>
  </si>
  <si>
    <t>CUR ASSET</t>
  </si>
  <si>
    <t>CUR LIABILITY</t>
  </si>
  <si>
    <t>TOT. LIABILITY</t>
  </si>
  <si>
    <t>RESERVE</t>
  </si>
  <si>
    <t>TRADE REC.</t>
  </si>
  <si>
    <t>NPA in % (For banks only)</t>
  </si>
  <si>
    <t>Companies weightage</t>
  </si>
  <si>
    <t>FINANCE</t>
  </si>
  <si>
    <t>EXPENSE</t>
  </si>
  <si>
    <t>SALES GR.5YRS</t>
  </si>
  <si>
    <t>SALES CY</t>
  </si>
  <si>
    <t>PROFIT CY</t>
  </si>
  <si>
    <t>MARGIN_23</t>
  </si>
  <si>
    <t>TRAIL_MARGIN%</t>
  </si>
  <si>
    <t>DIXON</t>
  </si>
  <si>
    <t>SYMPHONY</t>
  </si>
  <si>
    <t>PGEL</t>
  </si>
  <si>
    <t>IKIO</t>
  </si>
  <si>
    <t>HPL</t>
  </si>
  <si>
    <t>BPL</t>
  </si>
  <si>
    <t>MIRCELECTR</t>
  </si>
  <si>
    <t>CWD</t>
  </si>
  <si>
    <t>VETO</t>
  </si>
  <si>
    <t>CALCOM</t>
  </si>
  <si>
    <t>COMRADE</t>
  </si>
  <si>
    <t>KHAITANLTD</t>
  </si>
  <si>
    <t>VXLINSTR</t>
  </si>
  <si>
    <t>CABLE INDUSTRY SIZE</t>
  </si>
  <si>
    <t>IN CR</t>
  </si>
  <si>
    <t>INDUSTRY SIZE</t>
  </si>
  <si>
    <t>YEAR 2014</t>
  </si>
  <si>
    <t>YEAR 2018</t>
  </si>
  <si>
    <t>YEAR 2023</t>
  </si>
  <si>
    <t>CABLE IN CR</t>
  </si>
  <si>
    <t>CABLE_SEGMENT%</t>
  </si>
  <si>
    <t>MSHARE</t>
  </si>
  <si>
    <t>ORGANISED</t>
  </si>
  <si>
    <t>POLYCAB</t>
  </si>
  <si>
    <t>YEAR 2023 EST</t>
  </si>
  <si>
    <t>UNORGANISED</t>
  </si>
  <si>
    <t>GUPTA POWER</t>
  </si>
  <si>
    <t>FINOLEX CABLES</t>
  </si>
  <si>
    <t>KEI INDUSTRIES</t>
  </si>
  <si>
    <t>RRKABEL</t>
  </si>
  <si>
    <t>APAR INDUSTRIES</t>
  </si>
  <si>
    <t>KEC INTERNATIONAL</t>
  </si>
  <si>
    <t>VGUARD</t>
  </si>
  <si>
    <t>PROFIT MARGIN</t>
  </si>
  <si>
    <t>CURRENT RATIO</t>
  </si>
  <si>
    <t>TRADE DAYTS</t>
  </si>
  <si>
    <t>MARGIN %</t>
  </si>
  <si>
    <t>DEBT 2 EQUITY</t>
  </si>
  <si>
    <t>PE</t>
  </si>
  <si>
    <t>CONCLUSION: HAVELLS IS BEST AMONG ALL COMPANIES IN QUALITY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</si>
</sst>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#,##0.0"/>
    <numFmt numFmtId="167" formatCode="mmm\ \-\ d"/>
  </numFmts>
  <fonts count="24" x14ac:knownFonts="1">
    <font>
      <sz val="10"/>
      <color rgb="FF000000"/>
      <name val="Calibri"/>
      <scheme val="minor"/>
    </font>
    <font>
      <sz val="10"/>
      <color rgb="FFFFFFFF"/>
      <name val="Arial"/>
    </font>
    <font>
      <sz val="11"/>
      <color rgb="FF000000"/>
      <name val="Calibri"/>
    </font>
    <font>
      <sz val="10"/>
      <color theme="1"/>
      <name val="Calibri"/>
      <scheme val="minor"/>
    </font>
    <font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i/>
      <sz val="11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sz val="27"/>
      <color theme="1"/>
      <name val="Calibri"/>
      <scheme val="minor"/>
    </font>
    <font>
      <sz val="11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scheme val="minor"/>
    </font>
    <font>
      <b/>
      <i/>
      <u/>
      <sz val="10"/>
      <color theme="1"/>
      <name val="Calibri"/>
      <scheme val="minor"/>
    </font>
    <font>
      <b/>
      <u/>
      <sz val="10"/>
      <color theme="1"/>
      <name val="Calibri"/>
      <scheme val="minor"/>
    </font>
    <font>
      <u/>
      <sz val="10"/>
      <color rgb="FFFFFFFF"/>
      <name val="Arial"/>
    </font>
    <font>
      <sz val="10"/>
      <name val="Arial"/>
    </font>
    <font>
      <sz val="11"/>
      <color rgb="FFFFFFFF"/>
      <name val="Inconsolata"/>
    </font>
    <font>
      <b/>
      <sz val="11"/>
      <color rgb="FFFFFFFF"/>
      <name val="Inconsolata"/>
    </font>
    <font>
      <sz val="11"/>
      <color rgb="FF000000"/>
      <name val="Inconsolata"/>
    </font>
    <font>
      <sz val="11"/>
      <color rgb="FF7E3794"/>
      <name val="Inconsolata"/>
    </font>
    <font>
      <sz val="11"/>
      <color theme="1"/>
      <name val="Inconsolata"/>
    </font>
    <font>
      <b/>
      <u/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4C1130"/>
        <bgColor rgb="FF4C1130"/>
      </patternFill>
    </fill>
    <fill>
      <patternFill patternType="solid">
        <fgColor rgb="FF7F6000"/>
        <bgColor rgb="FF7F6000"/>
      </patternFill>
    </fill>
    <fill>
      <patternFill patternType="solid">
        <fgColor rgb="FFEEF8F3"/>
        <bgColor rgb="FFEEF8F3"/>
      </patternFill>
    </fill>
    <fill>
      <patternFill patternType="solid">
        <fgColor rgb="FFFCFEFD"/>
        <bgColor rgb="FFFCFEFD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80000"/>
      </left>
      <right/>
      <top style="thin">
        <color rgb="FF980000"/>
      </top>
      <bottom style="thin">
        <color rgb="FF000000"/>
      </bottom>
      <diagonal/>
    </border>
    <border>
      <left/>
      <right/>
      <top style="thin">
        <color rgb="FF980000"/>
      </top>
      <bottom style="thin">
        <color rgb="FF000000"/>
      </bottom>
      <diagonal/>
    </border>
    <border>
      <left/>
      <right style="thin">
        <color rgb="FF000000"/>
      </right>
      <top style="thin">
        <color rgb="FF980000"/>
      </top>
      <bottom style="thin">
        <color rgb="FF000000"/>
      </bottom>
      <diagonal/>
    </border>
    <border>
      <left style="thin">
        <color rgb="FF980000"/>
      </left>
      <right style="thin">
        <color rgb="FF000000"/>
      </right>
      <top style="thin">
        <color rgb="FF980000"/>
      </top>
      <bottom style="thin">
        <color rgb="FF000000"/>
      </bottom>
      <diagonal/>
    </border>
    <border>
      <left style="thin">
        <color rgb="FF980000"/>
      </left>
      <right style="thin">
        <color rgb="FF980000"/>
      </right>
      <top style="thin">
        <color rgb="FF980000"/>
      </top>
      <bottom style="thin">
        <color rgb="FF980000"/>
      </bottom>
      <diagonal/>
    </border>
    <border>
      <left style="thin">
        <color rgb="FF980000"/>
      </left>
      <right/>
      <top style="thin">
        <color rgb="FF980000"/>
      </top>
      <bottom/>
      <diagonal/>
    </border>
    <border>
      <left/>
      <right/>
      <top style="thin">
        <color rgb="FF980000"/>
      </top>
      <bottom/>
      <diagonal/>
    </border>
    <border>
      <left/>
      <right style="thin">
        <color rgb="FF000000"/>
      </right>
      <top style="thin">
        <color rgb="FF980000"/>
      </top>
      <bottom/>
      <diagonal/>
    </border>
    <border>
      <left style="thin">
        <color rgb="FF98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164" fontId="2" fillId="0" borderId="1" xfId="0" applyNumberFormat="1" applyFont="1" applyBorder="1"/>
    <xf numFmtId="9" fontId="2" fillId="0" borderId="1" xfId="0" applyNumberFormat="1" applyFont="1" applyBorder="1"/>
    <xf numFmtId="0" fontId="2" fillId="0" borderId="0" xfId="0" applyFont="1"/>
    <xf numFmtId="0" fontId="1" fillId="2" borderId="0" xfId="0" applyFont="1" applyFill="1"/>
    <xf numFmtId="0" fontId="4" fillId="2" borderId="2" xfId="0" applyFont="1" applyFill="1" applyBorder="1"/>
    <xf numFmtId="0" fontId="5" fillId="0" borderId="2" xfId="0" applyFont="1" applyBorder="1"/>
    <xf numFmtId="0" fontId="4" fillId="2" borderId="3" xfId="0" applyFont="1" applyFill="1" applyBorder="1"/>
    <xf numFmtId="0" fontId="4" fillId="2" borderId="4" xfId="0" applyFont="1" applyFill="1" applyBorder="1"/>
    <xf numFmtId="9" fontId="3" fillId="0" borderId="0" xfId="0" applyNumberFormat="1" applyFont="1"/>
    <xf numFmtId="9" fontId="6" fillId="3" borderId="1" xfId="0" applyNumberFormat="1" applyFont="1" applyFill="1" applyBorder="1" applyAlignment="1">
      <alignment horizontal="right"/>
    </xf>
    <xf numFmtId="165" fontId="6" fillId="3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3" fontId="6" fillId="3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right"/>
    </xf>
    <xf numFmtId="3" fontId="7" fillId="3" borderId="4" xfId="0" applyNumberFormat="1" applyFont="1" applyFill="1" applyBorder="1" applyAlignment="1">
      <alignment horizontal="right"/>
    </xf>
    <xf numFmtId="0" fontId="8" fillId="0" borderId="0" xfId="0" applyFont="1"/>
    <xf numFmtId="0" fontId="8" fillId="0" borderId="1" xfId="0" applyFont="1" applyBorder="1" applyAlignment="1">
      <alignment horizontal="left"/>
    </xf>
    <xf numFmtId="3" fontId="8" fillId="4" borderId="1" xfId="0" applyNumberFormat="1" applyFont="1" applyFill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166" fontId="8" fillId="4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8" fillId="0" borderId="1" xfId="0" applyFont="1" applyBorder="1"/>
    <xf numFmtId="9" fontId="8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164" fontId="10" fillId="3" borderId="0" xfId="0" applyNumberFormat="1" applyFont="1" applyFill="1" applyAlignment="1">
      <alignment horizontal="center" vertical="center"/>
    </xf>
    <xf numFmtId="165" fontId="3" fillId="0" borderId="1" xfId="0" applyNumberFormat="1" applyFont="1" applyBorder="1"/>
    <xf numFmtId="0" fontId="0" fillId="0" borderId="0" xfId="0"/>
    <xf numFmtId="165" fontId="8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horizontal="center"/>
    </xf>
    <xf numFmtId="9" fontId="1" fillId="2" borderId="1" xfId="0" applyNumberFormat="1" applyFont="1" applyFill="1" applyBorder="1"/>
    <xf numFmtId="3" fontId="8" fillId="0" borderId="1" xfId="0" applyNumberFormat="1" applyFont="1" applyBorder="1" applyAlignment="1">
      <alignment horizontal="right"/>
    </xf>
    <xf numFmtId="0" fontId="11" fillId="0" borderId="1" xfId="0" applyFont="1" applyBorder="1"/>
    <xf numFmtId="9" fontId="11" fillId="0" borderId="1" xfId="0" applyNumberFormat="1" applyFont="1" applyBorder="1"/>
    <xf numFmtId="1" fontId="8" fillId="0" borderId="1" xfId="0" applyNumberFormat="1" applyFont="1" applyBorder="1"/>
    <xf numFmtId="1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1" fillId="2" borderId="1" xfId="0" applyFont="1" applyFill="1" applyBorder="1" applyAlignment="1">
      <alignment horizontal="left"/>
    </xf>
    <xf numFmtId="165" fontId="12" fillId="0" borderId="1" xfId="0" applyNumberFormat="1" applyFont="1" applyBorder="1"/>
    <xf numFmtId="165" fontId="1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5" borderId="1" xfId="0" applyFont="1" applyFill="1" applyBorder="1"/>
    <xf numFmtId="1" fontId="3" fillId="5" borderId="1" xfId="0" applyNumberFormat="1" applyFont="1" applyFill="1" applyBorder="1"/>
    <xf numFmtId="164" fontId="3" fillId="0" borderId="1" xfId="0" applyNumberFormat="1" applyFont="1" applyBorder="1"/>
    <xf numFmtId="1" fontId="3" fillId="0" borderId="1" xfId="0" applyNumberFormat="1" applyFont="1" applyBorder="1"/>
    <xf numFmtId="0" fontId="3" fillId="6" borderId="1" xfId="0" applyFont="1" applyFill="1" applyBorder="1"/>
    <xf numFmtId="166" fontId="13" fillId="0" borderId="1" xfId="0" applyNumberFormat="1" applyFont="1" applyBorder="1"/>
    <xf numFmtId="9" fontId="3" fillId="0" borderId="1" xfId="0" applyNumberFormat="1" applyFont="1" applyBorder="1"/>
    <xf numFmtId="1" fontId="3" fillId="6" borderId="1" xfId="0" applyNumberFormat="1" applyFont="1" applyFill="1" applyBorder="1"/>
    <xf numFmtId="0" fontId="14" fillId="0" borderId="5" xfId="0" applyFont="1" applyBorder="1"/>
    <xf numFmtId="3" fontId="14" fillId="0" borderId="5" xfId="0" applyNumberFormat="1" applyFont="1" applyBorder="1"/>
    <xf numFmtId="9" fontId="14" fillId="0" borderId="1" xfId="0" applyNumberFormat="1" applyFont="1" applyBorder="1"/>
    <xf numFmtId="0" fontId="15" fillId="0" borderId="5" xfId="0" applyFont="1" applyBorder="1"/>
    <xf numFmtId="9" fontId="15" fillId="0" borderId="1" xfId="0" applyNumberFormat="1" applyFont="1" applyBorder="1"/>
    <xf numFmtId="0" fontId="16" fillId="2" borderId="6" xfId="0" applyFont="1" applyFill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0" fontId="18" fillId="7" borderId="9" xfId="0" applyFont="1" applyFill="1" applyBorder="1" applyAlignment="1">
      <alignment horizontal="center"/>
    </xf>
    <xf numFmtId="0" fontId="17" fillId="0" borderId="10" xfId="0" applyFont="1" applyBorder="1"/>
    <xf numFmtId="0" fontId="17" fillId="0" borderId="11" xfId="0" applyFont="1" applyBorder="1"/>
    <xf numFmtId="0" fontId="18" fillId="7" borderId="12" xfId="0" applyFont="1" applyFill="1" applyBorder="1"/>
    <xf numFmtId="0" fontId="18" fillId="7" borderId="1" xfId="0" applyFont="1" applyFill="1" applyBorder="1"/>
    <xf numFmtId="0" fontId="19" fillId="7" borderId="1" xfId="0" applyFont="1" applyFill="1" applyBorder="1"/>
    <xf numFmtId="0" fontId="4" fillId="8" borderId="1" xfId="0" applyFont="1" applyFill="1" applyBorder="1"/>
    <xf numFmtId="2" fontId="3" fillId="0" borderId="1" xfId="0" applyNumberFormat="1" applyFont="1" applyBorder="1"/>
    <xf numFmtId="4" fontId="3" fillId="0" borderId="1" xfId="0" applyNumberFormat="1" applyFont="1" applyBorder="1"/>
    <xf numFmtId="10" fontId="3" fillId="0" borderId="1" xfId="0" applyNumberFormat="1" applyFont="1" applyBorder="1"/>
    <xf numFmtId="9" fontId="18" fillId="7" borderId="1" xfId="0" applyNumberFormat="1" applyFont="1" applyFill="1" applyBorder="1"/>
    <xf numFmtId="9" fontId="20" fillId="5" borderId="1" xfId="0" applyNumberFormat="1" applyFont="1" applyFill="1" applyBorder="1"/>
    <xf numFmtId="0" fontId="20" fillId="5" borderId="1" xfId="0" applyFont="1" applyFill="1" applyBorder="1"/>
    <xf numFmtId="14" fontId="20" fillId="5" borderId="1" xfId="0" applyNumberFormat="1" applyFont="1" applyFill="1" applyBorder="1"/>
    <xf numFmtId="1" fontId="20" fillId="5" borderId="1" xfId="0" applyNumberFormat="1" applyFont="1" applyFill="1" applyBorder="1"/>
    <xf numFmtId="10" fontId="20" fillId="5" borderId="1" xfId="0" applyNumberFormat="1" applyFont="1" applyFill="1" applyBorder="1"/>
    <xf numFmtId="0" fontId="21" fillId="5" borderId="1" xfId="0" applyFont="1" applyFill="1" applyBorder="1"/>
    <xf numFmtId="165" fontId="8" fillId="0" borderId="8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164" fontId="8" fillId="0" borderId="8" xfId="0" applyNumberFormat="1" applyFont="1" applyBorder="1" applyAlignment="1">
      <alignment horizontal="right"/>
    </xf>
    <xf numFmtId="1" fontId="8" fillId="0" borderId="8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10" fontId="8" fillId="0" borderId="8" xfId="0" applyNumberFormat="1" applyFont="1" applyBorder="1" applyAlignment="1">
      <alignment horizontal="right"/>
    </xf>
    <xf numFmtId="166" fontId="8" fillId="0" borderId="8" xfId="0" applyNumberFormat="1" applyFont="1" applyBorder="1" applyAlignment="1">
      <alignment horizontal="right"/>
    </xf>
    <xf numFmtId="9" fontId="22" fillId="5" borderId="1" xfId="0" applyNumberFormat="1" applyFont="1" applyFill="1" applyBorder="1"/>
    <xf numFmtId="0" fontId="22" fillId="5" borderId="1" xfId="0" applyFont="1" applyFill="1" applyBorder="1" applyAlignment="1">
      <alignment horizontal="right"/>
    </xf>
    <xf numFmtId="14" fontId="22" fillId="5" borderId="1" xfId="0" applyNumberFormat="1" applyFont="1" applyFill="1" applyBorder="1" applyAlignment="1">
      <alignment horizontal="right"/>
    </xf>
    <xf numFmtId="1" fontId="22" fillId="5" borderId="1" xfId="0" applyNumberFormat="1" applyFont="1" applyFill="1" applyBorder="1" applyAlignment="1">
      <alignment horizontal="right"/>
    </xf>
    <xf numFmtId="10" fontId="22" fillId="5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horizontal="right"/>
    </xf>
    <xf numFmtId="0" fontId="21" fillId="5" borderId="1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right"/>
    </xf>
    <xf numFmtId="0" fontId="21" fillId="9" borderId="1" xfId="0" applyFont="1" applyFill="1" applyBorder="1" applyAlignment="1">
      <alignment horizontal="right"/>
    </xf>
    <xf numFmtId="1" fontId="8" fillId="10" borderId="1" xfId="0" applyNumberFormat="1" applyFont="1" applyFill="1" applyBorder="1" applyAlignment="1">
      <alignment horizontal="right"/>
    </xf>
    <xf numFmtId="9" fontId="9" fillId="0" borderId="1" xfId="0" applyNumberFormat="1" applyFont="1" applyBorder="1"/>
    <xf numFmtId="0" fontId="8" fillId="0" borderId="1" xfId="0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9" fontId="3" fillId="5" borderId="1" xfId="0" applyNumberFormat="1" applyFont="1" applyFill="1" applyBorder="1"/>
    <xf numFmtId="9" fontId="21" fillId="5" borderId="1" xfId="0" applyNumberFormat="1" applyFont="1" applyFill="1" applyBorder="1"/>
    <xf numFmtId="0" fontId="8" fillId="0" borderId="8" xfId="0" applyFont="1" applyBorder="1" applyAlignment="1">
      <alignment horizontal="right"/>
    </xf>
    <xf numFmtId="4" fontId="3" fillId="0" borderId="0" xfId="0" applyNumberFormat="1" applyFont="1"/>
    <xf numFmtId="0" fontId="15" fillId="4" borderId="13" xfId="0" applyFont="1" applyFill="1" applyBorder="1"/>
    <xf numFmtId="1" fontId="15" fillId="4" borderId="13" xfId="0" applyNumberFormat="1" applyFont="1" applyFill="1" applyBorder="1"/>
    <xf numFmtId="10" fontId="15" fillId="4" borderId="13" xfId="0" applyNumberFormat="1" applyFont="1" applyFill="1" applyBorder="1"/>
    <xf numFmtId="165" fontId="23" fillId="4" borderId="1" xfId="0" applyNumberFormat="1" applyFont="1" applyFill="1" applyBorder="1" applyAlignment="1">
      <alignment horizontal="right"/>
    </xf>
    <xf numFmtId="165" fontId="23" fillId="4" borderId="8" xfId="0" applyNumberFormat="1" applyFont="1" applyFill="1" applyBorder="1" applyAlignment="1">
      <alignment horizontal="right"/>
    </xf>
    <xf numFmtId="165" fontId="15" fillId="4" borderId="1" xfId="0" applyNumberFormat="1" applyFont="1" applyFill="1" applyBorder="1"/>
    <xf numFmtId="1" fontId="23" fillId="4" borderId="1" xfId="0" applyNumberFormat="1" applyFont="1" applyFill="1" applyBorder="1" applyAlignment="1">
      <alignment horizontal="right"/>
    </xf>
    <xf numFmtId="164" fontId="23" fillId="4" borderId="8" xfId="0" applyNumberFormat="1" applyFont="1" applyFill="1" applyBorder="1" applyAlignment="1">
      <alignment horizontal="right"/>
    </xf>
    <xf numFmtId="2" fontId="23" fillId="4" borderId="8" xfId="0" applyNumberFormat="1" applyFont="1" applyFill="1" applyBorder="1" applyAlignment="1">
      <alignment horizontal="right"/>
    </xf>
    <xf numFmtId="4" fontId="23" fillId="4" borderId="8" xfId="0" applyNumberFormat="1" applyFont="1" applyFill="1" applyBorder="1" applyAlignment="1">
      <alignment horizontal="right"/>
    </xf>
    <xf numFmtId="1" fontId="23" fillId="4" borderId="8" xfId="0" applyNumberFormat="1" applyFont="1" applyFill="1" applyBorder="1" applyAlignment="1">
      <alignment horizontal="right"/>
    </xf>
    <xf numFmtId="10" fontId="23" fillId="4" borderId="8" xfId="0" applyNumberFormat="1" applyFont="1" applyFill="1" applyBorder="1" applyAlignment="1">
      <alignment horizontal="right"/>
    </xf>
    <xf numFmtId="0" fontId="14" fillId="0" borderId="0" xfId="0" applyFont="1"/>
    <xf numFmtId="165" fontId="3" fillId="0" borderId="0" xfId="0" applyNumberFormat="1" applyFont="1"/>
    <xf numFmtId="0" fontId="3" fillId="0" borderId="2" xfId="0" applyFont="1" applyBorder="1"/>
    <xf numFmtId="165" fontId="3" fillId="0" borderId="2" xfId="0" applyNumberFormat="1" applyFont="1" applyBorder="1"/>
    <xf numFmtId="10" fontId="3" fillId="0" borderId="2" xfId="0" applyNumberFormat="1" applyFont="1" applyBorder="1"/>
    <xf numFmtId="1" fontId="3" fillId="0" borderId="2" xfId="0" applyNumberFormat="1" applyFont="1" applyBorder="1"/>
    <xf numFmtId="0" fontId="14" fillId="4" borderId="0" xfId="0" applyFont="1" applyFill="1"/>
    <xf numFmtId="1" fontId="14" fillId="4" borderId="0" xfId="0" applyNumberFormat="1" applyFont="1" applyFill="1"/>
    <xf numFmtId="165" fontId="15" fillId="4" borderId="13" xfId="0" applyNumberFormat="1" applyFont="1" applyFill="1" applyBorder="1"/>
    <xf numFmtId="167" fontId="3" fillId="0" borderId="0" xfId="0" applyNumberFormat="1" applyFont="1"/>
    <xf numFmtId="0" fontId="20" fillId="5" borderId="13" xfId="0" applyFont="1" applyFill="1" applyBorder="1"/>
    <xf numFmtId="0" fontId="18" fillId="7" borderId="8" xfId="0" applyFont="1" applyFill="1" applyBorder="1"/>
    <xf numFmtId="164" fontId="3" fillId="0" borderId="0" xfId="0" applyNumberFormat="1" applyFont="1"/>
    <xf numFmtId="165" fontId="14" fillId="4" borderId="0" xfId="0" applyNumberFormat="1" applyFont="1" applyFill="1"/>
    <xf numFmtId="10" fontId="3" fillId="0" borderId="0" xfId="0" applyNumberFormat="1" applyFont="1"/>
    <xf numFmtId="166" fontId="3" fillId="0" borderId="0" xfId="0" applyNumberFormat="1" applyFont="1"/>
    <xf numFmtId="4" fontId="14" fillId="4" borderId="0" xfId="0" applyNumberFormat="1" applyFont="1" applyFill="1"/>
    <xf numFmtId="10" fontId="14" fillId="4" borderId="0" xfId="0" applyNumberFormat="1" applyFont="1" applyFill="1"/>
    <xf numFmtId="0" fontId="18" fillId="7" borderId="14" xfId="0" applyFont="1" applyFill="1" applyBorder="1" applyAlignment="1">
      <alignment horizontal="center"/>
    </xf>
    <xf numFmtId="0" fontId="17" fillId="0" borderId="15" xfId="0" applyFont="1" applyBorder="1"/>
    <xf numFmtId="0" fontId="17" fillId="0" borderId="16" xfId="0" applyFont="1" applyBorder="1"/>
    <xf numFmtId="0" fontId="17" fillId="0" borderId="17" xfId="0" applyFont="1" applyBorder="1"/>
    <xf numFmtId="0" fontId="17" fillId="0" borderId="2" xfId="0" applyFont="1" applyBorder="1"/>
    <xf numFmtId="0" fontId="1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ORGANISED V/S UNORGANISED SHARE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'Consumer Electronics'!$G$27</c:f>
              <c:strCache>
                <c:ptCount val="1"/>
                <c:pt idx="0">
                  <c:v>ORGANISED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Trend line for ORGANISED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'Consumer Electronics'!$H$26:$J$26</c:f>
              <c:strCache>
                <c:ptCount val="3"/>
                <c:pt idx="0">
                  <c:v>YEAR 2014</c:v>
                </c:pt>
                <c:pt idx="1">
                  <c:v>YEAR 2018</c:v>
                </c:pt>
                <c:pt idx="2">
                  <c:v>YEAR 2023</c:v>
                </c:pt>
              </c:strCache>
            </c:strRef>
          </c:cat>
          <c:val>
            <c:numRef>
              <c:f>'Consumer Electronics'!$H$27:$J$27</c:f>
              <c:numCache>
                <c:formatCode>0%</c:formatCode>
                <c:ptCount val="3"/>
                <c:pt idx="0">
                  <c:v>0.61</c:v>
                </c:pt>
                <c:pt idx="1">
                  <c:v>0.66</c:v>
                </c:pt>
                <c:pt idx="2">
                  <c:v>0.74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FDD-4600-BD58-37A61312D0B6}"/>
            </c:ext>
          </c:extLst>
        </c:ser>
        <c:ser>
          <c:idx val="1"/>
          <c:order val="1"/>
          <c:tx>
            <c:strRef>
              <c:f>'Consumer Electronics'!$G$28</c:f>
              <c:strCache>
                <c:ptCount val="1"/>
                <c:pt idx="0">
                  <c:v>UNORGANISED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name>Trend line for UNORGANISED</c:name>
            <c:spPr>
              <a:ln w="19050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cat>
            <c:strRef>
              <c:f>'Consumer Electronics'!$H$26:$J$26</c:f>
              <c:strCache>
                <c:ptCount val="3"/>
                <c:pt idx="0">
                  <c:v>YEAR 2014</c:v>
                </c:pt>
                <c:pt idx="1">
                  <c:v>YEAR 2018</c:v>
                </c:pt>
                <c:pt idx="2">
                  <c:v>YEAR 2023</c:v>
                </c:pt>
              </c:strCache>
            </c:strRef>
          </c:cat>
          <c:val>
            <c:numRef>
              <c:f>'Consumer Electronics'!$H$28:$J$28</c:f>
              <c:numCache>
                <c:formatCode>0%</c:formatCode>
                <c:ptCount val="3"/>
                <c:pt idx="0">
                  <c:v>0.39</c:v>
                </c:pt>
                <c:pt idx="1">
                  <c:v>0.34</c:v>
                </c:pt>
                <c:pt idx="2">
                  <c:v>0.26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6FDD-4600-BD58-37A61312D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5173840"/>
        <c:axId val="1236526776"/>
      </c:barChart>
      <c:catAx>
        <c:axId val="103517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INDUSTRY SIZE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36526776"/>
        <c:crosses val="autoZero"/>
        <c:auto val="1"/>
        <c:lblAlgn val="ctr"/>
        <c:lblOffset val="100"/>
        <c:noMultiLvlLbl val="1"/>
      </c:catAx>
      <c:valAx>
        <c:axId val="123652677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cross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517384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CABLE IN CR and CABLE_SEGMENT%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Electronics'!$M$26</c:f>
              <c:strCache>
                <c:ptCount val="1"/>
                <c:pt idx="0">
                  <c:v>CABLE IN 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Electronics'!$L$27:$L$35</c:f>
              <c:strCache>
                <c:ptCount val="9"/>
                <c:pt idx="0">
                  <c:v>POLYCAB</c:v>
                </c:pt>
                <c:pt idx="1">
                  <c:v>GUPTA POWER</c:v>
                </c:pt>
                <c:pt idx="2">
                  <c:v>FINOLEX CABLES</c:v>
                </c:pt>
                <c:pt idx="3">
                  <c:v>HAVELLS</c:v>
                </c:pt>
                <c:pt idx="4">
                  <c:v>KEI INDUSTRIES</c:v>
                </c:pt>
                <c:pt idx="5">
                  <c:v>RRKABEL</c:v>
                </c:pt>
                <c:pt idx="6">
                  <c:v>APAR INDUSTRIES</c:v>
                </c:pt>
                <c:pt idx="7">
                  <c:v>KEC INTERNATIONAL</c:v>
                </c:pt>
                <c:pt idx="8">
                  <c:v>VGUARD</c:v>
                </c:pt>
              </c:strCache>
            </c:strRef>
          </c:cat>
          <c:val>
            <c:numRef>
              <c:f>'Consumer Electronics'!$M$27:$M$35</c:f>
              <c:numCache>
                <c:formatCode>General</c:formatCode>
                <c:ptCount val="9"/>
                <c:pt idx="0">
                  <c:v>6240</c:v>
                </c:pt>
                <c:pt idx="1">
                  <c:v>3110</c:v>
                </c:pt>
                <c:pt idx="2">
                  <c:v>2780</c:v>
                </c:pt>
                <c:pt idx="3">
                  <c:v>2680</c:v>
                </c:pt>
                <c:pt idx="4">
                  <c:v>2430</c:v>
                </c:pt>
                <c:pt idx="5">
                  <c:v>1580</c:v>
                </c:pt>
                <c:pt idx="6">
                  <c:v>1140</c:v>
                </c:pt>
                <c:pt idx="7">
                  <c:v>850</c:v>
                </c:pt>
                <c:pt idx="8">
                  <c:v>680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7B2-40F4-87BB-375B26A98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904900"/>
        <c:axId val="1632468640"/>
      </c:barChart>
      <c:lineChart>
        <c:grouping val="standard"/>
        <c:varyColors val="0"/>
        <c:ser>
          <c:idx val="1"/>
          <c:order val="1"/>
          <c:tx>
            <c:strRef>
              <c:f>'Consumer Electronics'!$N$26</c:f>
              <c:strCache>
                <c:ptCount val="1"/>
                <c:pt idx="0">
                  <c:v>CABLE_SEGMENT%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Electronics'!$L$27:$L$35</c:f>
              <c:strCache>
                <c:ptCount val="9"/>
                <c:pt idx="0">
                  <c:v>POLYCAB</c:v>
                </c:pt>
                <c:pt idx="1">
                  <c:v>GUPTA POWER</c:v>
                </c:pt>
                <c:pt idx="2">
                  <c:v>FINOLEX CABLES</c:v>
                </c:pt>
                <c:pt idx="3">
                  <c:v>HAVELLS</c:v>
                </c:pt>
                <c:pt idx="4">
                  <c:v>KEI INDUSTRIES</c:v>
                </c:pt>
                <c:pt idx="5">
                  <c:v>RRKABEL</c:v>
                </c:pt>
                <c:pt idx="6">
                  <c:v>APAR INDUSTRIES</c:v>
                </c:pt>
                <c:pt idx="7">
                  <c:v>KEC INTERNATIONAL</c:v>
                </c:pt>
                <c:pt idx="8">
                  <c:v>VGUARD</c:v>
                </c:pt>
              </c:strCache>
            </c:strRef>
          </c:cat>
          <c:val>
            <c:numRef>
              <c:f>'Consumer Electronics'!$N$27:$N$35</c:f>
              <c:numCache>
                <c:formatCode>0%</c:formatCode>
                <c:ptCount val="9"/>
                <c:pt idx="0">
                  <c:v>0.96</c:v>
                </c:pt>
                <c:pt idx="1">
                  <c:v>1</c:v>
                </c:pt>
                <c:pt idx="2">
                  <c:v>0.98</c:v>
                </c:pt>
                <c:pt idx="3">
                  <c:v>0.3</c:v>
                </c:pt>
                <c:pt idx="4">
                  <c:v>0.69</c:v>
                </c:pt>
                <c:pt idx="5">
                  <c:v>1</c:v>
                </c:pt>
                <c:pt idx="6">
                  <c:v>0.19</c:v>
                </c:pt>
                <c:pt idx="7">
                  <c:v>0.08</c:v>
                </c:pt>
                <c:pt idx="8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2-40F4-87BB-375B26A98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904900"/>
        <c:axId val="1632468640"/>
      </c:lineChart>
      <c:catAx>
        <c:axId val="3179049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32468640"/>
        <c:crosses val="autoZero"/>
        <c:auto val="1"/>
        <c:lblAlgn val="ctr"/>
        <c:lblOffset val="100"/>
        <c:noMultiLvlLbl val="1"/>
      </c:catAx>
      <c:valAx>
        <c:axId val="16324686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79049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Market 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'Consumer Electronics'!$C$40</c:f>
              <c:strCache>
                <c:ptCount val="1"/>
                <c:pt idx="0">
                  <c:v>Market 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AA50-477C-9B4E-0D2D4D5A0649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AA50-477C-9B4E-0D2D4D5A0649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AA50-477C-9B4E-0D2D4D5A0649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AA50-477C-9B4E-0D2D4D5A0649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AA50-477C-9B4E-0D2D4D5A0649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AA50-477C-9B4E-0D2D4D5A0649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AA50-477C-9B4E-0D2D4D5A0649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AA50-477C-9B4E-0D2D4D5A0649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AA50-477C-9B4E-0D2D4D5A0649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AA50-477C-9B4E-0D2D4D5A0649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AA50-477C-9B4E-0D2D4D5A0649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AA50-477C-9B4E-0D2D4D5A0649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AA50-477C-9B4E-0D2D4D5A0649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AA50-477C-9B4E-0D2D4D5A064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'Consumer Electronics'!$B$41:$B$54</c:f>
              <c:strCache>
                <c:ptCount val="14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  <c:pt idx="11">
                  <c:v>COMRADE</c:v>
                </c:pt>
                <c:pt idx="12">
                  <c:v>KHAITANLTD</c:v>
                </c:pt>
                <c:pt idx="13">
                  <c:v>VXLINSTR</c:v>
                </c:pt>
              </c:strCache>
            </c:strRef>
          </c:cat>
          <c:val>
            <c:numRef>
              <c:f>'Consumer Electronics'!$C$41:$C$54</c:f>
              <c:numCache>
                <c:formatCode>0</c:formatCode>
                <c:ptCount val="14"/>
                <c:pt idx="0">
                  <c:v>84100.858600000007</c:v>
                </c:pt>
                <c:pt idx="1">
                  <c:v>37227.723231999997</c:v>
                </c:pt>
                <c:pt idx="2">
                  <c:v>6469.5299752000001</c:v>
                </c:pt>
                <c:pt idx="3">
                  <c:v>5178.8934099999997</c:v>
                </c:pt>
                <c:pt idx="4">
                  <c:v>2561.4685642999998</c:v>
                </c:pt>
                <c:pt idx="5">
                  <c:v>2022.5250529</c:v>
                </c:pt>
                <c:pt idx="6">
                  <c:v>587.17367999999999</c:v>
                </c:pt>
                <c:pt idx="7">
                  <c:v>561.31014249999998</c:v>
                </c:pt>
                <c:pt idx="8">
                  <c:v>326</c:v>
                </c:pt>
                <c:pt idx="9">
                  <c:v>238.74572839999999</c:v>
                </c:pt>
                <c:pt idx="10">
                  <c:v>219</c:v>
                </c:pt>
                <c:pt idx="11">
                  <c:v>98</c:v>
                </c:pt>
                <c:pt idx="12">
                  <c:v>31</c:v>
                </c:pt>
                <c:pt idx="1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A50-477C-9B4E-0D2D4D5A0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'Consumer Electronics'!$G$40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691F-42D2-ADA4-647DCE106363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691F-42D2-ADA4-647DCE106363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691F-42D2-ADA4-647DCE106363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691F-42D2-ADA4-647DCE106363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691F-42D2-ADA4-647DCE106363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691F-42D2-ADA4-647DCE106363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691F-42D2-ADA4-647DCE106363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691F-42D2-ADA4-647DCE106363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691F-42D2-ADA4-647DCE106363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691F-42D2-ADA4-647DCE106363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691F-42D2-ADA4-647DCE10636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'Consumer Electronics'!$F$41:$F$51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Electronics'!$G$41:$G$51</c:f>
              <c:numCache>
                <c:formatCode>0</c:formatCode>
                <c:ptCount val="11"/>
                <c:pt idx="0">
                  <c:v>16911</c:v>
                </c:pt>
                <c:pt idx="1">
                  <c:v>12192</c:v>
                </c:pt>
                <c:pt idx="2">
                  <c:v>1187</c:v>
                </c:pt>
                <c:pt idx="3">
                  <c:v>2159</c:v>
                </c:pt>
                <c:pt idx="4">
                  <c:v>241</c:v>
                </c:pt>
                <c:pt idx="5">
                  <c:v>1262</c:v>
                </c:pt>
                <c:pt idx="6">
                  <c:v>52</c:v>
                </c:pt>
                <c:pt idx="7">
                  <c:v>1110</c:v>
                </c:pt>
                <c:pt idx="8">
                  <c:v>22.72</c:v>
                </c:pt>
                <c:pt idx="9">
                  <c:v>291</c:v>
                </c:pt>
                <c:pt idx="10" formatCode="General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91F-42D2-ADA4-647DCE106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Electronics'!$K$40</c:f>
              <c:strCache>
                <c:ptCount val="1"/>
                <c:pt idx="0">
                  <c:v>PROFIT_23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262-4FC8-A280-984F3CEA0A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Electronics'!$J$41:$J$51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Electronics'!$K$41:$K$51</c:f>
              <c:numCache>
                <c:formatCode>General</c:formatCode>
                <c:ptCount val="11"/>
                <c:pt idx="0">
                  <c:v>1072</c:v>
                </c:pt>
                <c:pt idx="1">
                  <c:v>255</c:v>
                </c:pt>
                <c:pt idx="2">
                  <c:v>116</c:v>
                </c:pt>
                <c:pt idx="3">
                  <c:v>77</c:v>
                </c:pt>
                <c:pt idx="4">
                  <c:v>25</c:v>
                </c:pt>
                <c:pt idx="5">
                  <c:v>30</c:v>
                </c:pt>
                <c:pt idx="6">
                  <c:v>6</c:v>
                </c:pt>
                <c:pt idx="7">
                  <c:v>-12</c:v>
                </c:pt>
                <c:pt idx="8">
                  <c:v>2.15</c:v>
                </c:pt>
                <c:pt idx="9">
                  <c:v>20</c:v>
                </c:pt>
                <c:pt idx="1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2262-4FC8-A280-984F3CEA0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007733"/>
        <c:axId val="58733980"/>
      </c:barChart>
      <c:catAx>
        <c:axId val="5030077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8733980"/>
        <c:crosses val="autoZero"/>
        <c:auto val="1"/>
        <c:lblAlgn val="ctr"/>
        <c:lblOffset val="100"/>
        <c:noMultiLvlLbl val="1"/>
      </c:catAx>
      <c:valAx>
        <c:axId val="587339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0300773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 GR.5YRS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Electronics'!$T$40</c:f>
              <c:strCache>
                <c:ptCount val="1"/>
                <c:pt idx="0">
                  <c:v>SALES GR.5YRS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3D0-401C-9E92-FBFDA0D7F7E7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3D0-401C-9E92-FBFDA0D7F7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Electronics'!$N$41:$N$51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Electronics'!$T$41:$T$51</c:f>
              <c:numCache>
                <c:formatCode>0.0%</c:formatCode>
                <c:ptCount val="11"/>
                <c:pt idx="0">
                  <c:v>0.153833807025479</c:v>
                </c:pt>
                <c:pt idx="1">
                  <c:v>0.33707151432939053</c:v>
                </c:pt>
                <c:pt idx="2">
                  <c:v>8.2653702677787377E-2</c:v>
                </c:pt>
                <c:pt idx="3">
                  <c:v>0.39206821746465481</c:v>
                </c:pt>
                <c:pt idx="4">
                  <c:v>1.6559524158066496E-2</c:v>
                </c:pt>
                <c:pt idx="5">
                  <c:v>3.5306150846871054E-2</c:v>
                </c:pt>
                <c:pt idx="6">
                  <c:v>-0.15954138795044259</c:v>
                </c:pt>
                <c:pt idx="7">
                  <c:v>8.8023610713733103E-2</c:v>
                </c:pt>
                <c:pt idx="8">
                  <c:v>0.49720158021323391</c:v>
                </c:pt>
                <c:pt idx="9">
                  <c:v>2.8382064119134132E-2</c:v>
                </c:pt>
                <c:pt idx="10">
                  <c:v>0.44955932735539106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3D0-401C-9E92-FBFDA0D7F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2850"/>
        <c:axId val="1325683373"/>
      </c:barChart>
      <c:catAx>
        <c:axId val="128128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5683373"/>
        <c:crosses val="autoZero"/>
        <c:auto val="1"/>
        <c:lblAlgn val="ctr"/>
        <c:lblOffset val="100"/>
        <c:noMultiLvlLbl val="1"/>
      </c:catAx>
      <c:valAx>
        <c:axId val="13256833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 GR.5YRS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81285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 CY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Electronics'!$U$40</c:f>
              <c:strCache>
                <c:ptCount val="1"/>
                <c:pt idx="0">
                  <c:v>SALES CY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45-4F60-BE5E-B964A60FAC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Electronics'!$N$41:$N$51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Electronics'!$U$41:$U$51</c:f>
              <c:numCache>
                <c:formatCode>0.0%</c:formatCode>
                <c:ptCount val="11"/>
                <c:pt idx="0">
                  <c:v>6.4809887055762516E-2</c:v>
                </c:pt>
                <c:pt idx="1">
                  <c:v>0.32037401574803148</c:v>
                </c:pt>
                <c:pt idx="2">
                  <c:v>-4.6335299073294034E-2</c:v>
                </c:pt>
                <c:pt idx="3">
                  <c:v>0.12366836498378886</c:v>
                </c:pt>
                <c:pt idx="5">
                  <c:v>5.8637083993660966E-2</c:v>
                </c:pt>
                <c:pt idx="6">
                  <c:v>0.23076923076923084</c:v>
                </c:pt>
                <c:pt idx="7">
                  <c:v>-0.21351351351351355</c:v>
                </c:pt>
                <c:pt idx="9">
                  <c:v>1.0309278350515427E-2</c:v>
                </c:pt>
                <c:pt idx="10">
                  <c:v>1.8750000000000044E-2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045-4F60-BE5E-B964A60FA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840212"/>
        <c:axId val="285356063"/>
      </c:barChart>
      <c:catAx>
        <c:axId val="18848402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85356063"/>
        <c:crosses val="autoZero"/>
        <c:auto val="1"/>
        <c:lblAlgn val="ctr"/>
        <c:lblOffset val="100"/>
        <c:noMultiLvlLbl val="1"/>
      </c:catAx>
      <c:valAx>
        <c:axId val="2853560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 CY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8484021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 %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Electronics'!$C$72</c:f>
              <c:strCache>
                <c:ptCount val="1"/>
                <c:pt idx="0">
                  <c:v>MARGIN %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B1E-4920-9481-95A23186C7BD}"/>
              </c:ext>
            </c:extLst>
          </c:dPt>
          <c:cat>
            <c:strRef>
              <c:f>'Consumer Electronics'!$B$73:$B$83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Electronics'!$C$73:$C$83</c:f>
              <c:numCache>
                <c:formatCode>0.0%</c:formatCode>
                <c:ptCount val="11"/>
                <c:pt idx="0">
                  <c:v>6.3390692448702032E-2</c:v>
                </c:pt>
                <c:pt idx="1">
                  <c:v>2.0915354330708662E-2</c:v>
                </c:pt>
                <c:pt idx="2">
                  <c:v>9.7725358045492844E-2</c:v>
                </c:pt>
                <c:pt idx="3">
                  <c:v>3.5664659564613246E-2</c:v>
                </c:pt>
                <c:pt idx="4">
                  <c:v>0.1037344398340249</c:v>
                </c:pt>
                <c:pt idx="5">
                  <c:v>2.3771790808240888E-2</c:v>
                </c:pt>
                <c:pt idx="6">
                  <c:v>0.11538461538461539</c:v>
                </c:pt>
                <c:pt idx="7">
                  <c:v>-1.0810810810810811E-2</c:v>
                </c:pt>
                <c:pt idx="8">
                  <c:v>9.4630281690140844E-2</c:v>
                </c:pt>
                <c:pt idx="9">
                  <c:v>6.8728522336769765E-2</c:v>
                </c:pt>
                <c:pt idx="10">
                  <c:v>3.7499999999999999E-2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B1E-4920-9481-95A23186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349254"/>
        <c:axId val="1682587153"/>
      </c:barChart>
      <c:catAx>
        <c:axId val="17413492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2587153"/>
        <c:crosses val="autoZero"/>
        <c:auto val="1"/>
        <c:lblAlgn val="ctr"/>
        <c:lblOffset val="100"/>
        <c:noMultiLvlLbl val="1"/>
      </c:catAx>
      <c:valAx>
        <c:axId val="16825871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 %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134925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Electronics'!$G$72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Electronics'!$F$73:$F$78</c:f>
              <c:strCache>
                <c:ptCount val="6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</c:strCache>
            </c:strRef>
          </c:cat>
          <c:val>
            <c:numRef>
              <c:f>'Consumer Electronics'!$G$73:$G$78</c:f>
              <c:numCache>
                <c:formatCode>0.0</c:formatCode>
                <c:ptCount val="6"/>
                <c:pt idx="0">
                  <c:v>1.9766755240625922</c:v>
                </c:pt>
                <c:pt idx="1">
                  <c:v>1.01187485727335</c:v>
                </c:pt>
                <c:pt idx="2">
                  <c:v>1.3822314049586777</c:v>
                </c:pt>
                <c:pt idx="3">
                  <c:v>2.293975903614458</c:v>
                </c:pt>
                <c:pt idx="4">
                  <c:v>5.7159090909090908</c:v>
                </c:pt>
                <c:pt idx="5">
                  <c:v>1.4793577981651376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368-4261-A64A-66C993E67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175559"/>
        <c:axId val="1506528366"/>
      </c:barChart>
      <c:catAx>
        <c:axId val="21261755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06528366"/>
        <c:crosses val="autoZero"/>
        <c:auto val="1"/>
        <c:lblAlgn val="ctr"/>
        <c:lblOffset val="100"/>
        <c:noMultiLvlLbl val="1"/>
      </c:catAx>
      <c:valAx>
        <c:axId val="15065283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2617555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Electronics'!$K$72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628-4B42-A6D3-C30E3249AAAA}"/>
              </c:ext>
            </c:extLst>
          </c:dPt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628-4B42-A6D3-C30E3249AAAA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628-4B42-A6D3-C30E3249AAAA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628-4B42-A6D3-C30E3249AAAA}"/>
              </c:ext>
            </c:extLst>
          </c:dPt>
          <c:dPt>
            <c:idx val="9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628-4B42-A6D3-C30E3249AAAA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628-4B42-A6D3-C30E3249AA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Electronics'!$J$73:$J$83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Electronics'!$K$73:$K$83</c:f>
              <c:numCache>
                <c:formatCode>0</c:formatCode>
                <c:ptCount val="11"/>
                <c:pt idx="0">
                  <c:v>11.676719295133344</c:v>
                </c:pt>
                <c:pt idx="1">
                  <c:v>63.108595800524931</c:v>
                </c:pt>
                <c:pt idx="2">
                  <c:v>16.604886267902277</c:v>
                </c:pt>
                <c:pt idx="3">
                  <c:v>32.121352477999075</c:v>
                </c:pt>
                <c:pt idx="4">
                  <c:v>140.85062240663902</c:v>
                </c:pt>
                <c:pt idx="5">
                  <c:v>183.94611727416799</c:v>
                </c:pt>
                <c:pt idx="6">
                  <c:v>126.34615384615384</c:v>
                </c:pt>
                <c:pt idx="7">
                  <c:v>53.927927927927925</c:v>
                </c:pt>
                <c:pt idx="8">
                  <c:v>126.11135563380282</c:v>
                </c:pt>
                <c:pt idx="9">
                  <c:v>141.73539518900344</c:v>
                </c:pt>
                <c:pt idx="10">
                  <c:v>545.21875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6628-4B42-A6D3-C30E3249A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583445"/>
        <c:axId val="180008487"/>
      </c:barChart>
      <c:catAx>
        <c:axId val="12005834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0008487"/>
        <c:crosses val="autoZero"/>
        <c:auto val="1"/>
        <c:lblAlgn val="ctr"/>
        <c:lblOffset val="100"/>
        <c:noMultiLvlLbl val="1"/>
      </c:catAx>
      <c:valAx>
        <c:axId val="1800084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0058344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Electronics'!$C$104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C1A-4947-BF0E-96F6D4BEDC30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C1A-4947-BF0E-96F6D4BEDC30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C1A-4947-BF0E-96F6D4BEDC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Electronics'!$B$105:$B$115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Electronics'!$C$105:$C$115</c:f>
              <c:numCache>
                <c:formatCode>#,##0.00</c:formatCode>
                <c:ptCount val="11"/>
                <c:pt idx="0">
                  <c:v>0</c:v>
                </c:pt>
                <c:pt idx="1">
                  <c:v>0.16734417344173441</c:v>
                </c:pt>
                <c:pt idx="2">
                  <c:v>0.23494860499265785</c:v>
                </c:pt>
                <c:pt idx="3">
                  <c:v>0.2857142857142857</c:v>
                </c:pt>
                <c:pt idx="4">
                  <c:v>8.9694656488549615E-2</c:v>
                </c:pt>
                <c:pt idx="5">
                  <c:v>0.77613776137761381</c:v>
                </c:pt>
                <c:pt idx="6">
                  <c:v>4.0201005025125629E-2</c:v>
                </c:pt>
                <c:pt idx="7">
                  <c:v>0.6387096774193548</c:v>
                </c:pt>
                <c:pt idx="8">
                  <c:v>0.26765188834154352</c:v>
                </c:pt>
                <c:pt idx="9">
                  <c:v>0.21333333333333335</c:v>
                </c:pt>
                <c:pt idx="10">
                  <c:v>0.55737704918032782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8C1A-4947-BF0E-96F6D4BED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965943"/>
        <c:axId val="438242395"/>
      </c:barChart>
      <c:catAx>
        <c:axId val="11789659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38242395"/>
        <c:crosses val="autoZero"/>
        <c:auto val="1"/>
        <c:lblAlgn val="ctr"/>
        <c:lblOffset val="100"/>
        <c:noMultiLvlLbl val="1"/>
      </c:catAx>
      <c:valAx>
        <c:axId val="4382423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7896594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Electronics'!$G$104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370-437C-962C-3E209E91F0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Electronics'!$F$105:$F$115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Electronics'!$G$105:$G$115</c:f>
              <c:numCache>
                <c:formatCode>0</c:formatCode>
                <c:ptCount val="11"/>
                <c:pt idx="0">
                  <c:v>30.472727272727273</c:v>
                </c:pt>
                <c:pt idx="1">
                  <c:v>9.109375</c:v>
                </c:pt>
                <c:pt idx="2">
                  <c:v>12.583333333333334</c:v>
                </c:pt>
                <c:pt idx="3">
                  <c:v>4.666666666666667</c:v>
                </c:pt>
                <c:pt idx="4">
                  <c:v>9.6666666666666661</c:v>
                </c:pt>
                <c:pt idx="5">
                  <c:v>1</c:v>
                </c:pt>
                <c:pt idx="6">
                  <c:v>7</c:v>
                </c:pt>
                <c:pt idx="7">
                  <c:v>1.4545454545454546</c:v>
                </c:pt>
                <c:pt idx="8">
                  <c:v>12.86</c:v>
                </c:pt>
                <c:pt idx="9">
                  <c:v>6.4</c:v>
                </c:pt>
                <c:pt idx="10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370-437C-962C-3E209E91F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880605"/>
        <c:axId val="1511465671"/>
      </c:barChart>
      <c:catAx>
        <c:axId val="9518806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11465671"/>
        <c:crosses val="autoZero"/>
        <c:auto val="1"/>
        <c:lblAlgn val="ctr"/>
        <c:lblOffset val="100"/>
        <c:noMultiLvlLbl val="1"/>
      </c:catAx>
      <c:valAx>
        <c:axId val="15114656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518806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Electronics'!$K$104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509-4F59-9E37-C29186AF51A0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509-4F59-9E37-C29186AF51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Electronics'!$J$105:$J$115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Electronics'!$K$105:$K$115</c:f>
              <c:numCache>
                <c:formatCode>0.0</c:formatCode>
                <c:ptCount val="11"/>
                <c:pt idx="0">
                  <c:v>0.37384280268651299</c:v>
                </c:pt>
                <c:pt idx="1">
                  <c:v>0.76788803270954553</c:v>
                </c:pt>
                <c:pt idx="2">
                  <c:v>0.46080760095011875</c:v>
                </c:pt>
                <c:pt idx="3">
                  <c:v>0.42418661755678333</c:v>
                </c:pt>
                <c:pt idx="4">
                  <c:v>0.18124999999999999</c:v>
                </c:pt>
                <c:pt idx="5">
                  <c:v>0.54555617663499156</c:v>
                </c:pt>
                <c:pt idx="6">
                  <c:v>0.44144144144144143</c:v>
                </c:pt>
                <c:pt idx="7">
                  <c:v>0.72143974960876367</c:v>
                </c:pt>
                <c:pt idx="8">
                  <c:v>0.35294117647058826</c:v>
                </c:pt>
                <c:pt idx="9">
                  <c:v>0.28235294117647058</c:v>
                </c:pt>
                <c:pt idx="10">
                  <c:v>0.46762589928057552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4509-4F59-9E37-C29186AF5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5862689"/>
        <c:axId val="1524518363"/>
      </c:barChart>
      <c:catAx>
        <c:axId val="6958626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24518363"/>
        <c:crosses val="autoZero"/>
        <c:auto val="1"/>
        <c:lblAlgn val="ctr"/>
        <c:lblOffset val="100"/>
        <c:noMultiLvlLbl val="1"/>
      </c:catAx>
      <c:valAx>
        <c:axId val="152451836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586268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Electronics'!$C$137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'Consumer Electronics'!$B$138:$B$148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Electronics'!$C$138:$C$148</c:f>
              <c:numCache>
                <c:formatCode>0.0%</c:formatCode>
                <c:ptCount val="11"/>
                <c:pt idx="0">
                  <c:v>0.15397874174087905</c:v>
                </c:pt>
                <c:pt idx="1">
                  <c:v>0.1714862138533961</c:v>
                </c:pt>
                <c:pt idx="2">
                  <c:v>0.1669064748201439</c:v>
                </c:pt>
                <c:pt idx="3">
                  <c:v>7.9875518672199164E-2</c:v>
                </c:pt>
                <c:pt idx="4">
                  <c:v>8.3194675540765387E-2</c:v>
                </c:pt>
                <c:pt idx="5">
                  <c:v>3.4207525655644243E-2</c:v>
                </c:pt>
                <c:pt idx="6">
                  <c:v>2.4193548387096774E-2</c:v>
                </c:pt>
                <c:pt idx="7">
                  <c:v>-6.741573033707865E-2</c:v>
                </c:pt>
                <c:pt idx="8">
                  <c:v>9.83081847279378E-2</c:v>
                </c:pt>
                <c:pt idx="9">
                  <c:v>8.1967213114754092E-2</c:v>
                </c:pt>
                <c:pt idx="10">
                  <c:v>8.1081081081081086E-2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290-4FC2-B02D-573FC11EC155}"/>
            </c:ext>
          </c:extLst>
        </c:ser>
        <c:ser>
          <c:idx val="1"/>
          <c:order val="1"/>
          <c:tx>
            <c:strRef>
              <c:f>'Consumer Electronics'!$D$137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'Consumer Electronics'!$B$138:$B$148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Electronics'!$D$138:$D$148</c:f>
              <c:numCache>
                <c:formatCode>0.00%</c:formatCode>
                <c:ptCount val="11"/>
                <c:pt idx="0">
                  <c:v>9.7295334906516609E-2</c:v>
                </c:pt>
                <c:pt idx="1">
                  <c:v>4.0100644755464696E-2</c:v>
                </c:pt>
                <c:pt idx="2">
                  <c:v>9.1844813935075223E-2</c:v>
                </c:pt>
                <c:pt idx="3">
                  <c:v>4.7268262737875995E-2</c:v>
                </c:pt>
                <c:pt idx="4">
                  <c:v>7.8125E-2</c:v>
                </c:pt>
                <c:pt idx="5">
                  <c:v>1.6769144773616546E-2</c:v>
                </c:pt>
                <c:pt idx="6">
                  <c:v>1.3513513513513514E-2</c:v>
                </c:pt>
                <c:pt idx="7">
                  <c:v>-1.8779342723004695E-2</c:v>
                </c:pt>
                <c:pt idx="8">
                  <c:v>6.3235294117647056E-2</c:v>
                </c:pt>
                <c:pt idx="9">
                  <c:v>5.8823529411764705E-2</c:v>
                </c:pt>
                <c:pt idx="10">
                  <c:v>4.3165467625899283E-2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2290-4FC2-B02D-573FC11EC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628451"/>
        <c:axId val="283056913"/>
      </c:barChart>
      <c:catAx>
        <c:axId val="15876284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83056913"/>
        <c:crosses val="autoZero"/>
        <c:auto val="1"/>
        <c:lblAlgn val="ctr"/>
        <c:lblOffset val="100"/>
        <c:noMultiLvlLbl val="1"/>
      </c:catAx>
      <c:valAx>
        <c:axId val="2830569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8762845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vs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Electronics'!$H$137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'Consumer Electronics'!$G$138:$G$148</c:f>
              <c:strCache>
                <c:ptCount val="11"/>
                <c:pt idx="0">
                  <c:v>HAVELLS</c:v>
                </c:pt>
                <c:pt idx="1">
                  <c:v>DIXON</c:v>
                </c:pt>
                <c:pt idx="2">
                  <c:v>SYMPHONY</c:v>
                </c:pt>
                <c:pt idx="3">
                  <c:v>PGEL</c:v>
                </c:pt>
                <c:pt idx="4">
                  <c:v>IKIO</c:v>
                </c:pt>
                <c:pt idx="5">
                  <c:v>HPL</c:v>
                </c:pt>
                <c:pt idx="6">
                  <c:v>BPL</c:v>
                </c:pt>
                <c:pt idx="7">
                  <c:v>MIRCELECTR</c:v>
                </c:pt>
                <c:pt idx="8">
                  <c:v>CWD</c:v>
                </c:pt>
                <c:pt idx="9">
                  <c:v>VETO</c:v>
                </c:pt>
                <c:pt idx="10">
                  <c:v>CALCOM</c:v>
                </c:pt>
              </c:strCache>
            </c:strRef>
          </c:cat>
          <c:val>
            <c:numRef>
              <c:f>'Consumer Electronics'!$H$138:$H$148</c:f>
              <c:numCache>
                <c:formatCode>#,##0.0</c:formatCode>
                <c:ptCount val="11"/>
                <c:pt idx="0">
                  <c:v>71.155885471898202</c:v>
                </c:pt>
                <c:pt idx="1">
                  <c:v>170.56727870649493</c:v>
                </c:pt>
                <c:pt idx="2">
                  <c:v>40.761058109280143</c:v>
                </c:pt>
                <c:pt idx="3">
                  <c:v>103.00207039337474</c:v>
                </c:pt>
                <c:pt idx="4">
                  <c:v>105.22222222222223</c:v>
                </c:pt>
                <c:pt idx="5">
                  <c:v>61.774509803921575</c:v>
                </c:pt>
                <c:pt idx="6">
                  <c:v>40.404040404040401</c:v>
                </c:pt>
                <c:pt idx="7">
                  <c:v>-24.141414141414142</c:v>
                </c:pt>
                <c:pt idx="8">
                  <c:v>-184.08163265306121</c:v>
                </c:pt>
                <c:pt idx="9">
                  <c:v>13.444564047362757</c:v>
                </c:pt>
                <c:pt idx="10">
                  <c:v>56.562500000000007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13C-4A61-8676-C65020BF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162515"/>
        <c:axId val="872010870"/>
      </c:barChart>
      <c:catAx>
        <c:axId val="8161625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2010870"/>
        <c:crosses val="autoZero"/>
        <c:auto val="1"/>
        <c:lblAlgn val="ctr"/>
        <c:lblOffset val="100"/>
        <c:noMultiLvlLbl val="1"/>
      </c:catAx>
      <c:valAx>
        <c:axId val="8720108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TRAIL_PE</a:t>
                </a:r>
              </a:p>
            </c:rich>
          </c:tx>
          <c:overlay val="0"/>
        </c:title>
        <c:numFmt formatCode="#,##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1616251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'Consumer Electronics'!$C$26</c:f>
              <c:strCache>
                <c:ptCount val="1"/>
                <c:pt idx="0">
                  <c:v>IN 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Electronics'!$B$27:$B$28</c:f>
              <c:strCache>
                <c:ptCount val="2"/>
                <c:pt idx="0">
                  <c:v>YEAR 2018</c:v>
                </c:pt>
                <c:pt idx="1">
                  <c:v>YEAR 2023 EST</c:v>
                </c:pt>
              </c:strCache>
            </c:strRef>
          </c:cat>
          <c:val>
            <c:numRef>
              <c:f>'Consumer Electronics'!$C$27:$C$28</c:f>
              <c:numCache>
                <c:formatCode>General</c:formatCode>
                <c:ptCount val="2"/>
                <c:pt idx="0">
                  <c:v>52500</c:v>
                </c:pt>
                <c:pt idx="1">
                  <c:v>103300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45A-4F1B-89F5-92D3DC816E75}"/>
            </c:ext>
          </c:extLst>
        </c:ser>
        <c:ser>
          <c:idx val="1"/>
          <c:order val="1"/>
          <c:tx>
            <c:strRef>
              <c:f>'Consumer Electronics'!$D$26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'Consumer Electronics'!$B$27:$B$28</c:f>
              <c:strCache>
                <c:ptCount val="2"/>
                <c:pt idx="0">
                  <c:v>YEAR 2018</c:v>
                </c:pt>
                <c:pt idx="1">
                  <c:v>YEAR 2023 EST</c:v>
                </c:pt>
              </c:strCache>
            </c:strRef>
          </c:cat>
          <c:val>
            <c:numRef>
              <c:f>'Consumer Electronics'!$D$27:$D$28</c:f>
              <c:numCache>
                <c:formatCode>0%</c:formatCode>
                <c:ptCount val="2"/>
                <c:pt idx="1">
                  <c:v>0.14495443482946802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45A-4F1B-89F5-92D3DC816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2720069"/>
        <c:axId val="865441048"/>
      </c:barChart>
      <c:catAx>
        <c:axId val="19227200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65441048"/>
        <c:crosses val="autoZero"/>
        <c:auto val="1"/>
        <c:lblAlgn val="ctr"/>
        <c:lblOffset val="100"/>
        <c:noMultiLvlLbl val="1"/>
      </c:catAx>
      <c:valAx>
        <c:axId val="8654410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2272006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3.jp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114300</xdr:colOff>
      <xdr:row>58</xdr:row>
      <xdr:rowOff>85725</xdr:rowOff>
    </xdr:from>
    <xdr:ext cx="6448425" cy="48387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73593BA2-73F2-4956-A256-F2B82A82A6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96400" y="10616565"/>
          <a:ext cx="6448425" cy="48387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58</xdr:row>
      <xdr:rowOff>85725</xdr:rowOff>
    </xdr:from>
    <xdr:ext cx="10163175" cy="432435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91D1C696-9F61-42E4-93AE-8DF6605DAC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10616565"/>
          <a:ext cx="10163175" cy="43243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876300</xdr:colOff>
      <xdr:row>28</xdr:row>
      <xdr:rowOff>57150</xdr:rowOff>
    </xdr:from>
    <xdr:ext cx="4400550" cy="20764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69889B94-1F94-44C7-853E-CD423700B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152400</xdr:colOff>
      <xdr:row>193</xdr:row>
      <xdr:rowOff>180975</xdr:rowOff>
    </xdr:from>
    <xdr:ext cx="8820150" cy="26860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A462BE5C-930D-422F-B450-A8BA51EEE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361950</xdr:colOff>
      <xdr:row>56</xdr:row>
      <xdr:rowOff>123825</xdr:rowOff>
    </xdr:from>
    <xdr:ext cx="3371850" cy="20764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588DDA6D-E287-48A2-95C9-8297EEA7A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</xdr:col>
      <xdr:colOff>1038225</xdr:colOff>
      <xdr:row>56</xdr:row>
      <xdr:rowOff>123825</xdr:rowOff>
    </xdr:from>
    <xdr:ext cx="3419475" cy="207645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EB6FC107-AD2A-47C6-A828-1A304CE0D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7</xdr:col>
      <xdr:colOff>361950</xdr:colOff>
      <xdr:row>56</xdr:row>
      <xdr:rowOff>123825</xdr:rowOff>
    </xdr:from>
    <xdr:ext cx="3619500" cy="207645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E6D9B82-134A-45DC-B493-18A055D91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11</xdr:col>
      <xdr:colOff>28575</xdr:colOff>
      <xdr:row>56</xdr:row>
      <xdr:rowOff>123825</xdr:rowOff>
    </xdr:from>
    <xdr:ext cx="5353050" cy="207645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8618614B-20BC-4F85-B434-4A192FE997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16</xdr:col>
      <xdr:colOff>914400</xdr:colOff>
      <xdr:row>56</xdr:row>
      <xdr:rowOff>123825</xdr:rowOff>
    </xdr:from>
    <xdr:ext cx="4448175" cy="207645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9B5DA6A3-2C89-4B9C-A93E-97003CC7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0</xdr:col>
      <xdr:colOff>361950</xdr:colOff>
      <xdr:row>86</xdr:row>
      <xdr:rowOff>66675</xdr:rowOff>
    </xdr:from>
    <xdr:ext cx="4067175" cy="2514600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61D738AB-07F9-4D22-BAF3-0E708FDEE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4</xdr:col>
      <xdr:colOff>676275</xdr:colOff>
      <xdr:row>86</xdr:row>
      <xdr:rowOff>66675</xdr:rowOff>
    </xdr:from>
    <xdr:ext cx="4029075" cy="251460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87D2A9A0-98AF-47BD-9C5F-B0C370A11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8</xdr:col>
      <xdr:colOff>666750</xdr:colOff>
      <xdr:row>86</xdr:row>
      <xdr:rowOff>66675</xdr:rowOff>
    </xdr:from>
    <xdr:ext cx="4067175" cy="251460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F96A5059-9588-43C3-A8F6-D5C42F2E1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0</xdr:col>
      <xdr:colOff>361950</xdr:colOff>
      <xdr:row>117</xdr:row>
      <xdr:rowOff>57150</xdr:rowOff>
    </xdr:from>
    <xdr:ext cx="4400550" cy="2724150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0A94018A-707E-4D0F-887E-11369996B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5</xdr:col>
      <xdr:colOff>47625</xdr:colOff>
      <xdr:row>117</xdr:row>
      <xdr:rowOff>19050</xdr:rowOff>
    </xdr:from>
    <xdr:ext cx="4514850" cy="279082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C04D3931-9077-4CA4-9E89-6D5695AFC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9</xdr:col>
      <xdr:colOff>276225</xdr:colOff>
      <xdr:row>117</xdr:row>
      <xdr:rowOff>19050</xdr:rowOff>
    </xdr:from>
    <xdr:ext cx="4514850" cy="279082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40E38DBB-0A9B-4E0A-8030-C82D2765D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0</xdr:col>
      <xdr:colOff>361950</xdr:colOff>
      <xdr:row>150</xdr:row>
      <xdr:rowOff>85725</xdr:rowOff>
    </xdr:from>
    <xdr:ext cx="4400550" cy="2724150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3EF99C18-9B1B-4AC0-AC69-E68A8D47E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5</xdr:col>
      <xdr:colOff>47625</xdr:colOff>
      <xdr:row>150</xdr:row>
      <xdr:rowOff>85725</xdr:rowOff>
    </xdr:from>
    <xdr:ext cx="4400550" cy="2724150"/>
    <xdr:graphicFrame macro="">
      <xdr:nvGraphicFramePr>
        <xdr:cNvPr id="16" name="Chart 15" title="Chart">
          <a:extLst>
            <a:ext uri="{FF2B5EF4-FFF2-40B4-BE49-F238E27FC236}">
              <a16:creationId xmlns:a16="http://schemas.microsoft.com/office/drawing/2014/main" id="{B899FEED-8334-40F9-ACCA-4ED9752A7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0</xdr:col>
      <xdr:colOff>-76200</xdr:colOff>
      <xdr:row>28</xdr:row>
      <xdr:rowOff>57150</xdr:rowOff>
    </xdr:from>
    <xdr:ext cx="5667375" cy="2076450"/>
    <xdr:graphicFrame macro="">
      <xdr:nvGraphicFramePr>
        <xdr:cNvPr id="17" name="Chart 16" title="Chart">
          <a:extLst>
            <a:ext uri="{FF2B5EF4-FFF2-40B4-BE49-F238E27FC236}">
              <a16:creationId xmlns:a16="http://schemas.microsoft.com/office/drawing/2014/main" id="{C35FA5F8-DA70-4717-8F55-D95EDDB83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1</xdr:col>
      <xdr:colOff>0</xdr:colOff>
      <xdr:row>168</xdr:row>
      <xdr:rowOff>0</xdr:rowOff>
    </xdr:from>
    <xdr:ext cx="200025" cy="200025"/>
    <xdr:pic>
      <xdr:nvPicPr>
        <xdr:cNvPr id="18" name="image3.jpg">
          <a:extLst>
            <a:ext uri="{FF2B5EF4-FFF2-40B4-BE49-F238E27FC236}">
              <a16:creationId xmlns:a16="http://schemas.microsoft.com/office/drawing/2014/main" id="{A5AD480B-ADAD-415F-AF88-063539870A66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350520" y="31546800"/>
          <a:ext cx="200025" cy="2000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Consumer%20Electronics%20(10).xlsx" TargetMode="External"/><Relationship Id="rId1" Type="http://schemas.openxmlformats.org/officeDocument/2006/relationships/externalLinkPath" Target="/Users/profi/Downloads/Consumer%20Electronics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mer Electronics"/>
      <sheetName val="Sheet2"/>
      <sheetName val="Havells"/>
    </sheetNames>
    <sheetDataSet>
      <sheetData sheetId="0">
        <row r="26">
          <cell r="C26" t="str">
            <v>IN CR</v>
          </cell>
          <cell r="D26" t="str">
            <v>GROWTH</v>
          </cell>
          <cell r="H26" t="str">
            <v>YEAR 2014</v>
          </cell>
          <cell r="I26" t="str">
            <v>YEAR 2018</v>
          </cell>
          <cell r="J26" t="str">
            <v>YEAR 2023</v>
          </cell>
          <cell r="M26" t="str">
            <v>CABLE IN CR</v>
          </cell>
          <cell r="N26" t="str">
            <v>CABLE_SEGMENT%</v>
          </cell>
        </row>
        <row r="27">
          <cell r="B27" t="str">
            <v>YEAR 2018</v>
          </cell>
          <cell r="C27">
            <v>52500</v>
          </cell>
          <cell r="G27" t="str">
            <v>ORGANISED</v>
          </cell>
          <cell r="H27">
            <v>0.61</v>
          </cell>
          <cell r="I27">
            <v>0.66</v>
          </cell>
          <cell r="J27">
            <v>0.74</v>
          </cell>
          <cell r="L27" t="str">
            <v>POLYCAB</v>
          </cell>
          <cell r="M27">
            <v>6240</v>
          </cell>
          <cell r="N27">
            <v>0.96</v>
          </cell>
        </row>
        <row r="28">
          <cell r="B28" t="str">
            <v>YEAR 2023 EST</v>
          </cell>
          <cell r="C28">
            <v>103300</v>
          </cell>
          <cell r="D28">
            <v>0.14495443482946802</v>
          </cell>
          <cell r="G28" t="str">
            <v>UNORGANISED</v>
          </cell>
          <cell r="H28">
            <v>0.39</v>
          </cell>
          <cell r="I28">
            <v>0.34</v>
          </cell>
          <cell r="J28">
            <v>0.26</v>
          </cell>
          <cell r="L28" t="str">
            <v>GUPTA POWER</v>
          </cell>
          <cell r="M28">
            <v>3110</v>
          </cell>
          <cell r="N28">
            <v>1</v>
          </cell>
        </row>
        <row r="29">
          <cell r="L29" t="str">
            <v>FINOLEX CABLES</v>
          </cell>
          <cell r="M29">
            <v>2780</v>
          </cell>
          <cell r="N29">
            <v>0.98</v>
          </cell>
        </row>
        <row r="30">
          <cell r="L30" t="str">
            <v>HAVELLS</v>
          </cell>
          <cell r="M30">
            <v>2680</v>
          </cell>
          <cell r="N30">
            <v>0.3</v>
          </cell>
        </row>
        <row r="31">
          <cell r="L31" t="str">
            <v>KEI INDUSTRIES</v>
          </cell>
          <cell r="M31">
            <v>2430</v>
          </cell>
          <cell r="N31">
            <v>0.69</v>
          </cell>
        </row>
        <row r="32">
          <cell r="L32" t="str">
            <v>RRKABEL</v>
          </cell>
          <cell r="M32">
            <v>1580</v>
          </cell>
          <cell r="N32">
            <v>1</v>
          </cell>
        </row>
        <row r="33">
          <cell r="L33" t="str">
            <v>APAR INDUSTRIES</v>
          </cell>
          <cell r="M33">
            <v>1140</v>
          </cell>
          <cell r="N33">
            <v>0.19</v>
          </cell>
        </row>
        <row r="34">
          <cell r="L34" t="str">
            <v>KEC INTERNATIONAL</v>
          </cell>
          <cell r="M34">
            <v>850</v>
          </cell>
          <cell r="N34">
            <v>0.08</v>
          </cell>
        </row>
        <row r="35">
          <cell r="L35" t="str">
            <v>VGUARD</v>
          </cell>
          <cell r="M35">
            <v>680</v>
          </cell>
          <cell r="N35">
            <v>0.49</v>
          </cell>
        </row>
        <row r="40">
          <cell r="C40" t="str">
            <v>Market Cap</v>
          </cell>
          <cell r="G40" t="str">
            <v>SALES_23</v>
          </cell>
          <cell r="K40" t="str">
            <v>PROFIT_23</v>
          </cell>
          <cell r="T40" t="str">
            <v>SALES GR.5YRS</v>
          </cell>
          <cell r="U40" t="str">
            <v>SALES CY</v>
          </cell>
        </row>
        <row r="41">
          <cell r="B41" t="str">
            <v>HAVELLS</v>
          </cell>
          <cell r="C41">
            <v>84100.858600000007</v>
          </cell>
          <cell r="F41" t="str">
            <v>HAVELLS</v>
          </cell>
          <cell r="G41">
            <v>16911</v>
          </cell>
          <cell r="J41" t="str">
            <v>HAVELLS</v>
          </cell>
          <cell r="K41">
            <v>1072</v>
          </cell>
          <cell r="N41" t="str">
            <v>HAVELLS</v>
          </cell>
          <cell r="T41">
            <v>0.153833807025479</v>
          </cell>
          <cell r="U41">
            <v>6.4809887055762516E-2</v>
          </cell>
        </row>
        <row r="42">
          <cell r="B42" t="str">
            <v>DIXON</v>
          </cell>
          <cell r="C42">
            <v>37227.723231999997</v>
          </cell>
          <cell r="F42" t="str">
            <v>DIXON</v>
          </cell>
          <cell r="G42">
            <v>12192</v>
          </cell>
          <cell r="J42" t="str">
            <v>DIXON</v>
          </cell>
          <cell r="K42">
            <v>255</v>
          </cell>
          <cell r="N42" t="str">
            <v>DIXON</v>
          </cell>
          <cell r="T42">
            <v>0.33707151432939053</v>
          </cell>
          <cell r="U42">
            <v>0.32037401574803148</v>
          </cell>
        </row>
        <row r="43">
          <cell r="B43" t="str">
            <v>SYMPHONY</v>
          </cell>
          <cell r="C43">
            <v>6469.5299752000001</v>
          </cell>
          <cell r="F43" t="str">
            <v>SYMPHONY</v>
          </cell>
          <cell r="G43">
            <v>1187</v>
          </cell>
          <cell r="J43" t="str">
            <v>SYMPHONY</v>
          </cell>
          <cell r="K43">
            <v>116</v>
          </cell>
          <cell r="N43" t="str">
            <v>SYMPHONY</v>
          </cell>
          <cell r="T43">
            <v>8.2653702677787377E-2</v>
          </cell>
          <cell r="U43">
            <v>-4.6335299073294034E-2</v>
          </cell>
        </row>
        <row r="44">
          <cell r="B44" t="str">
            <v>PGEL</v>
          </cell>
          <cell r="C44">
            <v>5178.8934099999997</v>
          </cell>
          <cell r="F44" t="str">
            <v>PGEL</v>
          </cell>
          <cell r="G44">
            <v>2159</v>
          </cell>
          <cell r="J44" t="str">
            <v>PGEL</v>
          </cell>
          <cell r="K44">
            <v>77</v>
          </cell>
          <cell r="N44" t="str">
            <v>PGEL</v>
          </cell>
          <cell r="T44">
            <v>0.39206821746465481</v>
          </cell>
          <cell r="U44">
            <v>0.12366836498378886</v>
          </cell>
        </row>
        <row r="45">
          <cell r="B45" t="str">
            <v>IKIO</v>
          </cell>
          <cell r="C45">
            <v>2561.4685642999998</v>
          </cell>
          <cell r="F45" t="str">
            <v>IKIO</v>
          </cell>
          <cell r="G45">
            <v>241</v>
          </cell>
          <cell r="J45" t="str">
            <v>IKIO</v>
          </cell>
          <cell r="K45">
            <v>25</v>
          </cell>
          <cell r="N45" t="str">
            <v>IKIO</v>
          </cell>
          <cell r="T45">
            <v>1.6559524158066496E-2</v>
          </cell>
        </row>
        <row r="46">
          <cell r="B46" t="str">
            <v>HPL</v>
          </cell>
          <cell r="C46">
            <v>2022.5250529</v>
          </cell>
          <cell r="F46" t="str">
            <v>HPL</v>
          </cell>
          <cell r="G46">
            <v>1262</v>
          </cell>
          <cell r="J46" t="str">
            <v>HPL</v>
          </cell>
          <cell r="K46">
            <v>30</v>
          </cell>
          <cell r="N46" t="str">
            <v>HPL</v>
          </cell>
          <cell r="T46">
            <v>3.5306150846871054E-2</v>
          </cell>
          <cell r="U46">
            <v>5.8637083993660966E-2</v>
          </cell>
        </row>
        <row r="47">
          <cell r="B47" t="str">
            <v>BPL</v>
          </cell>
          <cell r="C47">
            <v>587.17367999999999</v>
          </cell>
          <cell r="F47" t="str">
            <v>BPL</v>
          </cell>
          <cell r="G47">
            <v>52</v>
          </cell>
          <cell r="J47" t="str">
            <v>BPL</v>
          </cell>
          <cell r="K47">
            <v>6</v>
          </cell>
          <cell r="N47" t="str">
            <v>BPL</v>
          </cell>
          <cell r="T47">
            <v>-0.15954138795044259</v>
          </cell>
          <cell r="U47">
            <v>0.23076923076923084</v>
          </cell>
        </row>
        <row r="48">
          <cell r="B48" t="str">
            <v>MIRCELECTR</v>
          </cell>
          <cell r="C48">
            <v>561.31014249999998</v>
          </cell>
          <cell r="F48" t="str">
            <v>MIRCELECTR</v>
          </cell>
          <cell r="G48">
            <v>1110</v>
          </cell>
          <cell r="J48" t="str">
            <v>MIRCELECTR</v>
          </cell>
          <cell r="K48">
            <v>-12</v>
          </cell>
          <cell r="N48" t="str">
            <v>MIRCELECTR</v>
          </cell>
          <cell r="T48">
            <v>8.8023610713733103E-2</v>
          </cell>
          <cell r="U48">
            <v>-0.21351351351351355</v>
          </cell>
        </row>
        <row r="49">
          <cell r="B49" t="str">
            <v>CWD</v>
          </cell>
          <cell r="C49">
            <v>326</v>
          </cell>
          <cell r="F49" t="str">
            <v>CWD</v>
          </cell>
          <cell r="G49">
            <v>22.72</v>
          </cell>
          <cell r="J49" t="str">
            <v>CWD</v>
          </cell>
          <cell r="K49">
            <v>2.15</v>
          </cell>
          <cell r="N49" t="str">
            <v>CWD</v>
          </cell>
          <cell r="T49">
            <v>0.49720158021323391</v>
          </cell>
        </row>
        <row r="50">
          <cell r="B50" t="str">
            <v>VETO</v>
          </cell>
          <cell r="C50">
            <v>238.74572839999999</v>
          </cell>
          <cell r="F50" t="str">
            <v>VETO</v>
          </cell>
          <cell r="G50">
            <v>291</v>
          </cell>
          <cell r="J50" t="str">
            <v>VETO</v>
          </cell>
          <cell r="K50">
            <v>20</v>
          </cell>
          <cell r="N50" t="str">
            <v>VETO</v>
          </cell>
          <cell r="T50">
            <v>2.8382064119134132E-2</v>
          </cell>
          <cell r="U50">
            <v>1.0309278350515427E-2</v>
          </cell>
        </row>
        <row r="51">
          <cell r="B51" t="str">
            <v>CALCOM</v>
          </cell>
          <cell r="C51">
            <v>219</v>
          </cell>
          <cell r="F51" t="str">
            <v>CALCOM</v>
          </cell>
          <cell r="G51">
            <v>160</v>
          </cell>
          <cell r="J51" t="str">
            <v>CALCOM</v>
          </cell>
          <cell r="K51">
            <v>6</v>
          </cell>
          <cell r="N51" t="str">
            <v>CALCOM</v>
          </cell>
          <cell r="T51">
            <v>0.44955932735539106</v>
          </cell>
          <cell r="U51">
            <v>1.8750000000000044E-2</v>
          </cell>
        </row>
        <row r="52">
          <cell r="B52" t="str">
            <v>COMRADE</v>
          </cell>
          <cell r="C52">
            <v>98</v>
          </cell>
        </row>
        <row r="53">
          <cell r="B53" t="str">
            <v>KHAITANLTD</v>
          </cell>
          <cell r="C53">
            <v>31</v>
          </cell>
        </row>
        <row r="54">
          <cell r="B54" t="str">
            <v>VXLINSTR</v>
          </cell>
          <cell r="C54">
            <v>10</v>
          </cell>
        </row>
        <row r="72">
          <cell r="C72" t="str">
            <v>MARGIN %</v>
          </cell>
          <cell r="G72" t="str">
            <v>CUR. RATIO</v>
          </cell>
          <cell r="K72" t="str">
            <v>TR.DAYS</v>
          </cell>
        </row>
        <row r="73">
          <cell r="B73" t="str">
            <v>HAVELLS</v>
          </cell>
          <cell r="C73">
            <v>6.3390692448702032E-2</v>
          </cell>
          <cell r="F73" t="str">
            <v>HAVELLS</v>
          </cell>
          <cell r="G73">
            <v>1.9766755240625922</v>
          </cell>
          <cell r="J73" t="str">
            <v>HAVELLS</v>
          </cell>
          <cell r="K73">
            <v>11.676719295133344</v>
          </cell>
        </row>
        <row r="74">
          <cell r="B74" t="str">
            <v>DIXON</v>
          </cell>
          <cell r="C74">
            <v>2.0915354330708662E-2</v>
          </cell>
          <cell r="F74" t="str">
            <v>DIXON</v>
          </cell>
          <cell r="G74">
            <v>1.01187485727335</v>
          </cell>
          <cell r="J74" t="str">
            <v>DIXON</v>
          </cell>
          <cell r="K74">
            <v>63.108595800524931</v>
          </cell>
        </row>
        <row r="75">
          <cell r="B75" t="str">
            <v>SYMPHONY</v>
          </cell>
          <cell r="C75">
            <v>9.7725358045492844E-2</v>
          </cell>
          <cell r="F75" t="str">
            <v>SYMPHONY</v>
          </cell>
          <cell r="G75">
            <v>1.3822314049586777</v>
          </cell>
          <cell r="J75" t="str">
            <v>SYMPHONY</v>
          </cell>
          <cell r="K75">
            <v>16.604886267902277</v>
          </cell>
        </row>
        <row r="76">
          <cell r="B76" t="str">
            <v>PGEL</v>
          </cell>
          <cell r="C76">
            <v>3.5664659564613246E-2</v>
          </cell>
          <cell r="F76" t="str">
            <v>PGEL</v>
          </cell>
          <cell r="G76">
            <v>2.293975903614458</v>
          </cell>
          <cell r="J76" t="str">
            <v>PGEL</v>
          </cell>
          <cell r="K76">
            <v>32.121352477999075</v>
          </cell>
        </row>
        <row r="77">
          <cell r="B77" t="str">
            <v>IKIO</v>
          </cell>
          <cell r="C77">
            <v>0.1037344398340249</v>
          </cell>
          <cell r="F77" t="str">
            <v>IKIO</v>
          </cell>
          <cell r="G77">
            <v>5.7159090909090908</v>
          </cell>
          <cell r="J77" t="str">
            <v>IKIO</v>
          </cell>
          <cell r="K77">
            <v>140.85062240663902</v>
          </cell>
        </row>
        <row r="78">
          <cell r="B78" t="str">
            <v>HPL</v>
          </cell>
          <cell r="C78">
            <v>2.3771790808240888E-2</v>
          </cell>
          <cell r="F78" t="str">
            <v>HPL</v>
          </cell>
          <cell r="G78">
            <v>1.4793577981651376</v>
          </cell>
          <cell r="J78" t="str">
            <v>HPL</v>
          </cell>
          <cell r="K78">
            <v>183.94611727416799</v>
          </cell>
        </row>
        <row r="79">
          <cell r="B79" t="str">
            <v>BPL</v>
          </cell>
          <cell r="C79">
            <v>0.11538461538461539</v>
          </cell>
          <cell r="J79" t="str">
            <v>BPL</v>
          </cell>
          <cell r="K79">
            <v>126.34615384615384</v>
          </cell>
        </row>
        <row r="80">
          <cell r="B80" t="str">
            <v>MIRCELECTR</v>
          </cell>
          <cell r="C80">
            <v>-1.0810810810810811E-2</v>
          </cell>
          <cell r="J80" t="str">
            <v>MIRCELECTR</v>
          </cell>
          <cell r="K80">
            <v>53.927927927927925</v>
          </cell>
        </row>
        <row r="81">
          <cell r="B81" t="str">
            <v>CWD</v>
          </cell>
          <cell r="C81">
            <v>9.4630281690140844E-2</v>
          </cell>
          <cell r="J81" t="str">
            <v>CWD</v>
          </cell>
          <cell r="K81">
            <v>126.11135563380282</v>
          </cell>
        </row>
        <row r="82">
          <cell r="B82" t="str">
            <v>VETO</v>
          </cell>
          <cell r="C82">
            <v>6.8728522336769765E-2</v>
          </cell>
          <cell r="J82" t="str">
            <v>VETO</v>
          </cell>
          <cell r="K82">
            <v>141.73539518900344</v>
          </cell>
        </row>
        <row r="83">
          <cell r="B83" t="str">
            <v>CALCOM</v>
          </cell>
          <cell r="C83">
            <v>3.7499999999999999E-2</v>
          </cell>
          <cell r="J83" t="str">
            <v>CALCOM</v>
          </cell>
          <cell r="K83">
            <v>545.21875</v>
          </cell>
        </row>
        <row r="104">
          <cell r="C104" t="str">
            <v>DEBT2EQUITY</v>
          </cell>
          <cell r="G104" t="str">
            <v>ICR</v>
          </cell>
          <cell r="K104" t="str">
            <v>DEBTRATIO</v>
          </cell>
        </row>
        <row r="105">
          <cell r="B105" t="str">
            <v>HAVELLS</v>
          </cell>
          <cell r="C105">
            <v>0</v>
          </cell>
          <cell r="F105" t="str">
            <v>HAVELLS</v>
          </cell>
          <cell r="G105">
            <v>30.472727272727273</v>
          </cell>
          <cell r="J105" t="str">
            <v>HAVELLS</v>
          </cell>
          <cell r="K105">
            <v>0.37384280268651299</v>
          </cell>
        </row>
        <row r="106">
          <cell r="B106" t="str">
            <v>DIXON</v>
          </cell>
          <cell r="C106">
            <v>0.16734417344173441</v>
          </cell>
          <cell r="F106" t="str">
            <v>DIXON</v>
          </cell>
          <cell r="G106">
            <v>9.109375</v>
          </cell>
          <cell r="J106" t="str">
            <v>DIXON</v>
          </cell>
          <cell r="K106">
            <v>0.76788803270954553</v>
          </cell>
        </row>
        <row r="107">
          <cell r="B107" t="str">
            <v>SYMPHONY</v>
          </cell>
          <cell r="C107">
            <v>0.23494860499265785</v>
          </cell>
          <cell r="F107" t="str">
            <v>SYMPHONY</v>
          </cell>
          <cell r="G107">
            <v>12.583333333333334</v>
          </cell>
          <cell r="J107" t="str">
            <v>SYMPHONY</v>
          </cell>
          <cell r="K107">
            <v>0.46080760095011875</v>
          </cell>
        </row>
        <row r="108">
          <cell r="B108" t="str">
            <v>PGEL</v>
          </cell>
          <cell r="C108">
            <v>0.2857142857142857</v>
          </cell>
          <cell r="F108" t="str">
            <v>PGEL</v>
          </cell>
          <cell r="G108">
            <v>4.666666666666667</v>
          </cell>
          <cell r="J108" t="str">
            <v>PGEL</v>
          </cell>
          <cell r="K108">
            <v>0.42418661755678333</v>
          </cell>
        </row>
        <row r="109">
          <cell r="B109" t="str">
            <v>IKIO</v>
          </cell>
          <cell r="C109">
            <v>8.9694656488549615E-2</v>
          </cell>
          <cell r="F109" t="str">
            <v>IKIO</v>
          </cell>
          <cell r="G109">
            <v>9.6666666666666661</v>
          </cell>
          <cell r="J109" t="str">
            <v>IKIO</v>
          </cell>
          <cell r="K109">
            <v>0.18124999999999999</v>
          </cell>
        </row>
        <row r="110">
          <cell r="B110" t="str">
            <v>HPL</v>
          </cell>
          <cell r="C110">
            <v>0.77613776137761381</v>
          </cell>
          <cell r="F110" t="str">
            <v>HPL</v>
          </cell>
          <cell r="G110">
            <v>1</v>
          </cell>
          <cell r="J110" t="str">
            <v>HPL</v>
          </cell>
          <cell r="K110">
            <v>0.54555617663499156</v>
          </cell>
        </row>
        <row r="111">
          <cell r="B111" t="str">
            <v>BPL</v>
          </cell>
          <cell r="C111">
            <v>4.0201005025125629E-2</v>
          </cell>
          <cell r="F111" t="str">
            <v>BPL</v>
          </cell>
          <cell r="G111">
            <v>7</v>
          </cell>
          <cell r="J111" t="str">
            <v>BPL</v>
          </cell>
          <cell r="K111">
            <v>0.44144144144144143</v>
          </cell>
        </row>
        <row r="112">
          <cell r="B112" t="str">
            <v>MIRCELECTR</v>
          </cell>
          <cell r="C112">
            <v>0.6387096774193548</v>
          </cell>
          <cell r="F112" t="str">
            <v>MIRCELECTR</v>
          </cell>
          <cell r="G112">
            <v>1.4545454545454546</v>
          </cell>
          <cell r="J112" t="str">
            <v>MIRCELECTR</v>
          </cell>
          <cell r="K112">
            <v>0.72143974960876367</v>
          </cell>
        </row>
        <row r="113">
          <cell r="B113" t="str">
            <v>CWD</v>
          </cell>
          <cell r="C113">
            <v>0.26765188834154352</v>
          </cell>
          <cell r="F113" t="str">
            <v>CWD</v>
          </cell>
          <cell r="G113">
            <v>12.86</v>
          </cell>
          <cell r="J113" t="str">
            <v>CWD</v>
          </cell>
          <cell r="K113">
            <v>0.35294117647058826</v>
          </cell>
        </row>
        <row r="114">
          <cell r="B114" t="str">
            <v>VETO</v>
          </cell>
          <cell r="C114">
            <v>0.21333333333333335</v>
          </cell>
          <cell r="F114" t="str">
            <v>VETO</v>
          </cell>
          <cell r="G114">
            <v>6.4</v>
          </cell>
          <cell r="J114" t="str">
            <v>VETO</v>
          </cell>
          <cell r="K114">
            <v>0.28235294117647058</v>
          </cell>
        </row>
        <row r="115">
          <cell r="B115" t="str">
            <v>CALCOM</v>
          </cell>
          <cell r="C115">
            <v>0.55737704918032782</v>
          </cell>
          <cell r="F115" t="str">
            <v>CALCOM</v>
          </cell>
          <cell r="G115">
            <v>3</v>
          </cell>
          <cell r="J115" t="str">
            <v>CALCOM</v>
          </cell>
          <cell r="K115">
            <v>0.46762589928057552</v>
          </cell>
        </row>
        <row r="137">
          <cell r="C137" t="str">
            <v>ROE</v>
          </cell>
          <cell r="D137" t="str">
            <v>ROA</v>
          </cell>
          <cell r="H137" t="str">
            <v>TRAIL_PE</v>
          </cell>
        </row>
        <row r="138">
          <cell r="B138" t="str">
            <v>HAVELLS</v>
          </cell>
          <cell r="C138">
            <v>0.15397874174087905</v>
          </cell>
          <cell r="D138">
            <v>9.7295334906516609E-2</v>
          </cell>
          <cell r="G138" t="str">
            <v>HAVELLS</v>
          </cell>
          <cell r="H138">
            <v>71.155885471898202</v>
          </cell>
        </row>
        <row r="139">
          <cell r="B139" t="str">
            <v>DIXON</v>
          </cell>
          <cell r="C139">
            <v>0.1714862138533961</v>
          </cell>
          <cell r="D139">
            <v>4.0100644755464696E-2</v>
          </cell>
          <cell r="G139" t="str">
            <v>DIXON</v>
          </cell>
          <cell r="H139">
            <v>170.56727870649493</v>
          </cell>
        </row>
        <row r="140">
          <cell r="B140" t="str">
            <v>SYMPHONY</v>
          </cell>
          <cell r="C140">
            <v>0.1669064748201439</v>
          </cell>
          <cell r="D140">
            <v>9.1844813935075223E-2</v>
          </cell>
          <cell r="G140" t="str">
            <v>SYMPHONY</v>
          </cell>
          <cell r="H140">
            <v>40.761058109280143</v>
          </cell>
        </row>
        <row r="141">
          <cell r="B141" t="str">
            <v>PGEL</v>
          </cell>
          <cell r="C141">
            <v>7.9875518672199164E-2</v>
          </cell>
          <cell r="D141">
            <v>4.7268262737875995E-2</v>
          </cell>
          <cell r="G141" t="str">
            <v>PGEL</v>
          </cell>
          <cell r="H141">
            <v>103.00207039337474</v>
          </cell>
        </row>
        <row r="142">
          <cell r="B142" t="str">
            <v>IKIO</v>
          </cell>
          <cell r="C142">
            <v>8.3194675540765387E-2</v>
          </cell>
          <cell r="D142">
            <v>7.8125E-2</v>
          </cell>
          <cell r="G142" t="str">
            <v>IKIO</v>
          </cell>
          <cell r="H142">
            <v>105.22222222222223</v>
          </cell>
        </row>
        <row r="143">
          <cell r="B143" t="str">
            <v>HPL</v>
          </cell>
          <cell r="C143">
            <v>3.4207525655644243E-2</v>
          </cell>
          <cell r="D143">
            <v>1.6769144773616546E-2</v>
          </cell>
          <cell r="G143" t="str">
            <v>HPL</v>
          </cell>
          <cell r="H143">
            <v>61.774509803921575</v>
          </cell>
        </row>
        <row r="144">
          <cell r="B144" t="str">
            <v>BPL</v>
          </cell>
          <cell r="C144">
            <v>2.4193548387096774E-2</v>
          </cell>
          <cell r="D144">
            <v>1.3513513513513514E-2</v>
          </cell>
          <cell r="G144" t="str">
            <v>BPL</v>
          </cell>
          <cell r="H144">
            <v>40.404040404040401</v>
          </cell>
        </row>
        <row r="145">
          <cell r="B145" t="str">
            <v>MIRCELECTR</v>
          </cell>
          <cell r="C145">
            <v>-6.741573033707865E-2</v>
          </cell>
          <cell r="D145">
            <v>-1.8779342723004695E-2</v>
          </cell>
          <cell r="G145" t="str">
            <v>MIRCELECTR</v>
          </cell>
          <cell r="H145">
            <v>-24.141414141414142</v>
          </cell>
        </row>
        <row r="146">
          <cell r="B146" t="str">
            <v>CWD</v>
          </cell>
          <cell r="C146">
            <v>9.83081847279378E-2</v>
          </cell>
          <cell r="D146">
            <v>6.3235294117647056E-2</v>
          </cell>
          <cell r="G146" t="str">
            <v>CWD</v>
          </cell>
          <cell r="H146">
            <v>-184.08163265306121</v>
          </cell>
        </row>
        <row r="147">
          <cell r="B147" t="str">
            <v>VETO</v>
          </cell>
          <cell r="C147">
            <v>8.1967213114754092E-2</v>
          </cell>
          <cell r="D147">
            <v>5.8823529411764705E-2</v>
          </cell>
          <cell r="G147" t="str">
            <v>VETO</v>
          </cell>
          <cell r="H147">
            <v>13.444564047362757</v>
          </cell>
        </row>
        <row r="148">
          <cell r="B148" t="str">
            <v>CALCOM</v>
          </cell>
          <cell r="C148">
            <v>8.1081081081081086E-2</v>
          </cell>
          <cell r="D148">
            <v>4.3165467625899283E-2</v>
          </cell>
          <cell r="G148" t="str">
            <v>CALCOM</v>
          </cell>
          <cell r="H148">
            <v>56.562500000000007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E9A1-EEBA-452A-A9D0-0E14B94013D6}">
  <sheetPr>
    <outlinePr summaryBelow="0" summaryRight="0"/>
  </sheetPr>
  <dimension ref="B1:AB89"/>
  <sheetViews>
    <sheetView showGridLines="0" tabSelected="1" workbookViewId="0"/>
  </sheetViews>
  <sheetFormatPr defaultColWidth="12.6640625" defaultRowHeight="15.75" customHeight="1" x14ac:dyDescent="0.3"/>
  <cols>
    <col min="1" max="1" width="7.21875" customWidth="1"/>
  </cols>
  <sheetData>
    <row r="1" spans="2:23" ht="13.8" x14ac:dyDescent="0.3">
      <c r="E1" s="1" t="s">
        <v>0</v>
      </c>
      <c r="I1" s="1" t="s">
        <v>1</v>
      </c>
      <c r="R1" s="1" t="s">
        <v>2</v>
      </c>
    </row>
    <row r="2" spans="2:23" ht="13.8" x14ac:dyDescent="0.3"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19</v>
      </c>
    </row>
    <row r="3" spans="2:23" ht="15.75" customHeight="1" x14ac:dyDescent="0.3">
      <c r="B3" s="2" t="s">
        <v>24</v>
      </c>
      <c r="C3" s="3">
        <f ca="1">IFERROR(__xludf.DUMMYFUNCTION("GOOGLEFINANCE(""nse:""&amp;B3,""price"")"),1634)</f>
        <v>1634</v>
      </c>
      <c r="D3" s="3">
        <f ca="1">IFERROR(__xludf.DUMMYFUNCTION("GOOGLEFINANCE(""nse:""&amp;B3,""MARKETCAP"")/10000000"),102442.2411)</f>
        <v>102442.2411</v>
      </c>
      <c r="E3" s="4">
        <f t="shared" ref="E3:G4" si="0">D28</f>
        <v>20201</v>
      </c>
      <c r="F3" s="5">
        <f t="shared" si="0"/>
        <v>1409</v>
      </c>
      <c r="G3" s="6">
        <f t="shared" si="0"/>
        <v>22.49</v>
      </c>
      <c r="H3" s="4">
        <v>1</v>
      </c>
      <c r="I3" s="6">
        <v>62.67</v>
      </c>
      <c r="J3" s="7">
        <v>7731</v>
      </c>
      <c r="K3" s="4">
        <v>0</v>
      </c>
      <c r="L3" s="4">
        <f>264+67</f>
        <v>331</v>
      </c>
      <c r="M3" s="4">
        <v>8090</v>
      </c>
      <c r="N3" s="4">
        <v>4317</v>
      </c>
      <c r="O3" s="4">
        <v>12843</v>
      </c>
      <c r="P3" s="4">
        <v>5034</v>
      </c>
      <c r="Q3" s="5">
        <v>730</v>
      </c>
      <c r="R3" s="7">
        <v>354</v>
      </c>
      <c r="S3" s="7">
        <v>967</v>
      </c>
      <c r="T3" s="7">
        <v>-270</v>
      </c>
      <c r="U3" s="7">
        <v>-367</v>
      </c>
      <c r="V3" s="7">
        <f t="shared" ref="V3:V4" si="1">SUM(S3:U3)</f>
        <v>330</v>
      </c>
      <c r="W3" s="7">
        <v>786</v>
      </c>
    </row>
    <row r="4" spans="2:23" ht="15.75" customHeight="1" x14ac:dyDescent="0.3">
      <c r="B4" s="2" t="s">
        <v>25</v>
      </c>
      <c r="C4" s="7">
        <v>1515</v>
      </c>
      <c r="D4" s="8">
        <f ca="1">C4*D3/C3</f>
        <v>94981.63725</v>
      </c>
      <c r="E4" s="2">
        <f t="shared" si="0"/>
        <v>18590</v>
      </c>
      <c r="F4" s="8">
        <f t="shared" si="0"/>
        <v>1270</v>
      </c>
      <c r="G4" s="9">
        <f t="shared" si="0"/>
        <v>20.28</v>
      </c>
      <c r="H4" s="2">
        <v>1</v>
      </c>
      <c r="I4" s="9">
        <v>62.65</v>
      </c>
      <c r="J4" s="7">
        <v>7384</v>
      </c>
      <c r="K4" s="4">
        <v>0</v>
      </c>
      <c r="L4" s="2">
        <f>242+61</f>
        <v>303</v>
      </c>
      <c r="M4" s="2">
        <v>7897</v>
      </c>
      <c r="N4" s="2">
        <v>4283</v>
      </c>
      <c r="O4" s="2">
        <v>12432</v>
      </c>
      <c r="P4" s="2">
        <v>4986</v>
      </c>
      <c r="Q4" s="2">
        <v>1165</v>
      </c>
      <c r="R4" s="7">
        <v>296</v>
      </c>
      <c r="S4" s="7">
        <v>948</v>
      </c>
      <c r="T4" s="7">
        <v>-647</v>
      </c>
      <c r="U4" s="7">
        <v>-295</v>
      </c>
      <c r="V4" s="7">
        <f t="shared" si="1"/>
        <v>6</v>
      </c>
      <c r="W4" s="7">
        <v>588</v>
      </c>
    </row>
    <row r="5" spans="2:23" ht="15.75" customHeight="1" x14ac:dyDescent="0.3">
      <c r="B5" s="2" t="s">
        <v>26</v>
      </c>
      <c r="C5" s="10">
        <f t="shared" ref="C5:R5" ca="1" si="2">(C3/C4)-1</f>
        <v>7.8547854785478544E-2</v>
      </c>
      <c r="D5" s="10">
        <f t="shared" ca="1" si="2"/>
        <v>7.8547854785478544E-2</v>
      </c>
      <c r="E5" s="10">
        <f t="shared" si="2"/>
        <v>8.665949435180198E-2</v>
      </c>
      <c r="F5" s="10">
        <f t="shared" si="2"/>
        <v>0.10944881889763769</v>
      </c>
      <c r="G5" s="10">
        <f t="shared" si="2"/>
        <v>0.10897435897435881</v>
      </c>
      <c r="H5" s="10">
        <f t="shared" si="2"/>
        <v>0</v>
      </c>
      <c r="I5" s="10">
        <f t="shared" si="2"/>
        <v>3.1923383878695866E-4</v>
      </c>
      <c r="J5" s="10">
        <f t="shared" si="2"/>
        <v>4.6993499458288124E-2</v>
      </c>
      <c r="K5" s="10" t="e">
        <f t="shared" si="2"/>
        <v>#DIV/0!</v>
      </c>
      <c r="L5" s="10">
        <f t="shared" si="2"/>
        <v>9.2409240924092417E-2</v>
      </c>
      <c r="M5" s="10">
        <f t="shared" si="2"/>
        <v>2.4439660630619198E-2</v>
      </c>
      <c r="N5" s="10">
        <f t="shared" si="2"/>
        <v>7.9383609619425588E-3</v>
      </c>
      <c r="O5" s="10">
        <f t="shared" si="2"/>
        <v>3.3059845559845646E-2</v>
      </c>
      <c r="P5" s="10">
        <f t="shared" si="2"/>
        <v>9.6269554753309894E-3</v>
      </c>
      <c r="Q5" s="10">
        <f t="shared" si="2"/>
        <v>-0.37339055793991416</v>
      </c>
      <c r="R5" s="10">
        <f t="shared" si="2"/>
        <v>0.19594594594594605</v>
      </c>
      <c r="S5" s="10">
        <v>8.23</v>
      </c>
      <c r="T5" s="10">
        <f t="shared" ref="T5:W5" si="3">(T3/T4)-1</f>
        <v>-0.58268933539412671</v>
      </c>
      <c r="U5" s="10">
        <f t="shared" si="3"/>
        <v>0.24406779661016942</v>
      </c>
      <c r="V5" s="10">
        <f t="shared" si="3"/>
        <v>54</v>
      </c>
      <c r="W5" s="10">
        <f t="shared" si="3"/>
        <v>0.33673469387755106</v>
      </c>
    </row>
    <row r="6" spans="2:23" ht="15.75" customHeight="1" x14ac:dyDescent="0.3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23" ht="15.75" customHeight="1" x14ac:dyDescent="0.3">
      <c r="B7" s="12" t="s">
        <v>26</v>
      </c>
      <c r="C7" s="12" t="s">
        <v>27</v>
      </c>
      <c r="D7" s="11"/>
      <c r="E7" s="11"/>
      <c r="F7" s="12" t="s">
        <v>28</v>
      </c>
      <c r="G7" s="11"/>
      <c r="H7" s="11"/>
      <c r="I7" s="12" t="s">
        <v>29</v>
      </c>
      <c r="J7" s="11"/>
      <c r="K7" s="11"/>
      <c r="L7" s="12" t="s">
        <v>30</v>
      </c>
      <c r="M7" s="11"/>
      <c r="N7" s="11"/>
      <c r="O7" s="11"/>
      <c r="P7" s="11"/>
      <c r="Q7" s="13" t="s">
        <v>2</v>
      </c>
      <c r="R7" s="14"/>
      <c r="S7" s="14"/>
    </row>
    <row r="8" spans="2:23" ht="14.4" x14ac:dyDescent="0.3">
      <c r="B8" s="12" t="s">
        <v>31</v>
      </c>
      <c r="C8" s="12" t="s">
        <v>32</v>
      </c>
      <c r="D8" s="12" t="s">
        <v>33</v>
      </c>
      <c r="E8" s="12" t="s">
        <v>34</v>
      </c>
      <c r="F8" s="12" t="s">
        <v>35</v>
      </c>
      <c r="G8" s="12" t="s">
        <v>36</v>
      </c>
      <c r="H8" s="12" t="s">
        <v>37</v>
      </c>
      <c r="I8" s="12" t="s">
        <v>38</v>
      </c>
      <c r="J8" s="12" t="s">
        <v>39</v>
      </c>
      <c r="K8" s="12" t="s">
        <v>40</v>
      </c>
      <c r="L8" s="12" t="s">
        <v>41</v>
      </c>
      <c r="M8" s="12" t="s">
        <v>42</v>
      </c>
      <c r="N8" s="12" t="s">
        <v>43</v>
      </c>
      <c r="O8" s="12" t="s">
        <v>44</v>
      </c>
      <c r="P8" s="12" t="s">
        <v>45</v>
      </c>
      <c r="Q8" s="15" t="s">
        <v>46</v>
      </c>
      <c r="R8" s="16" t="s">
        <v>47</v>
      </c>
      <c r="S8" s="16" t="s">
        <v>48</v>
      </c>
      <c r="T8" s="17"/>
      <c r="U8" s="17"/>
    </row>
    <row r="9" spans="2:23" ht="15.75" customHeight="1" x14ac:dyDescent="0.3">
      <c r="B9" s="18">
        <f>M16</f>
        <v>0.18</v>
      </c>
      <c r="C9" s="19">
        <f>P27</f>
        <v>6.5248912518124702E-2</v>
      </c>
      <c r="D9" s="20">
        <f>M3/N3</f>
        <v>1.8739865647440352</v>
      </c>
      <c r="E9" s="21">
        <f>(Q3/E3)*365</f>
        <v>13.189941092025148</v>
      </c>
      <c r="F9" s="18">
        <f>K3/(I3+J3)</f>
        <v>0</v>
      </c>
      <c r="G9" s="18">
        <f>P3/O3</f>
        <v>0.39196449427703806</v>
      </c>
      <c r="H9" s="22">
        <f>P28</f>
        <v>40.05263157894737</v>
      </c>
      <c r="I9" s="18">
        <f>F3/(J3+I3)</f>
        <v>0.1807877418469091</v>
      </c>
      <c r="J9" s="20">
        <f>F3/I3</f>
        <v>22.482846657092708</v>
      </c>
      <c r="K9" s="18">
        <f>F3/O3</f>
        <v>0.10970956941524566</v>
      </c>
      <c r="L9" s="20">
        <f ca="1">C3/G3</f>
        <v>72.654513116940862</v>
      </c>
      <c r="M9" s="19">
        <f ca="1">G3/C3</f>
        <v>1.376376988984088E-2</v>
      </c>
      <c r="N9" s="22">
        <f>(I3+J3)/(I3)</f>
        <v>124.36045955002393</v>
      </c>
      <c r="O9" s="23">
        <v>12.6</v>
      </c>
      <c r="P9" s="22">
        <f>S17</f>
        <v>0</v>
      </c>
      <c r="Q9" s="24">
        <f>S3-N3</f>
        <v>-3350</v>
      </c>
      <c r="R9" s="24">
        <f>S3-K3</f>
        <v>967</v>
      </c>
      <c r="S9" s="25">
        <f>S3-R3</f>
        <v>613</v>
      </c>
    </row>
    <row r="11" spans="2:23" ht="13.8" x14ac:dyDescent="0.3">
      <c r="B11" s="12" t="s">
        <v>49</v>
      </c>
      <c r="C11" s="1" t="s">
        <v>50</v>
      </c>
      <c r="D11" s="1" t="s">
        <v>6</v>
      </c>
      <c r="E11" s="1" t="s">
        <v>7</v>
      </c>
      <c r="F11" s="1" t="s">
        <v>51</v>
      </c>
      <c r="G11" s="1" t="s">
        <v>52</v>
      </c>
    </row>
    <row r="12" spans="2:23" ht="13.8" x14ac:dyDescent="0.3">
      <c r="B12" s="26"/>
      <c r="C12" s="27" t="s">
        <v>53</v>
      </c>
      <c r="D12" s="28">
        <f t="shared" ref="D12:F12" si="4">FV(12%,5,0,-D13,0)</f>
        <v>75597.868864401462</v>
      </c>
      <c r="E12" s="28">
        <f t="shared" si="4"/>
        <v>6119.661684763174</v>
      </c>
      <c r="F12" s="28">
        <f t="shared" si="4"/>
        <v>97.40950065651036</v>
      </c>
      <c r="G12" s="28">
        <f t="shared" ref="G12:G13" si="5">F12*35</f>
        <v>3409.3325229778625</v>
      </c>
      <c r="J12" s="1" t="s">
        <v>54</v>
      </c>
      <c r="K12" s="1" t="s">
        <v>55</v>
      </c>
      <c r="L12" s="1" t="s">
        <v>56</v>
      </c>
      <c r="M12" s="1" t="s">
        <v>57</v>
      </c>
      <c r="N12" s="1" t="s">
        <v>58</v>
      </c>
      <c r="P12" s="26"/>
      <c r="Q12" s="26"/>
      <c r="R12" s="26"/>
      <c r="S12" s="26"/>
      <c r="T12" s="26"/>
    </row>
    <row r="13" spans="2:23" ht="15.75" customHeight="1" x14ac:dyDescent="0.3">
      <c r="B13" s="26"/>
      <c r="C13" s="27" t="s">
        <v>59</v>
      </c>
      <c r="D13" s="28">
        <f>FV(D17,5,0,-D14,0)</f>
        <v>42896.261028754314</v>
      </c>
      <c r="E13" s="28">
        <f t="shared" ref="E13:E14" si="6">D13*G17</f>
        <v>3472.4603878467533</v>
      </c>
      <c r="F13" s="28">
        <f>(E13*F14)/E14</f>
        <v>55.272766674642504</v>
      </c>
      <c r="G13" s="28">
        <f t="shared" si="5"/>
        <v>1934.5468336124877</v>
      </c>
      <c r="J13" s="29">
        <v>4.59</v>
      </c>
      <c r="K13" s="29">
        <v>7.13</v>
      </c>
      <c r="L13" s="29">
        <v>6.49</v>
      </c>
      <c r="M13" s="29">
        <v>4.28</v>
      </c>
      <c r="N13" s="30">
        <f>SUM(J13:M13)</f>
        <v>22.490000000000002</v>
      </c>
    </row>
    <row r="14" spans="2:23" ht="13.8" x14ac:dyDescent="0.3">
      <c r="B14" s="26"/>
      <c r="C14" s="27" t="s">
        <v>60</v>
      </c>
      <c r="D14" s="28">
        <f>FV(D18,1,0,-D29,0)</f>
        <v>21378.5</v>
      </c>
      <c r="E14" s="28">
        <f t="shared" si="6"/>
        <v>1261.3315</v>
      </c>
      <c r="F14" s="31">
        <f>FV(F18,1,0,-F29,0)</f>
        <v>20.077200000000001</v>
      </c>
      <c r="G14" s="28">
        <f>F14*40</f>
        <v>803.08800000000008</v>
      </c>
    </row>
    <row r="15" spans="2:23" ht="13.8" x14ac:dyDescent="0.3">
      <c r="B15" s="26"/>
      <c r="C15" s="26"/>
      <c r="D15" s="26"/>
      <c r="E15" s="26"/>
      <c r="F15" s="26"/>
      <c r="G15" s="26"/>
      <c r="I15" s="12" t="s">
        <v>61</v>
      </c>
      <c r="J15" s="1" t="s">
        <v>62</v>
      </c>
      <c r="K15" s="1" t="s">
        <v>63</v>
      </c>
      <c r="L15" s="1" t="s">
        <v>64</v>
      </c>
      <c r="M15" s="1" t="s">
        <v>65</v>
      </c>
      <c r="N15" s="1" t="s">
        <v>66</v>
      </c>
      <c r="P15" s="32" t="s">
        <v>67</v>
      </c>
      <c r="Q15" s="32" t="s">
        <v>68</v>
      </c>
      <c r="R15" s="32" t="s">
        <v>69</v>
      </c>
      <c r="S15" s="32" t="s">
        <v>70</v>
      </c>
    </row>
    <row r="16" spans="2:23" ht="15.75" customHeight="1" x14ac:dyDescent="0.3">
      <c r="B16" s="12" t="s">
        <v>71</v>
      </c>
      <c r="C16" s="1" t="s">
        <v>50</v>
      </c>
      <c r="D16" s="1" t="s">
        <v>6</v>
      </c>
      <c r="E16" s="1" t="s">
        <v>7</v>
      </c>
      <c r="F16" s="1" t="s">
        <v>51</v>
      </c>
      <c r="G16" s="1" t="s">
        <v>72</v>
      </c>
      <c r="I16" s="33" t="s">
        <v>6</v>
      </c>
      <c r="J16" s="34">
        <v>0.09</v>
      </c>
      <c r="K16" s="34">
        <v>0.1</v>
      </c>
      <c r="L16" s="34">
        <v>0.2</v>
      </c>
      <c r="M16" s="34">
        <v>0.18</v>
      </c>
      <c r="N16" s="34">
        <v>0.15</v>
      </c>
      <c r="P16" s="35">
        <v>20.28</v>
      </c>
      <c r="Q16" s="35">
        <v>22.49</v>
      </c>
      <c r="R16" s="36">
        <f>F14</f>
        <v>20.077200000000001</v>
      </c>
      <c r="S16" s="37">
        <f ca="1">R18/-1</f>
        <v>-81.385850616619848</v>
      </c>
    </row>
    <row r="17" spans="2:28" ht="13.8" x14ac:dyDescent="0.3">
      <c r="B17" s="26"/>
      <c r="C17" s="27" t="s">
        <v>73</v>
      </c>
      <c r="D17" s="34">
        <f t="shared" ref="D17:E17" si="7">AVERAGE(D21:D25)</f>
        <v>0.14944565210057878</v>
      </c>
      <c r="E17" s="34">
        <f t="shared" si="7"/>
        <v>0.15411859635907113</v>
      </c>
      <c r="F17" s="34">
        <v>0.15</v>
      </c>
      <c r="G17" s="38">
        <f>AVERAGE(H21:H25)</f>
        <v>8.0950187838494503E-2</v>
      </c>
      <c r="I17" s="33" t="s">
        <v>7</v>
      </c>
      <c r="J17" s="34">
        <v>0.15</v>
      </c>
      <c r="K17" s="34">
        <v>0.19</v>
      </c>
      <c r="L17" s="34">
        <v>0.42</v>
      </c>
      <c r="M17" s="34">
        <v>0.26</v>
      </c>
      <c r="N17" s="34">
        <v>-0.01</v>
      </c>
      <c r="P17" s="32" t="s">
        <v>74</v>
      </c>
      <c r="Q17" s="32" t="s">
        <v>75</v>
      </c>
      <c r="R17" s="32" t="s">
        <v>76</v>
      </c>
      <c r="S17" s="39"/>
    </row>
    <row r="18" spans="2:28" ht="15.75" customHeight="1" x14ac:dyDescent="0.3">
      <c r="B18" s="26"/>
      <c r="C18" s="27" t="s">
        <v>60</v>
      </c>
      <c r="D18" s="34">
        <v>0.15</v>
      </c>
      <c r="E18" s="34">
        <f>(E14/E29)-1</f>
        <v>-6.8255905511811488E-3</v>
      </c>
      <c r="F18" s="34">
        <v>-0.01</v>
      </c>
      <c r="G18" s="38">
        <v>5.8999999999999997E-2</v>
      </c>
      <c r="I18" s="33" t="s">
        <v>72</v>
      </c>
      <c r="J18" s="40">
        <v>6.3E-2</v>
      </c>
      <c r="K18" s="40">
        <v>6.8000000000000005E-2</v>
      </c>
      <c r="L18" s="40">
        <v>7.0000000000000007E-2</v>
      </c>
      <c r="M18" s="40">
        <v>6.5000000000000002E-2</v>
      </c>
      <c r="N18" s="40">
        <v>5.8999999999999997E-2</v>
      </c>
      <c r="P18" s="41">
        <f>1515/P16</f>
        <v>74.704142011834321</v>
      </c>
      <c r="Q18" s="41">
        <f ca="1">C3/Q16</f>
        <v>72.654513116940862</v>
      </c>
      <c r="R18" s="41">
        <f ca="1">C3/R16</f>
        <v>81.385850616619848</v>
      </c>
      <c r="S18" s="39"/>
    </row>
    <row r="19" spans="2:28" ht="13.8" x14ac:dyDescent="0.3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2:28" ht="13.8" x14ac:dyDescent="0.3">
      <c r="B20" s="12" t="s">
        <v>77</v>
      </c>
      <c r="C20" s="1" t="s">
        <v>50</v>
      </c>
      <c r="D20" s="1" t="s">
        <v>6</v>
      </c>
      <c r="E20" s="1" t="s">
        <v>7</v>
      </c>
      <c r="F20" s="1" t="s">
        <v>51</v>
      </c>
      <c r="G20" s="1" t="s">
        <v>10</v>
      </c>
      <c r="H20" s="42" t="s">
        <v>78</v>
      </c>
      <c r="I20" s="1" t="s">
        <v>79</v>
      </c>
      <c r="J20" s="1" t="s">
        <v>80</v>
      </c>
      <c r="K20" s="1" t="s">
        <v>81</v>
      </c>
      <c r="L20" s="1" t="s">
        <v>82</v>
      </c>
      <c r="M20" s="1" t="s">
        <v>11</v>
      </c>
      <c r="O20" s="1" t="s">
        <v>83</v>
      </c>
      <c r="P20" s="1" t="s">
        <v>65</v>
      </c>
      <c r="Q20" s="1" t="s">
        <v>84</v>
      </c>
      <c r="R20" s="1" t="s">
        <v>77</v>
      </c>
      <c r="T20" s="1" t="s">
        <v>83</v>
      </c>
      <c r="U20" s="1" t="s">
        <v>85</v>
      </c>
      <c r="V20" s="1" t="s">
        <v>86</v>
      </c>
      <c r="W20" s="1" t="s">
        <v>77</v>
      </c>
      <c r="Y20" s="1" t="s">
        <v>83</v>
      </c>
      <c r="Z20" s="1" t="s">
        <v>64</v>
      </c>
      <c r="AA20" s="1" t="s">
        <v>87</v>
      </c>
      <c r="AB20" s="1" t="s">
        <v>77</v>
      </c>
    </row>
    <row r="21" spans="2:28" ht="14.4" x14ac:dyDescent="0.3">
      <c r="B21" s="26"/>
      <c r="C21" s="33" t="s">
        <v>88</v>
      </c>
      <c r="D21" s="34">
        <f t="shared" ref="D21:E21" si="8">(D29/D49)^(1/20)-1</f>
        <v>0.21749907025395254</v>
      </c>
      <c r="E21" s="34">
        <f t="shared" si="8"/>
        <v>0.22766315344773291</v>
      </c>
      <c r="F21" s="34">
        <f>((80*F29)/F49)^(1/20)-1</f>
        <v>0.25212583262815502</v>
      </c>
      <c r="G21" s="34">
        <f>(G29/G49)^(1/20)-1</f>
        <v>0.12475896892613769</v>
      </c>
      <c r="H21" s="40">
        <f>MEDIAN(H29:H49)</f>
        <v>8.3969465648854963E-2</v>
      </c>
      <c r="I21" s="34">
        <f t="shared" ref="I21:J21" si="9">((80*I29)/I49)^(1/20)-1</f>
        <v>0.3514826431585345</v>
      </c>
      <c r="J21" s="34">
        <f t="shared" si="9"/>
        <v>0.40439172020322567</v>
      </c>
      <c r="K21" s="43">
        <f t="shared" ref="K21:L21" si="10">MEDIAN(K29:K49)</f>
        <v>42.10526315789474</v>
      </c>
      <c r="L21" s="43">
        <f t="shared" si="10"/>
        <v>17.30510752688172</v>
      </c>
      <c r="M21" s="34">
        <f>(M29/M49)^(1/20)-1</f>
        <v>0.27877723535972798</v>
      </c>
      <c r="O21" s="44" t="s">
        <v>6</v>
      </c>
      <c r="P21" s="44">
        <v>10345</v>
      </c>
      <c r="Q21" s="44">
        <v>8734</v>
      </c>
      <c r="R21" s="45">
        <f t="shared" ref="R21:R26" si="11">(P21/Q21)^(1/1)-1</f>
        <v>0.18445156858255096</v>
      </c>
      <c r="T21" s="44" t="s">
        <v>6</v>
      </c>
      <c r="U21" s="44">
        <v>4539</v>
      </c>
      <c r="V21" s="44">
        <v>3900</v>
      </c>
      <c r="W21" s="45">
        <f t="shared" ref="W21:W26" si="12">(U21/V21)^(1/1)-1</f>
        <v>0.16384615384615375</v>
      </c>
      <c r="Y21" s="44" t="s">
        <v>6</v>
      </c>
      <c r="Z21" s="44">
        <v>5806</v>
      </c>
      <c r="AA21" s="44">
        <v>4833</v>
      </c>
      <c r="AB21" s="45">
        <f t="shared" ref="AB21:AB26" si="13">(Z21/AA21)^(1/1)-1</f>
        <v>0.20132422925719018</v>
      </c>
    </row>
    <row r="22" spans="2:28" ht="14.4" x14ac:dyDescent="0.3">
      <c r="B22" s="26"/>
      <c r="C22" s="33" t="s">
        <v>89</v>
      </c>
      <c r="D22" s="34">
        <f t="shared" ref="D22:E22" si="14">(D29/D44)^(1/15)-1</f>
        <v>0.15296674230596996</v>
      </c>
      <c r="E22" s="34">
        <f t="shared" si="14"/>
        <v>0.15565724929373959</v>
      </c>
      <c r="F22" s="34">
        <f>((10*F29)/F44)^(1/15)-1</f>
        <v>0.14997847515726614</v>
      </c>
      <c r="G22" s="34">
        <f>(G29/G44)^(1/15)-1</f>
        <v>5.0706179117659067E-2</v>
      </c>
      <c r="H22" s="40">
        <f>MEDIAN(H29:H44)</f>
        <v>8.6677100205650059E-2</v>
      </c>
      <c r="I22" s="34">
        <f t="shared" ref="I22:J22" si="15">((10*I29)/I44)^(1/15)-1</f>
        <v>0.25535741380660859</v>
      </c>
      <c r="J22" s="34">
        <f t="shared" si="15"/>
        <v>0.37271560457685782</v>
      </c>
      <c r="K22" s="43">
        <f t="shared" ref="K22:L22" si="16">MEDIAN(K29:K44)</f>
        <v>49.387150308202941</v>
      </c>
      <c r="L22" s="43">
        <f t="shared" si="16"/>
        <v>25.132413218906109</v>
      </c>
      <c r="M22" s="34">
        <f>(M30/M45)^(1/15)-1</f>
        <v>0.16750682692346808</v>
      </c>
      <c r="O22" s="44" t="s">
        <v>90</v>
      </c>
      <c r="P22" s="44">
        <v>19</v>
      </c>
      <c r="Q22" s="44">
        <v>18</v>
      </c>
      <c r="R22" s="45">
        <f t="shared" si="11"/>
        <v>5.555555555555558E-2</v>
      </c>
      <c r="T22" s="44" t="s">
        <v>90</v>
      </c>
      <c r="U22" s="44">
        <v>10</v>
      </c>
      <c r="V22" s="44">
        <v>9</v>
      </c>
      <c r="W22" s="45">
        <f t="shared" si="12"/>
        <v>0.11111111111111116</v>
      </c>
      <c r="Y22" s="44" t="s">
        <v>90</v>
      </c>
      <c r="Z22" s="44">
        <v>8.5500000000000007</v>
      </c>
      <c r="AA22" s="44">
        <v>8.4700000000000006</v>
      </c>
      <c r="AB22" s="45">
        <f t="shared" si="13"/>
        <v>9.445100354191327E-3</v>
      </c>
    </row>
    <row r="23" spans="2:28" ht="14.4" x14ac:dyDescent="0.3">
      <c r="B23" s="26"/>
      <c r="C23" s="33" t="s">
        <v>91</v>
      </c>
      <c r="D23" s="34">
        <f t="shared" ref="D23:E23" si="17">(D29/D39)^(1/10)-1</f>
        <v>0.14692161906833534</v>
      </c>
      <c r="E23" s="34">
        <f t="shared" si="17"/>
        <v>0.10241933287775029</v>
      </c>
      <c r="F23" s="34">
        <f>((5*F29)/F39)^(1/10)-1</f>
        <v>0.1020871423138483</v>
      </c>
      <c r="G23" s="34">
        <f>(G29/G39)^(1/10)-1</f>
        <v>1.6013148722435755E-3</v>
      </c>
      <c r="H23" s="40">
        <f>MEDIAN(H29:H39)</f>
        <v>8.7480034402260723E-2</v>
      </c>
      <c r="I23" s="34">
        <f t="shared" ref="I23:J23" si="18">((5*I29)/I39)^(1/10)-1</f>
        <v>0.23861528058801817</v>
      </c>
      <c r="J23" s="34">
        <f t="shared" si="18"/>
        <v>0.25741343052732857</v>
      </c>
      <c r="K23" s="43">
        <f>MEDIAN(K29:K39)</f>
        <v>61.611374407582936</v>
      </c>
      <c r="L23" s="43">
        <f>MEDIAN(L30:L40)</f>
        <v>35.110081112398603</v>
      </c>
      <c r="M23" s="34">
        <f>(M30/M40)^(1/10)-1</f>
        <v>0.16875190507747861</v>
      </c>
      <c r="O23" s="7" t="s">
        <v>92</v>
      </c>
      <c r="P23" s="7">
        <v>9603</v>
      </c>
      <c r="Q23" s="7">
        <v>8134</v>
      </c>
      <c r="R23" s="45">
        <f t="shared" si="11"/>
        <v>0.18059995082370306</v>
      </c>
      <c r="T23" s="7" t="s">
        <v>92</v>
      </c>
      <c r="U23" s="7">
        <v>4268</v>
      </c>
      <c r="V23" s="7">
        <v>3617</v>
      </c>
      <c r="W23" s="45">
        <f t="shared" si="12"/>
        <v>0.1799834116671275</v>
      </c>
      <c r="Y23" s="7" t="s">
        <v>92</v>
      </c>
      <c r="Z23" s="7">
        <v>5334</v>
      </c>
      <c r="AA23" s="7">
        <v>4516</v>
      </c>
      <c r="AB23" s="45">
        <f t="shared" si="13"/>
        <v>0.18113374667847659</v>
      </c>
    </row>
    <row r="24" spans="2:28" ht="14.4" x14ac:dyDescent="0.3">
      <c r="B24" s="26">
        <f>2023-5</f>
        <v>2018</v>
      </c>
      <c r="C24" s="33" t="s">
        <v>93</v>
      </c>
      <c r="D24" s="34">
        <f t="shared" ref="D24:G24" si="19">(D29/D34)^(1/5)-1</f>
        <v>0.13049133153578341</v>
      </c>
      <c r="E24" s="34">
        <f t="shared" si="19"/>
        <v>9.9045589780241139E-2</v>
      </c>
      <c r="F24" s="34">
        <f t="shared" si="19"/>
        <v>9.882074242183303E-2</v>
      </c>
      <c r="G24" s="34">
        <f t="shared" si="19"/>
        <v>0</v>
      </c>
      <c r="H24" s="40">
        <f>MEDIAN(H29:H34)</f>
        <v>7.8308039850176925E-2</v>
      </c>
      <c r="I24" s="34">
        <f t="shared" ref="I24:J24" si="20">(I29/I34)^(1/5)-1</f>
        <v>0.15322783275873353</v>
      </c>
      <c r="J24" s="34">
        <f t="shared" si="20"/>
        <v>0.19061853605528678</v>
      </c>
      <c r="K24" s="43">
        <f t="shared" ref="K24:L24" si="21">MEDIAN(K29:K34)</f>
        <v>75.718729259560462</v>
      </c>
      <c r="L24" s="43">
        <f t="shared" si="21"/>
        <v>44.538199895342757</v>
      </c>
      <c r="M24" s="34">
        <f>(M29/M34)^(1/5)-1</f>
        <v>0.12295727963386938</v>
      </c>
      <c r="O24" s="7" t="s">
        <v>7</v>
      </c>
      <c r="P24" s="7">
        <v>675</v>
      </c>
      <c r="Q24" s="7">
        <v>536</v>
      </c>
      <c r="R24" s="45">
        <f t="shared" si="11"/>
        <v>0.25932835820895517</v>
      </c>
      <c r="T24" s="7" t="s">
        <v>7</v>
      </c>
      <c r="U24" s="7">
        <v>268</v>
      </c>
      <c r="V24" s="7">
        <v>249</v>
      </c>
      <c r="W24" s="45">
        <f t="shared" si="12"/>
        <v>7.6305220883534197E-2</v>
      </c>
      <c r="Y24" s="7" t="s">
        <v>7</v>
      </c>
      <c r="Z24" s="7">
        <v>407</v>
      </c>
      <c r="AA24" s="7">
        <v>287</v>
      </c>
      <c r="AB24" s="45">
        <f t="shared" si="13"/>
        <v>0.4181184668989546</v>
      </c>
    </row>
    <row r="25" spans="2:28" ht="14.4" x14ac:dyDescent="0.3">
      <c r="B25" s="26"/>
      <c r="C25" s="33" t="s">
        <v>94</v>
      </c>
      <c r="D25" s="34">
        <f t="shared" ref="D25:G25" si="22">(D29/D30)-1</f>
        <v>9.9349497338852677E-2</v>
      </c>
      <c r="E25" s="34">
        <f t="shared" si="22"/>
        <v>0.1858076563958917</v>
      </c>
      <c r="F25" s="34">
        <f t="shared" si="22"/>
        <v>0.18527177089421398</v>
      </c>
      <c r="G25" s="34">
        <f t="shared" si="22"/>
        <v>0</v>
      </c>
      <c r="H25" s="34">
        <f>H29</f>
        <v>6.8316299085529858E-2</v>
      </c>
      <c r="I25" s="34">
        <f t="shared" ref="I25:J25" si="23">(I29/I30)-1</f>
        <v>0.13238434163701074</v>
      </c>
      <c r="J25" s="34">
        <f t="shared" si="23"/>
        <v>0.130859375</v>
      </c>
      <c r="K25" s="46">
        <f t="shared" ref="K25:L25" si="24">K29</f>
        <v>78.451676528599606</v>
      </c>
      <c r="L25" s="46">
        <f t="shared" si="24"/>
        <v>57.100591715976329</v>
      </c>
      <c r="M25" s="34">
        <f>(M29/M30)-1</f>
        <v>0.12509523083955498</v>
      </c>
      <c r="O25" s="7" t="s">
        <v>10</v>
      </c>
      <c r="P25" s="7">
        <v>62.69</v>
      </c>
      <c r="Q25" s="7">
        <v>62.67</v>
      </c>
      <c r="R25" s="45">
        <f t="shared" si="11"/>
        <v>3.1913196106581054E-4</v>
      </c>
      <c r="T25" s="7" t="s">
        <v>10</v>
      </c>
      <c r="U25" s="7">
        <v>62.69</v>
      </c>
      <c r="V25" s="7">
        <v>62.67</v>
      </c>
      <c r="W25" s="45">
        <f t="shared" si="12"/>
        <v>3.1913196106581054E-4</v>
      </c>
      <c r="Y25" s="7" t="s">
        <v>10</v>
      </c>
      <c r="Z25" s="7">
        <v>62.69</v>
      </c>
      <c r="AA25" s="7">
        <v>62.67</v>
      </c>
      <c r="AB25" s="45">
        <f t="shared" si="13"/>
        <v>3.1913196106581054E-4</v>
      </c>
    </row>
    <row r="26" spans="2:28" ht="14.4" x14ac:dyDescent="0.3">
      <c r="F26" s="47">
        <f>F30*80</f>
        <v>1368.8</v>
      </c>
      <c r="I26" s="48">
        <f t="shared" ref="I26:J26" si="25">I33*80</f>
        <v>64560</v>
      </c>
      <c r="J26" s="48">
        <f t="shared" si="25"/>
        <v>36640</v>
      </c>
      <c r="K26" s="49">
        <f t="shared" ref="K26:L26" si="26">AVERAGE(K21:K25)</f>
        <v>61.454838732368138</v>
      </c>
      <c r="L26" s="49">
        <f t="shared" si="26"/>
        <v>35.837278693901098</v>
      </c>
      <c r="M26" s="49">
        <f>AVERAGE(K26:L26)</f>
        <v>48.646058713134622</v>
      </c>
      <c r="O26" s="7" t="s">
        <v>51</v>
      </c>
      <c r="P26" s="7">
        <v>10.79</v>
      </c>
      <c r="Q26" s="7">
        <v>8.56</v>
      </c>
      <c r="R26" s="45">
        <f t="shared" si="11"/>
        <v>0.26051401869158863</v>
      </c>
      <c r="T26" s="7" t="s">
        <v>51</v>
      </c>
      <c r="U26" s="7">
        <v>4.28</v>
      </c>
      <c r="V26" s="7">
        <v>3.97</v>
      </c>
      <c r="W26" s="45">
        <f t="shared" si="12"/>
        <v>7.8085642317380355E-2</v>
      </c>
      <c r="Y26" s="7" t="s">
        <v>51</v>
      </c>
      <c r="Z26" s="7">
        <v>6.49</v>
      </c>
      <c r="AA26" s="7">
        <v>4.58</v>
      </c>
      <c r="AB26" s="45">
        <f t="shared" si="13"/>
        <v>0.41703056768558944</v>
      </c>
    </row>
    <row r="27" spans="2:28" ht="14.4" x14ac:dyDescent="0.3">
      <c r="B27" s="12" t="s">
        <v>95</v>
      </c>
      <c r="C27" s="50" t="s">
        <v>50</v>
      </c>
      <c r="D27" s="1" t="s">
        <v>6</v>
      </c>
      <c r="E27" s="1" t="s">
        <v>7</v>
      </c>
      <c r="F27" s="1" t="s">
        <v>51</v>
      </c>
      <c r="G27" s="1" t="s">
        <v>10</v>
      </c>
      <c r="H27" s="1" t="s">
        <v>78</v>
      </c>
      <c r="I27" s="1" t="s">
        <v>79</v>
      </c>
      <c r="J27" s="1" t="s">
        <v>80</v>
      </c>
      <c r="K27" s="1" t="s">
        <v>81</v>
      </c>
      <c r="L27" s="1" t="s">
        <v>82</v>
      </c>
      <c r="M27" s="1" t="s">
        <v>11</v>
      </c>
      <c r="O27" s="7" t="s">
        <v>78</v>
      </c>
      <c r="P27" s="51">
        <f t="shared" ref="P27:Q27" si="27">P24/P21</f>
        <v>6.5248912518124702E-2</v>
      </c>
      <c r="Q27" s="51">
        <f t="shared" si="27"/>
        <v>6.1369361117471946E-2</v>
      </c>
      <c r="R27" s="52">
        <f t="shared" ref="R27:R28" si="28">P27-Q27</f>
        <v>3.8795514006527559E-3</v>
      </c>
      <c r="T27" s="7" t="s">
        <v>78</v>
      </c>
      <c r="U27" s="51">
        <f t="shared" ref="U27:V27" si="29">U24/U21</f>
        <v>5.9043842256003523E-2</v>
      </c>
      <c r="V27" s="51">
        <f t="shared" si="29"/>
        <v>6.3846153846153844E-2</v>
      </c>
      <c r="W27" s="52">
        <f t="shared" ref="W27:W28" si="30">U27-V27</f>
        <v>-4.8023115901503211E-3</v>
      </c>
      <c r="Y27" s="7" t="s">
        <v>78</v>
      </c>
      <c r="Z27" s="51">
        <f t="shared" ref="Z27:AA27" si="31">Z24/Z21</f>
        <v>7.0099896658629007E-2</v>
      </c>
      <c r="AA27" s="51">
        <f t="shared" si="31"/>
        <v>5.9383405752120838E-2</v>
      </c>
      <c r="AB27" s="52">
        <f t="shared" ref="AB27:AB28" si="32">Z27-AA27</f>
        <v>1.0716490906508169E-2</v>
      </c>
    </row>
    <row r="28" spans="2:28" ht="14.4" x14ac:dyDescent="0.3">
      <c r="C28" s="53" t="s">
        <v>96</v>
      </c>
      <c r="D28" s="54">
        <f>D29+P21-Q21</f>
        <v>20201</v>
      </c>
      <c r="E28" s="55">
        <f>E29+P24-Q24</f>
        <v>1409</v>
      </c>
      <c r="F28" s="56">
        <v>22.49</v>
      </c>
      <c r="G28" s="57">
        <v>63</v>
      </c>
      <c r="H28" s="38">
        <f t="shared" ref="H28:H58" si="33">E28/D28</f>
        <v>6.9749022325627449E-2</v>
      </c>
      <c r="I28" s="7">
        <v>2106</v>
      </c>
      <c r="J28" s="58">
        <v>1240</v>
      </c>
      <c r="K28" s="57">
        <f t="shared" ref="K28:K58" si="34">I28/F28</f>
        <v>93.641618497109832</v>
      </c>
      <c r="L28" s="57">
        <f t="shared" ref="L28:L58" si="35">J28/F28</f>
        <v>55.135615829257453</v>
      </c>
      <c r="M28" s="7">
        <v>7513</v>
      </c>
      <c r="O28" s="7" t="s">
        <v>97</v>
      </c>
      <c r="P28" s="57">
        <f t="shared" ref="P28:Q28" si="36">(P21-P23+P22)/P22</f>
        <v>40.05263157894737</v>
      </c>
      <c r="Q28" s="57">
        <f t="shared" si="36"/>
        <v>34.333333333333336</v>
      </c>
      <c r="R28" s="59">
        <f t="shared" si="28"/>
        <v>5.7192982456140342</v>
      </c>
      <c r="T28" s="7" t="s">
        <v>97</v>
      </c>
      <c r="U28" s="57">
        <f t="shared" ref="U28:V28" si="37">(U21-U23+U22)/U22</f>
        <v>28.1</v>
      </c>
      <c r="V28" s="57">
        <f t="shared" si="37"/>
        <v>32.444444444444443</v>
      </c>
      <c r="W28" s="59">
        <f t="shared" si="30"/>
        <v>-4.3444444444444414</v>
      </c>
      <c r="Y28" s="7" t="s">
        <v>97</v>
      </c>
      <c r="Z28" s="57">
        <f t="shared" ref="Z28:AA28" si="38">(Z21-Z23+Z22)/Z22</f>
        <v>56.204678362573098</v>
      </c>
      <c r="AA28" s="57">
        <f t="shared" si="38"/>
        <v>38.426210153482884</v>
      </c>
      <c r="AB28" s="59">
        <f t="shared" si="32"/>
        <v>17.778468209090214</v>
      </c>
    </row>
    <row r="29" spans="2:28" ht="13.8" x14ac:dyDescent="0.3">
      <c r="C29" s="53" t="s">
        <v>98</v>
      </c>
      <c r="D29" s="54">
        <v>18590</v>
      </c>
      <c r="E29" s="55">
        <v>1270</v>
      </c>
      <c r="F29" s="56">
        <v>20.28</v>
      </c>
      <c r="G29" s="57">
        <v>63</v>
      </c>
      <c r="H29" s="38">
        <f t="shared" si="33"/>
        <v>6.8316299085529858E-2</v>
      </c>
      <c r="I29" s="7">
        <v>1591</v>
      </c>
      <c r="J29" s="58">
        <v>1158</v>
      </c>
      <c r="K29" s="57">
        <f t="shared" si="34"/>
        <v>78.451676528599606</v>
      </c>
      <c r="L29" s="57">
        <f t="shared" si="35"/>
        <v>57.100591715976329</v>
      </c>
      <c r="M29" s="7">
        <v>7384</v>
      </c>
    </row>
    <row r="30" spans="2:28" ht="13.8" x14ac:dyDescent="0.3">
      <c r="C30" s="53" t="s">
        <v>99</v>
      </c>
      <c r="D30" s="54">
        <v>16910</v>
      </c>
      <c r="E30" s="55">
        <v>1071</v>
      </c>
      <c r="F30" s="56">
        <v>17.11</v>
      </c>
      <c r="G30" s="57">
        <v>63</v>
      </c>
      <c r="H30" s="60">
        <f t="shared" si="33"/>
        <v>6.3335304553518629E-2</v>
      </c>
      <c r="I30" s="7">
        <v>1405</v>
      </c>
      <c r="J30" s="58">
        <v>1024</v>
      </c>
      <c r="K30" s="57">
        <f t="shared" si="34"/>
        <v>82.115721800116887</v>
      </c>
      <c r="L30" s="57">
        <f t="shared" si="35"/>
        <v>59.848042080654587</v>
      </c>
      <c r="M30" s="7">
        <v>6563</v>
      </c>
      <c r="O30" s="26"/>
      <c r="P30" s="26"/>
      <c r="Q30" s="26"/>
      <c r="R30" s="26"/>
      <c r="S30" s="26"/>
    </row>
    <row r="31" spans="2:28" ht="13.8" x14ac:dyDescent="0.3">
      <c r="C31" s="53" t="s">
        <v>100</v>
      </c>
      <c r="D31" s="54">
        <v>13939</v>
      </c>
      <c r="E31" s="55">
        <v>1197</v>
      </c>
      <c r="F31" s="57">
        <v>19.11</v>
      </c>
      <c r="G31" s="57">
        <v>62.65</v>
      </c>
      <c r="H31" s="60">
        <f t="shared" si="33"/>
        <v>8.5874166009039382E-2</v>
      </c>
      <c r="I31" s="7">
        <v>1505</v>
      </c>
      <c r="J31" s="58">
        <v>958</v>
      </c>
      <c r="K31" s="57">
        <f t="shared" si="34"/>
        <v>78.754578754578759</v>
      </c>
      <c r="L31" s="57">
        <f t="shared" si="35"/>
        <v>50.130821559392992</v>
      </c>
      <c r="M31" s="7">
        <v>5940</v>
      </c>
      <c r="O31" s="1" t="s">
        <v>101</v>
      </c>
      <c r="P31" s="1" t="s">
        <v>65</v>
      </c>
      <c r="Q31" s="1" t="s">
        <v>84</v>
      </c>
      <c r="R31" s="1" t="s">
        <v>102</v>
      </c>
      <c r="S31" s="1" t="s">
        <v>77</v>
      </c>
    </row>
    <row r="32" spans="2:28" ht="13.8" x14ac:dyDescent="0.3">
      <c r="C32" s="53" t="s">
        <v>103</v>
      </c>
      <c r="D32" s="54">
        <v>10428</v>
      </c>
      <c r="E32" s="55">
        <v>1044</v>
      </c>
      <c r="F32" s="57">
        <v>16.88</v>
      </c>
      <c r="G32" s="57">
        <v>63</v>
      </c>
      <c r="H32" s="60">
        <f t="shared" si="33"/>
        <v>0.1001150747986191</v>
      </c>
      <c r="I32" s="7">
        <v>1232</v>
      </c>
      <c r="J32" s="58">
        <v>447</v>
      </c>
      <c r="K32" s="57">
        <f t="shared" si="34"/>
        <v>72.985781990521332</v>
      </c>
      <c r="L32" s="57">
        <f t="shared" si="35"/>
        <v>26.481042654028439</v>
      </c>
      <c r="M32" s="7">
        <v>5114</v>
      </c>
      <c r="O32" s="7" t="s">
        <v>104</v>
      </c>
      <c r="P32" s="3">
        <v>3326</v>
      </c>
      <c r="Q32" s="3">
        <v>2955</v>
      </c>
      <c r="R32" s="60">
        <f t="shared" ref="R32:R37" si="39">P32/$P$39</f>
        <v>0.32153905645784997</v>
      </c>
      <c r="S32" s="60">
        <f t="shared" ref="S32:S37" si="40">(P32/Q32)^(1/1)-1</f>
        <v>0.12554991539763116</v>
      </c>
      <c r="V32" s="17"/>
    </row>
    <row r="33" spans="2:19" ht="13.8" x14ac:dyDescent="0.3">
      <c r="C33" s="53" t="s">
        <v>105</v>
      </c>
      <c r="D33" s="58">
        <v>9429</v>
      </c>
      <c r="E33" s="61">
        <v>735</v>
      </c>
      <c r="F33" s="57">
        <v>11.76</v>
      </c>
      <c r="G33" s="57">
        <v>63</v>
      </c>
      <c r="H33" s="60">
        <f t="shared" si="33"/>
        <v>7.7951002227171495E-2</v>
      </c>
      <c r="I33" s="7">
        <v>807</v>
      </c>
      <c r="J33" s="58">
        <v>458</v>
      </c>
      <c r="K33" s="57">
        <f t="shared" si="34"/>
        <v>68.622448979591837</v>
      </c>
      <c r="L33" s="57">
        <f t="shared" si="35"/>
        <v>38.945578231292515</v>
      </c>
      <c r="M33" s="7">
        <v>4249</v>
      </c>
      <c r="O33" s="7" t="s">
        <v>106</v>
      </c>
      <c r="P33" s="3">
        <v>1912</v>
      </c>
      <c r="Q33" s="3">
        <v>1610</v>
      </c>
      <c r="R33" s="60">
        <f t="shared" si="39"/>
        <v>0.18484145398298529</v>
      </c>
      <c r="S33" s="60">
        <f t="shared" si="40"/>
        <v>0.18757763975155273</v>
      </c>
    </row>
    <row r="34" spans="2:19" ht="13.8" x14ac:dyDescent="0.3">
      <c r="C34" s="53" t="s">
        <v>107</v>
      </c>
      <c r="D34" s="7">
        <v>10068</v>
      </c>
      <c r="E34" s="57">
        <v>792</v>
      </c>
      <c r="F34" s="57">
        <v>12.66</v>
      </c>
      <c r="G34" s="57">
        <v>63</v>
      </c>
      <c r="H34" s="60">
        <f t="shared" si="33"/>
        <v>7.8665077473182354E-2</v>
      </c>
      <c r="I34" s="7">
        <v>780</v>
      </c>
      <c r="J34" s="7">
        <v>484</v>
      </c>
      <c r="K34" s="57">
        <f t="shared" si="34"/>
        <v>61.611374407582936</v>
      </c>
      <c r="L34" s="57">
        <f t="shared" si="35"/>
        <v>38.230647709320692</v>
      </c>
      <c r="M34" s="7">
        <v>4135</v>
      </c>
      <c r="O34" s="7" t="s">
        <v>108</v>
      </c>
      <c r="P34" s="3">
        <v>2518</v>
      </c>
      <c r="Q34" s="3">
        <v>1808</v>
      </c>
      <c r="R34" s="60">
        <f t="shared" si="39"/>
        <v>0.24342614075792729</v>
      </c>
      <c r="S34" s="60">
        <f t="shared" si="40"/>
        <v>0.39269911504424782</v>
      </c>
    </row>
    <row r="35" spans="2:19" ht="13.8" x14ac:dyDescent="0.3">
      <c r="C35" s="53" t="s">
        <v>109</v>
      </c>
      <c r="D35" s="7">
        <v>8139</v>
      </c>
      <c r="E35" s="57">
        <v>712</v>
      </c>
      <c r="F35" s="57">
        <v>11.4</v>
      </c>
      <c r="G35" s="57">
        <v>63</v>
      </c>
      <c r="H35" s="60">
        <f t="shared" si="33"/>
        <v>8.7480034402260723E-2</v>
      </c>
      <c r="I35" s="7">
        <v>593</v>
      </c>
      <c r="J35" s="7">
        <v>434</v>
      </c>
      <c r="K35" s="57">
        <f t="shared" si="34"/>
        <v>52.017543859649123</v>
      </c>
      <c r="L35" s="57">
        <f t="shared" si="35"/>
        <v>38.070175438596493</v>
      </c>
      <c r="M35" s="7">
        <v>3667</v>
      </c>
      <c r="O35" s="7" t="s">
        <v>110</v>
      </c>
      <c r="P35" s="3">
        <v>1128</v>
      </c>
      <c r="Q35" s="3">
        <v>1074</v>
      </c>
      <c r="R35" s="60">
        <f t="shared" si="39"/>
        <v>0.10904872389791183</v>
      </c>
      <c r="S35" s="60">
        <f t="shared" si="40"/>
        <v>5.027932960893855E-2</v>
      </c>
    </row>
    <row r="36" spans="2:19" ht="13.8" x14ac:dyDescent="0.3">
      <c r="C36" s="53" t="s">
        <v>111</v>
      </c>
      <c r="D36" s="7">
        <v>6135</v>
      </c>
      <c r="E36" s="61">
        <v>539</v>
      </c>
      <c r="F36" s="57">
        <v>8.6300000000000008</v>
      </c>
      <c r="G36" s="57">
        <v>62</v>
      </c>
      <c r="H36" s="60">
        <f t="shared" si="33"/>
        <v>8.7856560717196414E-2</v>
      </c>
      <c r="I36" s="7">
        <v>475</v>
      </c>
      <c r="J36" s="7">
        <v>303</v>
      </c>
      <c r="K36" s="57">
        <f t="shared" si="34"/>
        <v>55.040556199304746</v>
      </c>
      <c r="L36" s="57">
        <f t="shared" si="35"/>
        <v>35.110081112398603</v>
      </c>
      <c r="M36" s="7">
        <v>3214</v>
      </c>
      <c r="O36" s="7" t="s">
        <v>112</v>
      </c>
      <c r="P36" s="3">
        <v>782</v>
      </c>
      <c r="Q36" s="3">
        <v>770</v>
      </c>
      <c r="R36" s="60">
        <f t="shared" si="39"/>
        <v>7.5599381283836045E-2</v>
      </c>
      <c r="S36" s="60">
        <f t="shared" si="40"/>
        <v>1.558441558441559E-2</v>
      </c>
    </row>
    <row r="37" spans="2:19" ht="13.8" x14ac:dyDescent="0.3">
      <c r="C37" s="53" t="s">
        <v>113</v>
      </c>
      <c r="D37" s="7">
        <v>5378</v>
      </c>
      <c r="E37" s="57">
        <v>715</v>
      </c>
      <c r="F37" s="57">
        <v>11.45</v>
      </c>
      <c r="G37" s="57">
        <v>62</v>
      </c>
      <c r="H37" s="60">
        <f t="shared" si="33"/>
        <v>0.13294905169207885</v>
      </c>
      <c r="I37" s="7">
        <v>325</v>
      </c>
      <c r="J37" s="7">
        <v>236</v>
      </c>
      <c r="K37" s="57">
        <f t="shared" si="34"/>
        <v>28.384279475982535</v>
      </c>
      <c r="L37" s="57">
        <f t="shared" si="35"/>
        <v>20.611353711790393</v>
      </c>
      <c r="M37" s="7">
        <v>2495</v>
      </c>
      <c r="O37" s="7" t="s">
        <v>114</v>
      </c>
      <c r="P37" s="7">
        <v>678</v>
      </c>
      <c r="Q37" s="7">
        <v>515</v>
      </c>
      <c r="R37" s="60">
        <f t="shared" si="39"/>
        <v>6.554524361948956E-2</v>
      </c>
      <c r="S37" s="60">
        <f t="shared" si="40"/>
        <v>0.31650485436893194</v>
      </c>
    </row>
    <row r="38" spans="2:19" ht="13.8" x14ac:dyDescent="0.3">
      <c r="B38" s="48" t="s">
        <v>115</v>
      </c>
      <c r="C38" s="53" t="s">
        <v>116</v>
      </c>
      <c r="D38" s="7">
        <v>5282</v>
      </c>
      <c r="E38" s="61">
        <v>465</v>
      </c>
      <c r="F38" s="57">
        <v>7.4</v>
      </c>
      <c r="G38" s="57">
        <v>62</v>
      </c>
      <c r="H38" s="60">
        <f t="shared" si="33"/>
        <v>8.8034835289663008E-2</v>
      </c>
      <c r="I38" s="58">
        <v>346</v>
      </c>
      <c r="J38" s="58">
        <v>176</v>
      </c>
      <c r="K38" s="57">
        <f t="shared" si="34"/>
        <v>46.756756756756758</v>
      </c>
      <c r="L38" s="57">
        <f t="shared" si="35"/>
        <v>23.783783783783782</v>
      </c>
      <c r="M38" s="7">
        <v>1756</v>
      </c>
    </row>
    <row r="39" spans="2:19" ht="13.8" x14ac:dyDescent="0.3">
      <c r="C39" s="53" t="s">
        <v>117</v>
      </c>
      <c r="D39" s="7">
        <v>4720</v>
      </c>
      <c r="E39" s="57">
        <v>479</v>
      </c>
      <c r="F39" s="57">
        <v>38.36</v>
      </c>
      <c r="G39" s="57">
        <v>62</v>
      </c>
      <c r="H39" s="60">
        <f t="shared" si="33"/>
        <v>0.10148305084745762</v>
      </c>
      <c r="I39" s="7">
        <v>936</v>
      </c>
      <c r="J39" s="7">
        <v>586</v>
      </c>
      <c r="K39" s="57">
        <f t="shared" si="34"/>
        <v>24.400417101147028</v>
      </c>
      <c r="L39" s="57">
        <f t="shared" si="35"/>
        <v>15.276329509906153</v>
      </c>
      <c r="M39" s="7">
        <v>1604</v>
      </c>
      <c r="O39" s="62" t="s">
        <v>118</v>
      </c>
      <c r="P39" s="63">
        <f t="shared" ref="P39:Q39" si="41">SUM(P32:P37)</f>
        <v>10344</v>
      </c>
      <c r="Q39" s="63">
        <f t="shared" si="41"/>
        <v>8732</v>
      </c>
      <c r="R39" s="64">
        <f>P39/$P$39</f>
        <v>1</v>
      </c>
      <c r="S39" s="64">
        <f>(P39/Q39)^(1/1)-1</f>
        <v>0.18460833715071012</v>
      </c>
    </row>
    <row r="40" spans="2:19" ht="13.8" x14ac:dyDescent="0.3">
      <c r="C40" s="53" t="s">
        <v>119</v>
      </c>
      <c r="D40" s="7">
        <v>4225</v>
      </c>
      <c r="E40" s="57">
        <v>371</v>
      </c>
      <c r="F40" s="57">
        <v>29.76</v>
      </c>
      <c r="G40" s="57">
        <v>62</v>
      </c>
      <c r="H40" s="60">
        <f t="shared" si="33"/>
        <v>8.7810650887573963E-2</v>
      </c>
      <c r="I40" s="7">
        <v>705</v>
      </c>
      <c r="J40" s="7">
        <v>515</v>
      </c>
      <c r="K40" s="57">
        <f t="shared" si="34"/>
        <v>23.689516129032256</v>
      </c>
      <c r="L40" s="57">
        <f t="shared" si="35"/>
        <v>17.30510752688172</v>
      </c>
      <c r="M40" s="7">
        <v>1380</v>
      </c>
      <c r="O40" s="48"/>
      <c r="P40" s="49"/>
      <c r="Q40" s="49"/>
      <c r="R40" s="17"/>
    </row>
    <row r="41" spans="2:19" ht="13.8" x14ac:dyDescent="0.3">
      <c r="C41" s="53" t="s">
        <v>120</v>
      </c>
      <c r="D41" s="7">
        <v>3616</v>
      </c>
      <c r="E41" s="57">
        <v>305</v>
      </c>
      <c r="F41" s="57">
        <v>24.48</v>
      </c>
      <c r="G41" s="57">
        <v>62</v>
      </c>
      <c r="H41" s="60">
        <f t="shared" si="33"/>
        <v>8.4347345132743362E-2</v>
      </c>
      <c r="I41" s="7">
        <v>616</v>
      </c>
      <c r="J41" s="7">
        <v>313</v>
      </c>
      <c r="K41" s="57">
        <f t="shared" si="34"/>
        <v>25.163398692810457</v>
      </c>
      <c r="L41" s="57">
        <f t="shared" si="35"/>
        <v>12.785947712418301</v>
      </c>
      <c r="M41" s="7">
        <v>893</v>
      </c>
      <c r="O41" s="1" t="s">
        <v>121</v>
      </c>
      <c r="P41" s="1" t="s">
        <v>65</v>
      </c>
      <c r="Q41" s="1" t="s">
        <v>84</v>
      </c>
      <c r="R41" s="1" t="s">
        <v>102</v>
      </c>
      <c r="S41" s="1" t="s">
        <v>77</v>
      </c>
    </row>
    <row r="42" spans="2:19" ht="13.8" x14ac:dyDescent="0.3">
      <c r="B42" s="48" t="s">
        <v>122</v>
      </c>
      <c r="C42" s="53" t="s">
        <v>123</v>
      </c>
      <c r="D42" s="7">
        <v>2882</v>
      </c>
      <c r="E42" s="57">
        <v>242</v>
      </c>
      <c r="F42" s="57">
        <v>19.399999999999999</v>
      </c>
      <c r="G42" s="57">
        <v>62</v>
      </c>
      <c r="H42" s="60">
        <f t="shared" si="33"/>
        <v>8.3969465648854963E-2</v>
      </c>
      <c r="I42" s="7">
        <v>893</v>
      </c>
      <c r="J42" s="7">
        <v>290</v>
      </c>
      <c r="K42" s="57">
        <f t="shared" si="34"/>
        <v>46.03092783505155</v>
      </c>
      <c r="L42" s="57">
        <f t="shared" si="35"/>
        <v>14.948453608247425</v>
      </c>
      <c r="M42" s="7">
        <v>591</v>
      </c>
      <c r="O42" s="7" t="s">
        <v>124</v>
      </c>
      <c r="P42" s="7">
        <v>5547</v>
      </c>
      <c r="Q42" s="7">
        <v>4585</v>
      </c>
      <c r="R42" s="60">
        <f t="shared" ref="R42:R49" si="42">P42/$P$51</f>
        <v>0.5796238244514107</v>
      </c>
      <c r="S42" s="60">
        <f t="shared" ref="S42:S49" si="43">(P42/Q42)^(1/1)-1</f>
        <v>0.20981461286804803</v>
      </c>
    </row>
    <row r="43" spans="2:19" ht="13.8" x14ac:dyDescent="0.3">
      <c r="C43" s="53" t="s">
        <v>125</v>
      </c>
      <c r="D43" s="7">
        <v>2371</v>
      </c>
      <c r="E43" s="57">
        <v>227</v>
      </c>
      <c r="F43" s="57">
        <v>37.75</v>
      </c>
      <c r="G43" s="57">
        <v>31</v>
      </c>
      <c r="H43" s="60">
        <f t="shared" si="33"/>
        <v>9.574019401096584E-2</v>
      </c>
      <c r="I43" s="7">
        <v>634</v>
      </c>
      <c r="J43" s="7">
        <v>142</v>
      </c>
      <c r="K43" s="57">
        <f t="shared" si="34"/>
        <v>16.794701986754966</v>
      </c>
      <c r="L43" s="57">
        <f t="shared" si="35"/>
        <v>3.76158940397351</v>
      </c>
      <c r="M43" s="7">
        <v>369</v>
      </c>
      <c r="O43" s="7" t="s">
        <v>126</v>
      </c>
      <c r="P43" s="7">
        <v>1659</v>
      </c>
      <c r="Q43" s="7">
        <v>1277</v>
      </c>
      <c r="R43" s="60">
        <f t="shared" si="42"/>
        <v>0.17335423197492164</v>
      </c>
      <c r="S43" s="60">
        <f t="shared" si="43"/>
        <v>0.29913860610806586</v>
      </c>
    </row>
    <row r="44" spans="2:19" ht="13.8" x14ac:dyDescent="0.3">
      <c r="C44" s="53" t="s">
        <v>127</v>
      </c>
      <c r="D44" s="7">
        <v>2198</v>
      </c>
      <c r="E44" s="57">
        <v>145</v>
      </c>
      <c r="F44" s="57">
        <v>24.93</v>
      </c>
      <c r="G44" s="57">
        <v>30</v>
      </c>
      <c r="H44" s="60">
        <f t="shared" si="33"/>
        <v>6.5969062784349414E-2</v>
      </c>
      <c r="I44" s="58">
        <v>525</v>
      </c>
      <c r="J44" s="58">
        <v>100</v>
      </c>
      <c r="K44" s="57">
        <f t="shared" si="34"/>
        <v>21.0589651022864</v>
      </c>
      <c r="L44" s="57">
        <f t="shared" si="35"/>
        <v>4.011231448054553</v>
      </c>
      <c r="M44" s="7">
        <v>582</v>
      </c>
      <c r="O44" s="7" t="s">
        <v>128</v>
      </c>
      <c r="P44" s="7">
        <v>1173</v>
      </c>
      <c r="Q44" s="7">
        <v>1027</v>
      </c>
      <c r="R44" s="60">
        <f t="shared" si="42"/>
        <v>0.12257053291536051</v>
      </c>
      <c r="S44" s="60">
        <f t="shared" si="43"/>
        <v>0.14216163583252195</v>
      </c>
    </row>
    <row r="45" spans="2:19" ht="13.8" x14ac:dyDescent="0.3">
      <c r="C45" s="53" t="s">
        <v>129</v>
      </c>
      <c r="D45" s="7">
        <v>2056</v>
      </c>
      <c r="E45" s="57">
        <v>144</v>
      </c>
      <c r="F45" s="57">
        <v>26</v>
      </c>
      <c r="G45" s="57">
        <v>29</v>
      </c>
      <c r="H45" s="60">
        <f t="shared" si="33"/>
        <v>7.0038910505836577E-2</v>
      </c>
      <c r="I45" s="7">
        <v>749</v>
      </c>
      <c r="J45" s="7">
        <v>376</v>
      </c>
      <c r="K45" s="57">
        <f t="shared" si="34"/>
        <v>28.807692307692307</v>
      </c>
      <c r="L45" s="57">
        <f t="shared" si="35"/>
        <v>14.461538461538462</v>
      </c>
      <c r="M45" s="7">
        <v>643</v>
      </c>
      <c r="O45" s="7" t="s">
        <v>130</v>
      </c>
      <c r="P45" s="7">
        <v>926</v>
      </c>
      <c r="Q45" s="7">
        <v>745</v>
      </c>
      <c r="R45" s="60">
        <f t="shared" si="42"/>
        <v>9.6760710553814008E-2</v>
      </c>
      <c r="S45" s="60">
        <f t="shared" si="43"/>
        <v>0.24295302013422826</v>
      </c>
    </row>
    <row r="46" spans="2:19" ht="13.8" x14ac:dyDescent="0.3">
      <c r="B46" s="48" t="s">
        <v>131</v>
      </c>
      <c r="C46" s="53" t="s">
        <v>132</v>
      </c>
      <c r="D46" s="7">
        <v>1547</v>
      </c>
      <c r="E46" s="57">
        <v>102</v>
      </c>
      <c r="F46" s="57">
        <v>19</v>
      </c>
      <c r="G46" s="57">
        <v>27</v>
      </c>
      <c r="H46" s="60">
        <f t="shared" si="33"/>
        <v>6.5934065934065936E-2</v>
      </c>
      <c r="I46" s="7">
        <v>800</v>
      </c>
      <c r="J46" s="7">
        <v>256</v>
      </c>
      <c r="K46" s="57">
        <f t="shared" si="34"/>
        <v>42.10526315789474</v>
      </c>
      <c r="L46" s="57">
        <f t="shared" si="35"/>
        <v>13.473684210526315</v>
      </c>
      <c r="M46" s="7">
        <v>236</v>
      </c>
      <c r="O46" s="7" t="s">
        <v>133</v>
      </c>
      <c r="P46" s="7">
        <v>303</v>
      </c>
      <c r="Q46" s="7">
        <v>219</v>
      </c>
      <c r="R46" s="60">
        <f t="shared" si="42"/>
        <v>3.1661442006269594E-2</v>
      </c>
      <c r="S46" s="60">
        <f t="shared" si="43"/>
        <v>0.38356164383561642</v>
      </c>
    </row>
    <row r="47" spans="2:19" ht="13.8" x14ac:dyDescent="0.3">
      <c r="B47" s="48" t="s">
        <v>131</v>
      </c>
      <c r="C47" s="53" t="s">
        <v>134</v>
      </c>
      <c r="D47" s="7">
        <v>1004</v>
      </c>
      <c r="E47" s="57">
        <v>63</v>
      </c>
      <c r="F47" s="57">
        <v>24.26</v>
      </c>
      <c r="G47" s="57">
        <v>13</v>
      </c>
      <c r="H47" s="60">
        <f t="shared" si="33"/>
        <v>6.2749003984063745E-2</v>
      </c>
      <c r="I47" s="7">
        <v>643</v>
      </c>
      <c r="J47" s="7">
        <v>249</v>
      </c>
      <c r="K47" s="57">
        <f t="shared" si="34"/>
        <v>26.504534212695795</v>
      </c>
      <c r="L47" s="57">
        <f t="shared" si="35"/>
        <v>10.263808738664467</v>
      </c>
      <c r="M47" s="7">
        <v>163</v>
      </c>
      <c r="O47" s="7" t="s">
        <v>135</v>
      </c>
      <c r="P47" s="7">
        <v>186</v>
      </c>
      <c r="Q47" s="7">
        <v>157</v>
      </c>
      <c r="R47" s="60">
        <f t="shared" si="42"/>
        <v>1.9435736677115987E-2</v>
      </c>
      <c r="S47" s="60">
        <f t="shared" si="43"/>
        <v>0.1847133757961783</v>
      </c>
    </row>
    <row r="48" spans="2:19" ht="13.8" x14ac:dyDescent="0.3">
      <c r="C48" s="53" t="s">
        <v>136</v>
      </c>
      <c r="D48" s="7">
        <v>583</v>
      </c>
      <c r="E48" s="57">
        <v>31</v>
      </c>
      <c r="F48" s="57">
        <v>26.33</v>
      </c>
      <c r="G48" s="57">
        <v>6</v>
      </c>
      <c r="H48" s="60">
        <f t="shared" si="33"/>
        <v>5.3173241852487133E-2</v>
      </c>
      <c r="I48" s="7">
        <v>317</v>
      </c>
      <c r="J48" s="7">
        <v>88</v>
      </c>
      <c r="K48" s="57">
        <f t="shared" si="34"/>
        <v>12.039498670717814</v>
      </c>
      <c r="L48" s="57">
        <f t="shared" si="35"/>
        <v>3.3421952145841249</v>
      </c>
      <c r="M48" s="7">
        <v>81</v>
      </c>
      <c r="O48" s="7" t="s">
        <v>137</v>
      </c>
      <c r="P48" s="7">
        <v>19</v>
      </c>
      <c r="Q48" s="7">
        <v>18</v>
      </c>
      <c r="R48" s="60">
        <f t="shared" si="42"/>
        <v>1.9853709508881922E-3</v>
      </c>
      <c r="S48" s="60">
        <f t="shared" si="43"/>
        <v>5.555555555555558E-2</v>
      </c>
    </row>
    <row r="49" spans="2:19" ht="13.8" x14ac:dyDescent="0.3">
      <c r="B49" s="48" t="s">
        <v>138</v>
      </c>
      <c r="C49" s="53" t="s">
        <v>139</v>
      </c>
      <c r="D49" s="7">
        <v>363</v>
      </c>
      <c r="E49" s="57">
        <v>21</v>
      </c>
      <c r="F49" s="57">
        <v>18.079999999999998</v>
      </c>
      <c r="G49" s="57">
        <v>6</v>
      </c>
      <c r="H49" s="60">
        <f t="shared" si="33"/>
        <v>5.7851239669421489E-2</v>
      </c>
      <c r="I49" s="7">
        <v>308</v>
      </c>
      <c r="J49" s="7">
        <v>104</v>
      </c>
      <c r="K49" s="57">
        <f t="shared" si="34"/>
        <v>17.035398230088497</v>
      </c>
      <c r="L49" s="57">
        <f t="shared" si="35"/>
        <v>5.7522123893805315</v>
      </c>
      <c r="M49" s="7">
        <v>54</v>
      </c>
      <c r="O49" s="7" t="s">
        <v>140</v>
      </c>
      <c r="P49" s="7">
        <v>-243</v>
      </c>
      <c r="Q49" s="7">
        <v>105</v>
      </c>
      <c r="R49" s="60">
        <f t="shared" si="42"/>
        <v>-2.5391849529780564E-2</v>
      </c>
      <c r="S49" s="60">
        <f t="shared" si="43"/>
        <v>-3.3142857142857145</v>
      </c>
    </row>
    <row r="50" spans="2:19" ht="13.8" x14ac:dyDescent="0.3">
      <c r="C50" s="53" t="s">
        <v>141</v>
      </c>
      <c r="D50" s="7">
        <v>293</v>
      </c>
      <c r="E50" s="57">
        <v>9</v>
      </c>
      <c r="F50" s="57">
        <v>16</v>
      </c>
      <c r="G50" s="57">
        <v>6</v>
      </c>
      <c r="H50" s="60">
        <f t="shared" si="33"/>
        <v>3.0716723549488054E-2</v>
      </c>
      <c r="I50" s="7">
        <v>157</v>
      </c>
      <c r="J50" s="58">
        <v>96</v>
      </c>
      <c r="K50" s="57">
        <f t="shared" si="34"/>
        <v>9.8125</v>
      </c>
      <c r="L50" s="57">
        <f t="shared" si="35"/>
        <v>6</v>
      </c>
      <c r="M50" s="7">
        <v>35</v>
      </c>
    </row>
    <row r="51" spans="2:19" ht="13.8" x14ac:dyDescent="0.3">
      <c r="C51" s="53" t="s">
        <v>142</v>
      </c>
      <c r="D51" s="7">
        <v>222</v>
      </c>
      <c r="E51" s="57">
        <v>8.6</v>
      </c>
      <c r="F51" s="57">
        <v>17.170000000000002</v>
      </c>
      <c r="G51" s="57">
        <v>6</v>
      </c>
      <c r="H51" s="60">
        <f t="shared" si="33"/>
        <v>3.8738738738738739E-2</v>
      </c>
      <c r="I51" s="7">
        <v>157</v>
      </c>
      <c r="J51" s="58">
        <v>108</v>
      </c>
      <c r="K51" s="57">
        <f t="shared" si="34"/>
        <v>9.1438555620267898</v>
      </c>
      <c r="L51" s="57">
        <f t="shared" si="35"/>
        <v>6.2900407687827604</v>
      </c>
      <c r="M51" s="7">
        <v>28</v>
      </c>
      <c r="O51" s="65" t="s">
        <v>118</v>
      </c>
      <c r="P51" s="65">
        <f t="shared" ref="P51:Q51" si="44">SUM(P42:P49)</f>
        <v>9570</v>
      </c>
      <c r="Q51" s="65">
        <f t="shared" si="44"/>
        <v>8133</v>
      </c>
      <c r="R51" s="66">
        <f>P51/$P$51</f>
        <v>1</v>
      </c>
      <c r="S51" s="66">
        <f>(P51/Q51)^(1/1)-1</f>
        <v>0.17668756916267059</v>
      </c>
    </row>
    <row r="52" spans="2:19" ht="13.8" x14ac:dyDescent="0.3">
      <c r="C52" s="53" t="s">
        <v>143</v>
      </c>
      <c r="D52" s="7">
        <v>171</v>
      </c>
      <c r="E52" s="57">
        <v>6.21</v>
      </c>
      <c r="F52" s="7">
        <v>6</v>
      </c>
      <c r="G52" s="57">
        <v>5</v>
      </c>
      <c r="H52" s="60">
        <f t="shared" si="33"/>
        <v>3.6315789473684211E-2</v>
      </c>
      <c r="I52" s="7">
        <v>178</v>
      </c>
      <c r="J52" s="7">
        <v>112</v>
      </c>
      <c r="K52" s="57">
        <f t="shared" si="34"/>
        <v>29.666666666666668</v>
      </c>
      <c r="L52" s="57">
        <f t="shared" si="35"/>
        <v>18.666666666666668</v>
      </c>
      <c r="M52" s="7">
        <v>19</v>
      </c>
      <c r="P52" s="48"/>
      <c r="Q52" s="48"/>
      <c r="R52" s="48"/>
      <c r="S52" s="17"/>
    </row>
    <row r="53" spans="2:19" ht="13.8" x14ac:dyDescent="0.3">
      <c r="C53" s="53" t="s">
        <v>144</v>
      </c>
      <c r="D53" s="7">
        <v>105</v>
      </c>
      <c r="E53" s="57">
        <v>3.32</v>
      </c>
      <c r="F53" s="7">
        <v>3</v>
      </c>
      <c r="G53" s="57">
        <v>5</v>
      </c>
      <c r="H53" s="60">
        <f t="shared" si="33"/>
        <v>3.1619047619047616E-2</v>
      </c>
      <c r="I53" s="7">
        <v>143</v>
      </c>
      <c r="J53" s="7">
        <v>40</v>
      </c>
      <c r="K53" s="57">
        <f t="shared" si="34"/>
        <v>47.666666666666664</v>
      </c>
      <c r="L53" s="57">
        <f t="shared" si="35"/>
        <v>13.333333333333334</v>
      </c>
      <c r="M53" s="7">
        <v>13</v>
      </c>
      <c r="P53" s="48"/>
      <c r="Q53" s="48"/>
      <c r="R53" s="48"/>
      <c r="S53" s="17"/>
    </row>
    <row r="54" spans="2:19" ht="13.8" x14ac:dyDescent="0.3">
      <c r="C54" s="53" t="s">
        <v>145</v>
      </c>
      <c r="D54" s="7">
        <v>82</v>
      </c>
      <c r="E54" s="57">
        <v>2.4500000000000002</v>
      </c>
      <c r="F54" s="7">
        <v>3</v>
      </c>
      <c r="G54" s="57">
        <v>5</v>
      </c>
      <c r="H54" s="60">
        <f t="shared" si="33"/>
        <v>2.9878048780487807E-2</v>
      </c>
      <c r="I54" s="7">
        <v>46</v>
      </c>
      <c r="J54" s="7">
        <v>15</v>
      </c>
      <c r="K54" s="57">
        <f t="shared" si="34"/>
        <v>15.333333333333334</v>
      </c>
      <c r="L54" s="57">
        <f t="shared" si="35"/>
        <v>5</v>
      </c>
      <c r="M54" s="7">
        <v>11</v>
      </c>
      <c r="P54" s="48"/>
      <c r="Q54" s="48"/>
      <c r="R54" s="48"/>
      <c r="S54" s="17"/>
    </row>
    <row r="55" spans="2:19" ht="13.8" x14ac:dyDescent="0.3">
      <c r="C55" s="53" t="s">
        <v>146</v>
      </c>
      <c r="D55" s="7">
        <v>62</v>
      </c>
      <c r="E55" s="57">
        <v>1.48</v>
      </c>
      <c r="F55" s="7">
        <v>2</v>
      </c>
      <c r="G55" s="57">
        <v>5</v>
      </c>
      <c r="H55" s="60">
        <f t="shared" si="33"/>
        <v>2.3870967741935485E-2</v>
      </c>
      <c r="I55" s="7">
        <v>26</v>
      </c>
      <c r="J55" s="7">
        <v>13</v>
      </c>
      <c r="K55" s="57">
        <f t="shared" si="34"/>
        <v>13</v>
      </c>
      <c r="L55" s="57">
        <f t="shared" si="35"/>
        <v>6.5</v>
      </c>
      <c r="M55" s="7">
        <v>9</v>
      </c>
      <c r="P55" s="48"/>
      <c r="Q55" s="48"/>
      <c r="R55" s="48"/>
      <c r="S55" s="17"/>
    </row>
    <row r="56" spans="2:19" ht="13.8" x14ac:dyDescent="0.3">
      <c r="C56" s="53" t="s">
        <v>147</v>
      </c>
      <c r="D56" s="7">
        <v>50</v>
      </c>
      <c r="E56" s="57">
        <v>2.2999999999999998</v>
      </c>
      <c r="F56" s="7">
        <v>3</v>
      </c>
      <c r="G56" s="57">
        <v>5</v>
      </c>
      <c r="H56" s="60">
        <f t="shared" si="33"/>
        <v>4.5999999999999999E-2</v>
      </c>
      <c r="I56" s="58">
        <v>25</v>
      </c>
      <c r="J56" s="58">
        <v>13</v>
      </c>
      <c r="K56" s="57">
        <f t="shared" si="34"/>
        <v>8.3333333333333339</v>
      </c>
      <c r="L56" s="57">
        <f t="shared" si="35"/>
        <v>4.333333333333333</v>
      </c>
      <c r="M56" s="7">
        <v>9</v>
      </c>
      <c r="P56" s="48"/>
      <c r="Q56" s="48"/>
      <c r="R56" s="48"/>
      <c r="S56" s="17"/>
    </row>
    <row r="57" spans="2:19" ht="13.8" x14ac:dyDescent="0.3">
      <c r="C57" s="53" t="s">
        <v>148</v>
      </c>
      <c r="D57" s="7">
        <v>29</v>
      </c>
      <c r="E57" s="57">
        <v>1.65</v>
      </c>
      <c r="F57" s="7">
        <v>2</v>
      </c>
      <c r="G57" s="57">
        <v>4</v>
      </c>
      <c r="H57" s="60">
        <f t="shared" si="33"/>
        <v>5.6896551724137927E-2</v>
      </c>
      <c r="I57" s="58">
        <v>44</v>
      </c>
      <c r="J57" s="58">
        <v>17</v>
      </c>
      <c r="K57" s="57">
        <f t="shared" si="34"/>
        <v>22</v>
      </c>
      <c r="L57" s="57">
        <f t="shared" si="35"/>
        <v>8.5</v>
      </c>
      <c r="M57" s="7">
        <v>6</v>
      </c>
      <c r="P57" s="48"/>
      <c r="Q57" s="49"/>
      <c r="R57" s="49"/>
      <c r="S57" s="17"/>
    </row>
    <row r="58" spans="2:19" ht="13.8" x14ac:dyDescent="0.3">
      <c r="C58" s="53" t="s">
        <v>149</v>
      </c>
      <c r="D58" s="7">
        <v>22</v>
      </c>
      <c r="E58" s="57">
        <v>1.45</v>
      </c>
      <c r="F58" s="7">
        <v>2</v>
      </c>
      <c r="G58" s="57">
        <v>4</v>
      </c>
      <c r="H58" s="60">
        <f t="shared" si="33"/>
        <v>6.5909090909090903E-2</v>
      </c>
      <c r="I58" s="7">
        <v>50</v>
      </c>
      <c r="J58" s="7">
        <v>23</v>
      </c>
      <c r="K58" s="57">
        <f t="shared" si="34"/>
        <v>25</v>
      </c>
      <c r="L58" s="57">
        <f t="shared" si="35"/>
        <v>11.5</v>
      </c>
      <c r="M58" s="7">
        <v>5</v>
      </c>
      <c r="P58" s="48"/>
      <c r="Q58" s="47"/>
      <c r="R58" s="47"/>
      <c r="S58" s="17"/>
    </row>
    <row r="89" spans="2:14" ht="13.8" x14ac:dyDescent="0.3">
      <c r="B89" s="67" t="s">
        <v>150</v>
      </c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9"/>
    </row>
  </sheetData>
  <mergeCells count="2">
    <mergeCell ref="S16:S18"/>
    <mergeCell ref="B89:N89"/>
  </mergeCells>
  <conditionalFormatting sqref="D3:D4">
    <cfRule type="colorScale" priority="10">
      <colorScale>
        <cfvo type="min"/>
        <cfvo type="max"/>
        <color rgb="FFFFFFFF"/>
        <color rgb="FF57BB8A"/>
      </colorScale>
    </cfRule>
  </conditionalFormatting>
  <conditionalFormatting sqref="D28:D58 E28">
    <cfRule type="colorScale" priority="5">
      <colorScale>
        <cfvo type="min"/>
        <cfvo type="max"/>
        <color rgb="FFFFFFFF"/>
        <color rgb="FF57BB8A"/>
      </colorScale>
    </cfRule>
  </conditionalFormatting>
  <conditionalFormatting sqref="D17:F18">
    <cfRule type="colorScale" priority="3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1:G25 I21:J25 M21:M25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28:E58">
    <cfRule type="colorScale" priority="6">
      <colorScale>
        <cfvo type="min"/>
        <cfvo type="max"/>
        <color rgb="FFFFFFFF"/>
        <color rgb="FF57BB8A"/>
      </colorScale>
    </cfRule>
  </conditionalFormatting>
  <conditionalFormatting sqref="E3:G4">
    <cfRule type="colorScale" priority="11">
      <colorScale>
        <cfvo type="min"/>
        <cfvo type="max"/>
        <color rgb="FFFFFFFF"/>
        <color rgb="FF57BB8A"/>
      </colorScale>
    </cfRule>
  </conditionalFormatting>
  <conditionalFormatting sqref="F28:F58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3:G4">
    <cfRule type="colorScale" priority="12">
      <colorScale>
        <cfvo type="min"/>
        <cfvo type="max"/>
        <color rgb="FFFFFFFF"/>
        <color rgb="FF57BB8A"/>
      </colorScale>
    </cfRule>
  </conditionalFormatting>
  <conditionalFormatting sqref="G3:G4">
    <cfRule type="colorScale" priority="13">
      <colorScale>
        <cfvo type="min"/>
        <cfvo type="max"/>
        <color rgb="FFFFFFFF"/>
        <color rgb="FF57BB8A"/>
      </colorScale>
    </cfRule>
  </conditionalFormatting>
  <conditionalFormatting sqref="G17:G18">
    <cfRule type="colorScale" priority="3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8:G58">
    <cfRule type="colorScale" priority="26">
      <colorScale>
        <cfvo type="min"/>
        <cfvo type="max"/>
        <color rgb="FFFFFFFF"/>
        <color rgb="FF57BB8A"/>
      </colorScale>
    </cfRule>
  </conditionalFormatting>
  <conditionalFormatting sqref="H21:H25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8:H58">
    <cfRule type="colorScale" priority="7">
      <colorScale>
        <cfvo type="min"/>
        <cfvo type="max"/>
        <color rgb="FFFFFFFF"/>
        <color rgb="FF57BB8A"/>
      </colorScale>
    </cfRule>
  </conditionalFormatting>
  <conditionalFormatting sqref="J3:J4 M28:M58">
    <cfRule type="colorScale" priority="9">
      <colorScale>
        <cfvo type="min"/>
        <cfvo type="max"/>
        <color rgb="FFFFFFFF"/>
        <color rgb="FF57BB8A"/>
      </colorScale>
    </cfRule>
  </conditionalFormatting>
  <conditionalFormatting sqref="J3:J4">
    <cfRule type="colorScale" priority="14">
      <colorScale>
        <cfvo type="min"/>
        <cfvo type="max"/>
        <color rgb="FFFFFFFF"/>
        <color rgb="FF57BB8A"/>
      </colorScale>
    </cfRule>
  </conditionalFormatting>
  <conditionalFormatting sqref="J13:M13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6:M17">
    <cfRule type="colorScale" priority="3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8:M18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:K4">
    <cfRule type="colorScale" priority="15">
      <colorScale>
        <cfvo type="min"/>
        <cfvo type="max"/>
        <color rgb="FF57BB8A"/>
        <color rgb="FFFFFFFF"/>
      </colorScale>
    </cfRule>
  </conditionalFormatting>
  <conditionalFormatting sqref="K21:L25">
    <cfRule type="colorScale" priority="29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28:L58">
    <cfRule type="colorScale" priority="8">
      <colorScale>
        <cfvo type="min"/>
        <cfvo type="max"/>
        <color rgb="FFFFFFFF"/>
        <color rgb="FF57BB8A"/>
      </colorScale>
    </cfRule>
  </conditionalFormatting>
  <conditionalFormatting sqref="L3:L4">
    <cfRule type="colorScale" priority="16">
      <colorScale>
        <cfvo type="min"/>
        <cfvo type="max"/>
        <color rgb="FF57BB8A"/>
        <color rgb="FFFFFFFF"/>
      </colorScale>
    </cfRule>
  </conditionalFormatting>
  <conditionalFormatting sqref="M3:M4">
    <cfRule type="colorScale" priority="17">
      <colorScale>
        <cfvo type="min"/>
        <cfvo type="max"/>
        <color rgb="FFFFFFFF"/>
        <color rgb="FF57BB8A"/>
      </colorScale>
    </cfRule>
  </conditionalFormatting>
  <conditionalFormatting sqref="N3:N4">
    <cfRule type="colorScale" priority="18">
      <colorScale>
        <cfvo type="min"/>
        <cfvo type="max"/>
        <color rgb="FF57BB8A"/>
        <color rgb="FFFFFFFF"/>
      </colorScale>
    </cfRule>
  </conditionalFormatting>
  <conditionalFormatting sqref="O3:O4">
    <cfRule type="colorScale" priority="19">
      <colorScale>
        <cfvo type="min"/>
        <cfvo type="max"/>
        <color rgb="FFFFFFFF"/>
        <color rgb="FF57BB8A"/>
      </colorScale>
    </cfRule>
  </conditionalFormatting>
  <conditionalFormatting sqref="P3:P4">
    <cfRule type="colorScale" priority="20">
      <colorScale>
        <cfvo type="min"/>
        <cfvo type="max"/>
        <color rgb="FF57BB8A"/>
        <color rgb="FFFFFFFF"/>
      </colorScale>
    </cfRule>
  </conditionalFormatting>
  <conditionalFormatting sqref="P16:R16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18:R18">
    <cfRule type="colorScale" priority="3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Q3:Q4">
    <cfRule type="colorScale" priority="21">
      <colorScale>
        <cfvo type="min"/>
        <cfvo type="max"/>
        <color rgb="FF57BB8A"/>
        <color rgb="FFFFFFFF"/>
      </colorScale>
    </cfRule>
  </conditionalFormatting>
  <conditionalFormatting sqref="R21:R26 AB21:AB26">
    <cfRule type="colorScale" priority="3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32:R37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2:R49 R51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32:S37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42:S4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W21:W26">
    <cfRule type="colorScale" priority="3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B21:AB26">
    <cfRule type="colorScale" priority="3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89" r:id="rId1" xr:uid="{71BA61BE-EA1F-4D02-9670-A62B8A40BB31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7311-8DDC-4812-BE9D-5A4C0765EC29}">
  <sheetPr>
    <outlinePr summaryBelow="0" summaryRight="0"/>
  </sheetPr>
  <dimension ref="B2:AO175"/>
  <sheetViews>
    <sheetView showGridLines="0" workbookViewId="0"/>
  </sheetViews>
  <sheetFormatPr defaultColWidth="12.6640625" defaultRowHeight="15.75" customHeight="1" x14ac:dyDescent="0.3"/>
  <cols>
    <col min="1" max="1" width="5.109375" customWidth="1"/>
    <col min="2" max="2" width="19.33203125" customWidth="1"/>
    <col min="3" max="3" width="10.88671875" customWidth="1"/>
    <col min="4" max="4" width="13.88671875" customWidth="1"/>
    <col min="5" max="5" width="12.6640625" customWidth="1"/>
    <col min="6" max="6" width="11.77734375" customWidth="1"/>
    <col min="7" max="7" width="15.33203125" customWidth="1"/>
    <col min="8" max="8" width="12.6640625" customWidth="1"/>
    <col min="9" max="9" width="16.33203125" customWidth="1"/>
    <col min="10" max="10" width="12.88671875" customWidth="1"/>
    <col min="11" max="11" width="9.88671875" customWidth="1"/>
    <col min="12" max="12" width="12" customWidth="1"/>
    <col min="13" max="13" width="12.6640625" customWidth="1"/>
    <col min="14" max="14" width="14.21875" customWidth="1"/>
    <col min="15" max="15" width="8.77734375" customWidth="1"/>
    <col min="16" max="16" width="13.77734375" customWidth="1"/>
    <col min="17" max="17" width="20.88671875" customWidth="1"/>
    <col min="18" max="19" width="10.88671875" customWidth="1"/>
    <col min="20" max="20" width="13.6640625" customWidth="1"/>
    <col min="21" max="21" width="11.77734375" customWidth="1"/>
    <col min="22" max="22" width="14.44140625" customWidth="1"/>
    <col min="23" max="23" width="12.109375" customWidth="1"/>
    <col min="24" max="24" width="13.109375" customWidth="1"/>
    <col min="25" max="25" width="15.33203125" customWidth="1"/>
    <col min="26" max="26" width="10.88671875" customWidth="1"/>
    <col min="27" max="28" width="11.77734375" customWidth="1"/>
    <col min="29" max="29" width="12.88671875" customWidth="1"/>
    <col min="30" max="30" width="3.77734375" customWidth="1"/>
    <col min="31" max="31" width="10.109375" customWidth="1"/>
    <col min="32" max="32" width="7.33203125" customWidth="1"/>
    <col min="33" max="33" width="11.109375" customWidth="1"/>
    <col min="34" max="34" width="9.21875" customWidth="1"/>
    <col min="35" max="35" width="5.77734375" customWidth="1"/>
    <col min="36" max="36" width="4.6640625" customWidth="1"/>
    <col min="37" max="37" width="6.21875" customWidth="1"/>
    <col min="38" max="38" width="8.33203125" customWidth="1"/>
    <col min="39" max="39" width="5.6640625" customWidth="1"/>
    <col min="40" max="40" width="9.21875" customWidth="1"/>
    <col min="41" max="41" width="3.77734375" customWidth="1"/>
  </cols>
  <sheetData>
    <row r="2" spans="2:41" ht="15.75" customHeight="1" x14ac:dyDescent="0.45">
      <c r="B2" s="70" t="s">
        <v>151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4" spans="2:41" ht="15.75" customHeight="1" x14ac:dyDescent="0.45">
      <c r="B4" s="73" t="s">
        <v>152</v>
      </c>
      <c r="C4" s="74" t="s">
        <v>153</v>
      </c>
      <c r="D4" s="74" t="s">
        <v>154</v>
      </c>
      <c r="E4" s="74" t="s">
        <v>155</v>
      </c>
      <c r="F4" s="74" t="s">
        <v>156</v>
      </c>
      <c r="G4" s="74" t="s">
        <v>157</v>
      </c>
      <c r="H4" s="74" t="s">
        <v>158</v>
      </c>
      <c r="I4" s="74" t="s">
        <v>159</v>
      </c>
      <c r="J4" s="75" t="s">
        <v>160</v>
      </c>
      <c r="K4" s="74" t="s">
        <v>161</v>
      </c>
      <c r="L4" s="74" t="s">
        <v>162</v>
      </c>
      <c r="M4" s="76" t="s">
        <v>37</v>
      </c>
      <c r="N4" s="76" t="s">
        <v>163</v>
      </c>
      <c r="O4" s="76" t="s">
        <v>164</v>
      </c>
      <c r="P4" s="76" t="s">
        <v>35</v>
      </c>
      <c r="Q4" s="76" t="s">
        <v>36</v>
      </c>
      <c r="R4" s="76" t="s">
        <v>38</v>
      </c>
      <c r="S4" s="76" t="s">
        <v>39</v>
      </c>
      <c r="T4" s="76" t="s">
        <v>40</v>
      </c>
      <c r="U4" s="76" t="s">
        <v>165</v>
      </c>
      <c r="V4" s="76" t="s">
        <v>42</v>
      </c>
      <c r="W4" s="76" t="s">
        <v>43</v>
      </c>
      <c r="X4" s="76" t="s">
        <v>44</v>
      </c>
    </row>
    <row r="5" spans="2:41" ht="13.8" x14ac:dyDescent="0.3">
      <c r="B5" s="48" t="s">
        <v>166</v>
      </c>
      <c r="C5" s="57">
        <v>139632.22838530003</v>
      </c>
      <c r="D5" s="57">
        <v>362.6</v>
      </c>
      <c r="E5" s="57">
        <v>11989.27</v>
      </c>
      <c r="F5" s="57">
        <v>1546.89</v>
      </c>
      <c r="G5" s="57">
        <v>24294</v>
      </c>
      <c r="H5" s="57">
        <v>14749.02</v>
      </c>
      <c r="I5" s="57">
        <v>35587.72</v>
      </c>
      <c r="J5" s="57">
        <v>40393</v>
      </c>
      <c r="K5" s="57">
        <v>1597.15</v>
      </c>
      <c r="L5" s="57">
        <v>1805.5</v>
      </c>
      <c r="M5" s="57">
        <v>103.72075848303392</v>
      </c>
      <c r="N5" s="56">
        <v>1.5106493506493506</v>
      </c>
      <c r="O5" s="77">
        <v>42.705889840652901</v>
      </c>
      <c r="P5" s="78">
        <v>0.12902286794775664</v>
      </c>
      <c r="Q5" s="56">
        <v>0.50205812134683458</v>
      </c>
      <c r="R5" s="38">
        <v>0.12930430776878318</v>
      </c>
      <c r="S5" s="57">
        <v>4.4047159404302265</v>
      </c>
      <c r="T5" s="79">
        <v>6.5742570181937937E-2</v>
      </c>
      <c r="U5" s="78">
        <v>110.03540744597763</v>
      </c>
      <c r="V5" s="38">
        <v>9.0879837973150083E-3</v>
      </c>
      <c r="W5" s="57">
        <v>1294.4552208658636</v>
      </c>
      <c r="X5" s="57">
        <v>9.7951476386481247</v>
      </c>
    </row>
    <row r="6" spans="2:41" ht="13.8" x14ac:dyDescent="0.3">
      <c r="I6" s="38">
        <f>(I5/H5)^(1/5)-1</f>
        <v>0.19263458735556038</v>
      </c>
      <c r="J6" s="38">
        <f>(J5/I5)-1</f>
        <v>0.13502635178651512</v>
      </c>
      <c r="K6" s="38">
        <f>K5/I5</f>
        <v>4.4879244863115703E-2</v>
      </c>
      <c r="L6" s="38">
        <f>(L5/K5)-1</f>
        <v>0.13045111605046489</v>
      </c>
    </row>
    <row r="8" spans="2:41" ht="15.75" customHeight="1" x14ac:dyDescent="0.45">
      <c r="B8" s="80" t="s">
        <v>167</v>
      </c>
      <c r="C8" s="74" t="s">
        <v>168</v>
      </c>
      <c r="D8" s="74" t="s">
        <v>169</v>
      </c>
      <c r="E8" s="74" t="s">
        <v>153</v>
      </c>
      <c r="F8" s="74" t="s">
        <v>170</v>
      </c>
      <c r="G8" s="74" t="s">
        <v>171</v>
      </c>
      <c r="H8" s="74" t="s">
        <v>157</v>
      </c>
      <c r="I8" s="74" t="s">
        <v>172</v>
      </c>
      <c r="J8" s="74" t="s">
        <v>154</v>
      </c>
      <c r="K8" s="74" t="s">
        <v>173</v>
      </c>
      <c r="L8" s="74" t="s">
        <v>156</v>
      </c>
      <c r="M8" s="74" t="s">
        <v>174</v>
      </c>
      <c r="N8" s="74" t="s">
        <v>9</v>
      </c>
      <c r="O8" s="74" t="s">
        <v>175</v>
      </c>
      <c r="P8" s="74" t="s">
        <v>8</v>
      </c>
      <c r="Q8" s="74" t="s">
        <v>176</v>
      </c>
      <c r="R8" s="74" t="s">
        <v>158</v>
      </c>
      <c r="S8" s="74" t="s">
        <v>159</v>
      </c>
      <c r="T8" s="74" t="s">
        <v>160</v>
      </c>
      <c r="U8" s="74" t="s">
        <v>161</v>
      </c>
      <c r="V8" s="74" t="s">
        <v>162</v>
      </c>
      <c r="W8" s="74" t="s">
        <v>177</v>
      </c>
      <c r="X8" s="74" t="s">
        <v>178</v>
      </c>
      <c r="Y8" s="74" t="s">
        <v>179</v>
      </c>
      <c r="Z8" s="74" t="s">
        <v>180</v>
      </c>
      <c r="AA8" s="74" t="s">
        <v>181</v>
      </c>
      <c r="AB8" s="74" t="s">
        <v>182</v>
      </c>
      <c r="AC8" s="74" t="s">
        <v>183</v>
      </c>
      <c r="AD8" s="74" t="s">
        <v>37</v>
      </c>
      <c r="AE8" s="74" t="s">
        <v>163</v>
      </c>
      <c r="AF8" s="74" t="s">
        <v>164</v>
      </c>
      <c r="AG8" s="74" t="s">
        <v>35</v>
      </c>
      <c r="AH8" s="74" t="s">
        <v>36</v>
      </c>
      <c r="AI8" s="74" t="s">
        <v>38</v>
      </c>
      <c r="AJ8" s="74" t="s">
        <v>39</v>
      </c>
      <c r="AK8" s="74" t="s">
        <v>40</v>
      </c>
      <c r="AL8" s="74" t="s">
        <v>165</v>
      </c>
      <c r="AM8" s="74" t="s">
        <v>42</v>
      </c>
      <c r="AN8" s="74" t="s">
        <v>43</v>
      </c>
      <c r="AO8" s="74" t="s">
        <v>44</v>
      </c>
    </row>
    <row r="9" spans="2:41" ht="15.75" customHeight="1" x14ac:dyDescent="0.45">
      <c r="B9" s="81" t="s">
        <v>24</v>
      </c>
      <c r="C9" s="82">
        <f ca="1">IFERROR(__xludf.DUMMYFUNCTION("GOOGLEFINANCE(""nse:""&amp;B9,""price"")"),1634)</f>
        <v>1634</v>
      </c>
      <c r="D9" s="83">
        <v>44880</v>
      </c>
      <c r="E9" s="84">
        <f ca="1">IFERROR(__xludf.DUMMYFUNCTION("GOOGLEFINANCE(""nse:""&amp;B9,""marketcap"")/10000000"),102442.2411)</f>
        <v>102442.2411</v>
      </c>
      <c r="F9" s="84">
        <v>6695</v>
      </c>
      <c r="G9" s="84">
        <v>3387</v>
      </c>
      <c r="H9" s="7">
        <v>11018</v>
      </c>
      <c r="I9" s="7">
        <v>4119</v>
      </c>
      <c r="J9" s="84">
        <v>63</v>
      </c>
      <c r="K9" s="84">
        <v>6899</v>
      </c>
      <c r="L9" s="84">
        <v>0</v>
      </c>
      <c r="M9" s="84">
        <v>541</v>
      </c>
      <c r="N9" s="84">
        <v>1</v>
      </c>
      <c r="O9" s="84"/>
      <c r="P9" s="84">
        <v>18.86</v>
      </c>
      <c r="Q9" s="85">
        <v>0.60229999999999995</v>
      </c>
      <c r="R9" s="84">
        <v>8269</v>
      </c>
      <c r="S9" s="84">
        <v>16911</v>
      </c>
      <c r="T9" s="54">
        <v>18007</v>
      </c>
      <c r="U9" s="86">
        <v>1072</v>
      </c>
      <c r="V9" s="55">
        <v>1182</v>
      </c>
      <c r="W9" s="86">
        <v>55</v>
      </c>
      <c r="X9" s="57">
        <v>15290</v>
      </c>
      <c r="Y9" s="40">
        <f t="shared" ref="Y9:Y19" si="0">(S9/R9)^(1/5)-1</f>
        <v>0.153833807025479</v>
      </c>
      <c r="Z9" s="87">
        <f t="shared" ref="Z9:Z12" si="1">(T9/S9)-1</f>
        <v>6.4809887055762516E-2</v>
      </c>
      <c r="AA9" s="38">
        <f t="shared" ref="AA9:AA12" si="2">(V9/U9)-1</f>
        <v>0.10261194029850751</v>
      </c>
      <c r="AB9" s="40">
        <f t="shared" ref="AB9:AC19" si="3">U9/S9</f>
        <v>6.3390692448702032E-2</v>
      </c>
      <c r="AC9" s="87">
        <f t="shared" si="3"/>
        <v>6.5641139556839007E-2</v>
      </c>
      <c r="AD9" s="88">
        <f t="shared" ref="AD9:AD19" si="4">(S9-X9+W9)/W9</f>
        <v>30.472727272727273</v>
      </c>
      <c r="AE9" s="89">
        <f t="shared" ref="AE9:AE14" si="5">F9/G9</f>
        <v>1.9766755240625922</v>
      </c>
      <c r="AF9" s="90">
        <f t="shared" ref="AF9:AF19" si="6">(M9/S9)*365</f>
        <v>11.676719295133344</v>
      </c>
      <c r="AG9" s="91">
        <f t="shared" ref="AG9:AG19" si="7">L9/K9</f>
        <v>0</v>
      </c>
      <c r="AH9" s="89">
        <f t="shared" ref="AH9:AH19" si="8">I9/H9</f>
        <v>0.37384280268651299</v>
      </c>
      <c r="AI9" s="87">
        <f t="shared" ref="AI9:AI19" si="9">U9/(J9+K9)</f>
        <v>0.15397874174087905</v>
      </c>
      <c r="AJ9" s="90">
        <f t="shared" ref="AJ9:AJ19" si="10">U9/J9</f>
        <v>17.015873015873016</v>
      </c>
      <c r="AK9" s="92">
        <f t="shared" ref="AK9:AK19" si="11">U9/H9</f>
        <v>9.7295334906516609E-2</v>
      </c>
      <c r="AL9" s="93">
        <f t="shared" ref="AL9:AL19" ca="1" si="12">C9/P9</f>
        <v>86.638388123011666</v>
      </c>
      <c r="AM9" s="87">
        <f t="shared" ref="AM9:AM19" ca="1" si="13">P9/C9</f>
        <v>1.1542227662178703E-2</v>
      </c>
      <c r="AN9" s="91">
        <f t="shared" ref="AN9:AN19" si="14">K9/(J9/N9)</f>
        <v>109.50793650793651</v>
      </c>
      <c r="AO9" s="90">
        <f t="shared" ref="AO9:AO19" ca="1" si="15">C9/AN9</f>
        <v>14.921292941005943</v>
      </c>
    </row>
    <row r="10" spans="2:41" ht="15.75" customHeight="1" x14ac:dyDescent="0.45">
      <c r="B10" s="81" t="s">
        <v>184</v>
      </c>
      <c r="C10" s="82">
        <f ca="1">IFERROR(__xludf.DUMMYFUNCTION("GOOGLEFINANCE(""nse:""&amp;B10,""price"")"),14414)</f>
        <v>14414</v>
      </c>
      <c r="D10" s="83">
        <v>44880</v>
      </c>
      <c r="E10" s="84">
        <f ca="1">IFERROR(__xludf.DUMMYFUNCTION("GOOGLEFINANCE(""nse:""&amp;B10,""marketcap"")/10000000"),86120.240664)</f>
        <v>86120.240663999997</v>
      </c>
      <c r="F10" s="84">
        <v>4431</v>
      </c>
      <c r="G10" s="84">
        <v>4379</v>
      </c>
      <c r="H10" s="7">
        <v>6359</v>
      </c>
      <c r="I10" s="7">
        <v>4883</v>
      </c>
      <c r="J10" s="84">
        <v>11</v>
      </c>
      <c r="K10" s="84">
        <v>1476</v>
      </c>
      <c r="L10" s="84">
        <v>247</v>
      </c>
      <c r="M10" s="84">
        <v>2108</v>
      </c>
      <c r="N10" s="84">
        <v>2</v>
      </c>
      <c r="O10" s="84"/>
      <c r="P10" s="84">
        <v>36.49</v>
      </c>
      <c r="Q10" s="85">
        <v>0.2666</v>
      </c>
      <c r="R10" s="84">
        <v>2853</v>
      </c>
      <c r="S10" s="84">
        <v>12192</v>
      </c>
      <c r="T10" s="54">
        <v>16098</v>
      </c>
      <c r="U10" s="86">
        <v>255</v>
      </c>
      <c r="V10" s="55">
        <v>358</v>
      </c>
      <c r="W10" s="86">
        <v>64</v>
      </c>
      <c r="X10" s="57">
        <v>11673</v>
      </c>
      <c r="Y10" s="40">
        <f t="shared" si="0"/>
        <v>0.33707151432939031</v>
      </c>
      <c r="Z10" s="87">
        <f t="shared" si="1"/>
        <v>0.32037401574803148</v>
      </c>
      <c r="AA10" s="38">
        <f t="shared" si="2"/>
        <v>0.40392156862745088</v>
      </c>
      <c r="AB10" s="40">
        <f t="shared" si="3"/>
        <v>2.0915354330708662E-2</v>
      </c>
      <c r="AC10" s="87">
        <f t="shared" si="3"/>
        <v>2.2238787427009566E-2</v>
      </c>
      <c r="AD10" s="88">
        <f t="shared" si="4"/>
        <v>9.109375</v>
      </c>
      <c r="AE10" s="89">
        <f t="shared" si="5"/>
        <v>1.01187485727335</v>
      </c>
      <c r="AF10" s="90">
        <f t="shared" si="6"/>
        <v>63.108595800524931</v>
      </c>
      <c r="AG10" s="91">
        <f t="shared" si="7"/>
        <v>0.16734417344173441</v>
      </c>
      <c r="AH10" s="89">
        <f t="shared" si="8"/>
        <v>0.76788803270954553</v>
      </c>
      <c r="AI10" s="87">
        <f t="shared" si="9"/>
        <v>0.1714862138533961</v>
      </c>
      <c r="AJ10" s="90">
        <f t="shared" si="10"/>
        <v>23.181818181818183</v>
      </c>
      <c r="AK10" s="92">
        <f t="shared" si="11"/>
        <v>4.0100644755464696E-2</v>
      </c>
      <c r="AL10" s="93">
        <f t="shared" ca="1" si="12"/>
        <v>395.01233214579332</v>
      </c>
      <c r="AM10" s="87">
        <f t="shared" ca="1" si="13"/>
        <v>2.5315665325378106E-3</v>
      </c>
      <c r="AN10" s="91">
        <f t="shared" si="14"/>
        <v>268.36363636363637</v>
      </c>
      <c r="AO10" s="90">
        <f t="shared" ca="1" si="15"/>
        <v>53.710704607046068</v>
      </c>
    </row>
    <row r="11" spans="2:41" ht="15.75" customHeight="1" x14ac:dyDescent="0.45">
      <c r="B11" s="81" t="s">
        <v>185</v>
      </c>
      <c r="C11" s="82">
        <f ca="1">IFERROR(__xludf.DUMMYFUNCTION("GOOGLEFINANCE(""nse:""&amp;B11,""price"")"),1592)</f>
        <v>1592</v>
      </c>
      <c r="D11" s="83">
        <v>44880</v>
      </c>
      <c r="E11" s="84">
        <f ca="1">IFERROR(__xludf.DUMMYFUNCTION("GOOGLEFINANCE(""nse:""&amp;B11,""marketcap"")/10000000"),10945.7128073)</f>
        <v>10945.7128073</v>
      </c>
      <c r="F11" s="84">
        <v>669</v>
      </c>
      <c r="G11" s="84">
        <v>484</v>
      </c>
      <c r="H11" s="7">
        <v>1263</v>
      </c>
      <c r="I11" s="7">
        <v>582</v>
      </c>
      <c r="J11" s="84">
        <v>14</v>
      </c>
      <c r="K11" s="84">
        <v>681</v>
      </c>
      <c r="L11" s="84">
        <v>160</v>
      </c>
      <c r="M11" s="84">
        <v>54</v>
      </c>
      <c r="N11" s="84">
        <v>2</v>
      </c>
      <c r="O11" s="84"/>
      <c r="P11" s="84">
        <v>23.06</v>
      </c>
      <c r="Q11" s="85">
        <v>4.6300000000000001E-2</v>
      </c>
      <c r="R11" s="84">
        <v>798</v>
      </c>
      <c r="S11" s="84">
        <v>1187</v>
      </c>
      <c r="T11" s="54">
        <v>1132</v>
      </c>
      <c r="U11" s="86">
        <v>116</v>
      </c>
      <c r="V11" s="55">
        <v>116</v>
      </c>
      <c r="W11" s="86">
        <v>12</v>
      </c>
      <c r="X11" s="57">
        <v>1048</v>
      </c>
      <c r="Y11" s="40">
        <f t="shared" si="0"/>
        <v>8.2653702677787377E-2</v>
      </c>
      <c r="Z11" s="87">
        <f t="shared" si="1"/>
        <v>-4.6335299073294034E-2</v>
      </c>
      <c r="AA11" s="38">
        <f t="shared" si="2"/>
        <v>0</v>
      </c>
      <c r="AB11" s="40">
        <f t="shared" si="3"/>
        <v>9.7725358045492844E-2</v>
      </c>
      <c r="AC11" s="87">
        <f t="shared" si="3"/>
        <v>0.10247349823321555</v>
      </c>
      <c r="AD11" s="88">
        <f t="shared" si="4"/>
        <v>12.583333333333334</v>
      </c>
      <c r="AE11" s="89">
        <f t="shared" si="5"/>
        <v>1.3822314049586777</v>
      </c>
      <c r="AF11" s="90">
        <f t="shared" si="6"/>
        <v>16.604886267902277</v>
      </c>
      <c r="AG11" s="91">
        <f t="shared" si="7"/>
        <v>0.23494860499265785</v>
      </c>
      <c r="AH11" s="89">
        <f t="shared" si="8"/>
        <v>0.46080760095011875</v>
      </c>
      <c r="AI11" s="87">
        <f t="shared" si="9"/>
        <v>0.1669064748201439</v>
      </c>
      <c r="AJ11" s="90">
        <f t="shared" si="10"/>
        <v>8.2857142857142865</v>
      </c>
      <c r="AK11" s="92">
        <f t="shared" si="11"/>
        <v>9.1844813935075223E-2</v>
      </c>
      <c r="AL11" s="93">
        <f t="shared" ca="1" si="12"/>
        <v>69.037294015611451</v>
      </c>
      <c r="AM11" s="87">
        <f t="shared" ca="1" si="13"/>
        <v>1.4484924623115578E-2</v>
      </c>
      <c r="AN11" s="91">
        <f t="shared" si="14"/>
        <v>97.285714285714292</v>
      </c>
      <c r="AO11" s="90">
        <f t="shared" ca="1" si="15"/>
        <v>16.364170337738617</v>
      </c>
    </row>
    <row r="12" spans="2:41" ht="15.75" customHeight="1" x14ac:dyDescent="0.45">
      <c r="B12" s="94" t="s">
        <v>186</v>
      </c>
      <c r="C12" s="95">
        <f ca="1">IFERROR(__xludf.DUMMYFUNCTION("GOOGLEFINANCE(""nse:""&amp;B12,""price"")"),624.25)</f>
        <v>624.25</v>
      </c>
      <c r="D12" s="96">
        <v>44880</v>
      </c>
      <c r="E12" s="97">
        <f ca="1">IFERROR(__xludf.DUMMYFUNCTION("GOOGLEFINANCE(""nse:""&amp;B12,""marketcap"")/10000000"),16301.5084375)</f>
        <v>16301.508437500001</v>
      </c>
      <c r="F12" s="97">
        <v>952</v>
      </c>
      <c r="G12" s="97">
        <v>415</v>
      </c>
      <c r="H12" s="7">
        <v>1629</v>
      </c>
      <c r="I12" s="7">
        <v>691</v>
      </c>
      <c r="J12" s="97">
        <v>26</v>
      </c>
      <c r="K12" s="97">
        <v>938</v>
      </c>
      <c r="L12" s="97">
        <v>268</v>
      </c>
      <c r="M12" s="97">
        <v>190</v>
      </c>
      <c r="N12" s="97">
        <v>10</v>
      </c>
      <c r="O12" s="97"/>
      <c r="P12" s="97">
        <v>19.32</v>
      </c>
      <c r="Q12" s="98">
        <v>3.7100000000000001E-2</v>
      </c>
      <c r="R12" s="97">
        <v>413</v>
      </c>
      <c r="S12" s="97">
        <v>2159</v>
      </c>
      <c r="T12" s="99">
        <v>2426</v>
      </c>
      <c r="U12" s="100">
        <v>77</v>
      </c>
      <c r="V12" s="101">
        <v>100</v>
      </c>
      <c r="W12" s="102">
        <v>48</v>
      </c>
      <c r="X12" s="103">
        <v>1983</v>
      </c>
      <c r="Y12" s="40">
        <f t="shared" si="0"/>
        <v>0.39206821746465481</v>
      </c>
      <c r="Z12" s="87">
        <f t="shared" si="1"/>
        <v>0.12366836498378886</v>
      </c>
      <c r="AA12" s="38">
        <f t="shared" si="2"/>
        <v>0.29870129870129869</v>
      </c>
      <c r="AB12" s="40">
        <f t="shared" si="3"/>
        <v>3.5664659564613246E-2</v>
      </c>
      <c r="AC12" s="87">
        <f t="shared" si="3"/>
        <v>4.1220115416323165E-2</v>
      </c>
      <c r="AD12" s="88">
        <f t="shared" si="4"/>
        <v>4.666666666666667</v>
      </c>
      <c r="AE12" s="89">
        <f t="shared" si="5"/>
        <v>2.293975903614458</v>
      </c>
      <c r="AF12" s="90">
        <f t="shared" si="6"/>
        <v>32.121352477999075</v>
      </c>
      <c r="AG12" s="91">
        <f t="shared" si="7"/>
        <v>0.2857142857142857</v>
      </c>
      <c r="AH12" s="89">
        <f t="shared" si="8"/>
        <v>0.42418661755678333</v>
      </c>
      <c r="AI12" s="87">
        <f t="shared" si="9"/>
        <v>7.9875518672199164E-2</v>
      </c>
      <c r="AJ12" s="90">
        <f t="shared" si="10"/>
        <v>2.9615384615384617</v>
      </c>
      <c r="AK12" s="92">
        <f t="shared" si="11"/>
        <v>4.7268262737875995E-2</v>
      </c>
      <c r="AL12" s="93">
        <f t="shared" ca="1" si="12"/>
        <v>32.311076604554863</v>
      </c>
      <c r="AM12" s="87">
        <f t="shared" ca="1" si="13"/>
        <v>3.0949138966760114E-2</v>
      </c>
      <c r="AN12" s="91">
        <f t="shared" si="14"/>
        <v>360.76923076923077</v>
      </c>
      <c r="AO12" s="90">
        <f t="shared" ca="1" si="15"/>
        <v>1.7303304904051173</v>
      </c>
    </row>
    <row r="13" spans="2:41" ht="15.75" customHeight="1" x14ac:dyDescent="0.45">
      <c r="B13" s="104" t="s">
        <v>187</v>
      </c>
      <c r="C13" s="105">
        <f ca="1">IFERROR(__xludf.DUMMYFUNCTION("GOOGLEFINANCE(""nse:""&amp;B13,""price"")"),273)</f>
        <v>273</v>
      </c>
      <c r="D13" s="106">
        <v>45325</v>
      </c>
      <c r="E13" s="84">
        <f ca="1">IFERROR(__xludf.DUMMYFUNCTION("GOOGLEFINANCE(""nse:""&amp;B13,""marketcap"")/10000000"),2111.3085451)</f>
        <v>2111.3085451000002</v>
      </c>
      <c r="F13" s="88">
        <v>503</v>
      </c>
      <c r="G13" s="88">
        <v>88</v>
      </c>
      <c r="H13" s="7">
        <v>640</v>
      </c>
      <c r="I13" s="7">
        <v>116</v>
      </c>
      <c r="J13" s="84">
        <v>77</v>
      </c>
      <c r="K13" s="84">
        <v>524</v>
      </c>
      <c r="L13" s="84">
        <v>47</v>
      </c>
      <c r="M13" s="84">
        <v>93</v>
      </c>
      <c r="N13" s="84">
        <v>10</v>
      </c>
      <c r="O13" s="84"/>
      <c r="P13" s="84">
        <v>3.15</v>
      </c>
      <c r="Q13" s="85">
        <v>1.83E-2</v>
      </c>
      <c r="R13" s="84">
        <v>222</v>
      </c>
      <c r="S13" s="84">
        <v>359</v>
      </c>
      <c r="T13" s="107"/>
      <c r="U13" s="86">
        <v>50</v>
      </c>
      <c r="V13" s="55"/>
      <c r="W13" s="86">
        <v>9</v>
      </c>
      <c r="X13" s="57">
        <v>281</v>
      </c>
      <c r="Y13" s="40">
        <f t="shared" si="0"/>
        <v>0.10090107252920588</v>
      </c>
      <c r="Z13" s="87"/>
      <c r="AA13" s="108"/>
      <c r="AB13" s="40">
        <f t="shared" si="3"/>
        <v>0.1392757660167131</v>
      </c>
      <c r="AC13" s="87"/>
      <c r="AD13" s="88">
        <f t="shared" si="4"/>
        <v>9.6666666666666661</v>
      </c>
      <c r="AE13" s="89">
        <f t="shared" si="5"/>
        <v>5.7159090909090908</v>
      </c>
      <c r="AF13" s="90">
        <f t="shared" si="6"/>
        <v>94.554317548746511</v>
      </c>
      <c r="AG13" s="91">
        <f t="shared" si="7"/>
        <v>8.9694656488549615E-2</v>
      </c>
      <c r="AH13" s="89">
        <f t="shared" si="8"/>
        <v>0.18124999999999999</v>
      </c>
      <c r="AI13" s="87">
        <f t="shared" si="9"/>
        <v>8.3194675540765387E-2</v>
      </c>
      <c r="AJ13" s="90">
        <f t="shared" si="10"/>
        <v>0.64935064935064934</v>
      </c>
      <c r="AK13" s="92">
        <f t="shared" si="11"/>
        <v>7.8125E-2</v>
      </c>
      <c r="AL13" s="93">
        <f t="shared" ca="1" si="12"/>
        <v>86.666666666666671</v>
      </c>
      <c r="AM13" s="87">
        <f t="shared" ca="1" si="13"/>
        <v>1.1538461538461537E-2</v>
      </c>
      <c r="AN13" s="91">
        <f t="shared" si="14"/>
        <v>68.051948051948045</v>
      </c>
      <c r="AO13" s="90">
        <f t="shared" ca="1" si="15"/>
        <v>4.0116412213740462</v>
      </c>
    </row>
    <row r="14" spans="2:41" ht="15.75" customHeight="1" x14ac:dyDescent="0.45">
      <c r="B14" s="81" t="s">
        <v>188</v>
      </c>
      <c r="C14" s="82">
        <f ca="1">IFERROR(__xludf.DUMMYFUNCTION("GOOGLEFINANCE(""nse:""&amp;B14,""price"")"),519.8)</f>
        <v>519.79999999999995</v>
      </c>
      <c r="D14" s="83">
        <v>44880</v>
      </c>
      <c r="E14" s="84">
        <f ca="1">IFERROR(__xludf.DUMMYFUNCTION("GOOGLEFINANCE(""nse:""&amp;B14,""marketcap"")/10000000"),3342.3388719)</f>
        <v>3342.3388719</v>
      </c>
      <c r="F14" s="84">
        <v>1290</v>
      </c>
      <c r="G14" s="84">
        <v>872</v>
      </c>
      <c r="H14" s="7">
        <v>1789</v>
      </c>
      <c r="I14" s="7">
        <v>976</v>
      </c>
      <c r="J14" s="84">
        <v>64</v>
      </c>
      <c r="K14" s="84">
        <v>813</v>
      </c>
      <c r="L14" s="84">
        <v>631</v>
      </c>
      <c r="M14" s="84">
        <v>636</v>
      </c>
      <c r="N14" s="84">
        <v>10</v>
      </c>
      <c r="O14" s="84"/>
      <c r="P14" s="84">
        <v>5.0999999999999996</v>
      </c>
      <c r="Q14" s="85">
        <v>1.4500000000000001E-2</v>
      </c>
      <c r="R14" s="84">
        <v>1061</v>
      </c>
      <c r="S14" s="84">
        <v>1262</v>
      </c>
      <c r="T14" s="54">
        <v>1336</v>
      </c>
      <c r="U14" s="86">
        <v>30</v>
      </c>
      <c r="V14" s="55">
        <v>36</v>
      </c>
      <c r="W14" s="86">
        <v>75</v>
      </c>
      <c r="X14" s="57">
        <v>1262</v>
      </c>
      <c r="Y14" s="40">
        <f t="shared" si="0"/>
        <v>3.5306150846871054E-2</v>
      </c>
      <c r="Z14" s="87">
        <f t="shared" ref="Z14:Z16" si="16">(T14/S14)-1</f>
        <v>5.8637083993660966E-2</v>
      </c>
      <c r="AA14" s="38">
        <f>(V14/U14)-1</f>
        <v>0.19999999999999996</v>
      </c>
      <c r="AB14" s="40">
        <f t="shared" si="3"/>
        <v>2.3771790808240888E-2</v>
      </c>
      <c r="AC14" s="87">
        <f t="shared" si="3"/>
        <v>2.6946107784431138E-2</v>
      </c>
      <c r="AD14" s="88">
        <f t="shared" si="4"/>
        <v>1</v>
      </c>
      <c r="AE14" s="89">
        <f t="shared" si="5"/>
        <v>1.4793577981651376</v>
      </c>
      <c r="AF14" s="90">
        <f t="shared" si="6"/>
        <v>183.94611727416799</v>
      </c>
      <c r="AG14" s="91">
        <f t="shared" si="7"/>
        <v>0.77613776137761381</v>
      </c>
      <c r="AH14" s="89">
        <f t="shared" si="8"/>
        <v>0.54555617663499156</v>
      </c>
      <c r="AI14" s="87">
        <f t="shared" si="9"/>
        <v>3.4207525655644243E-2</v>
      </c>
      <c r="AJ14" s="90">
        <f t="shared" si="10"/>
        <v>0.46875</v>
      </c>
      <c r="AK14" s="92">
        <f t="shared" si="11"/>
        <v>1.6769144773616546E-2</v>
      </c>
      <c r="AL14" s="93">
        <f t="shared" ca="1" si="12"/>
        <v>101.92156862745098</v>
      </c>
      <c r="AM14" s="87">
        <f t="shared" ca="1" si="13"/>
        <v>9.811465948441709E-3</v>
      </c>
      <c r="AN14" s="91">
        <f t="shared" si="14"/>
        <v>127.03125</v>
      </c>
      <c r="AO14" s="90">
        <f t="shared" ca="1" si="15"/>
        <v>4.0919065190651907</v>
      </c>
    </row>
    <row r="15" spans="2:41" ht="15.75" customHeight="1" x14ac:dyDescent="0.45">
      <c r="B15" s="82" t="s">
        <v>189</v>
      </c>
      <c r="C15" s="82">
        <f ca="1">IFERROR(__xludf.DUMMYFUNCTION("GOOGLEFINANCE(""nse:""&amp;B15,""price"")"),110.9)</f>
        <v>110.9</v>
      </c>
      <c r="D15" s="83">
        <v>44880</v>
      </c>
      <c r="E15" s="84">
        <f ca="1">IFERROR(__xludf.DUMMYFUNCTION("GOOGLEFINANCE(""nse:""&amp;B15,""marketcap"")/10000000"),546.1804085)</f>
        <v>546.1804085</v>
      </c>
      <c r="F15" s="84"/>
      <c r="G15" s="84"/>
      <c r="H15" s="7">
        <v>444</v>
      </c>
      <c r="I15" s="7">
        <v>196</v>
      </c>
      <c r="J15" s="84">
        <v>49</v>
      </c>
      <c r="K15" s="84">
        <v>199</v>
      </c>
      <c r="L15" s="84">
        <v>8</v>
      </c>
      <c r="M15" s="84">
        <v>18</v>
      </c>
      <c r="N15" s="84">
        <v>10</v>
      </c>
      <c r="O15" s="84"/>
      <c r="P15" s="84">
        <v>2.97</v>
      </c>
      <c r="Q15" s="85">
        <v>4.1999999999999997E-3</v>
      </c>
      <c r="R15" s="84">
        <v>124</v>
      </c>
      <c r="S15" s="84">
        <v>52</v>
      </c>
      <c r="T15" s="54">
        <v>64</v>
      </c>
      <c r="U15" s="86">
        <v>6</v>
      </c>
      <c r="V15" s="55">
        <v>15</v>
      </c>
      <c r="W15" s="86">
        <v>1</v>
      </c>
      <c r="X15" s="57">
        <v>46</v>
      </c>
      <c r="Y15" s="40">
        <f t="shared" si="0"/>
        <v>-0.15954138795044259</v>
      </c>
      <c r="Z15" s="87">
        <f t="shared" si="16"/>
        <v>0.23076923076923084</v>
      </c>
      <c r="AA15" s="108">
        <v>1.5</v>
      </c>
      <c r="AB15" s="40">
        <f t="shared" si="3"/>
        <v>0.11538461538461539</v>
      </c>
      <c r="AC15" s="87">
        <f t="shared" si="3"/>
        <v>0.234375</v>
      </c>
      <c r="AD15" s="88">
        <f t="shared" si="4"/>
        <v>7</v>
      </c>
      <c r="AE15" s="109"/>
      <c r="AF15" s="90">
        <f t="shared" si="6"/>
        <v>126.34615384615384</v>
      </c>
      <c r="AG15" s="91">
        <f t="shared" si="7"/>
        <v>4.0201005025125629E-2</v>
      </c>
      <c r="AH15" s="89">
        <f t="shared" si="8"/>
        <v>0.44144144144144143</v>
      </c>
      <c r="AI15" s="87">
        <f t="shared" si="9"/>
        <v>2.4193548387096774E-2</v>
      </c>
      <c r="AJ15" s="90">
        <f t="shared" si="10"/>
        <v>0.12244897959183673</v>
      </c>
      <c r="AK15" s="92">
        <f t="shared" si="11"/>
        <v>1.3513513513513514E-2</v>
      </c>
      <c r="AL15" s="93">
        <f t="shared" ca="1" si="12"/>
        <v>37.340067340067343</v>
      </c>
      <c r="AM15" s="87">
        <f t="shared" ca="1" si="13"/>
        <v>2.6780883678990081E-2</v>
      </c>
      <c r="AN15" s="91">
        <f t="shared" si="14"/>
        <v>40.612244897959179</v>
      </c>
      <c r="AO15" s="90">
        <f t="shared" ca="1" si="15"/>
        <v>2.7307035175879402</v>
      </c>
    </row>
    <row r="16" spans="2:41" ht="15.75" customHeight="1" x14ac:dyDescent="0.45">
      <c r="B16" s="81" t="s">
        <v>190</v>
      </c>
      <c r="C16" s="82">
        <f ca="1">IFERROR(__xludf.DUMMYFUNCTION("GOOGLEFINANCE(""nse:""&amp;B16,""price"")"),23.07)</f>
        <v>23.07</v>
      </c>
      <c r="D16" s="83">
        <v>44880</v>
      </c>
      <c r="E16" s="84">
        <f ca="1">IFERROR(__xludf.DUMMYFUNCTION("GOOGLEFINANCE(""nse:""&amp;B16,""marketcap"")/10000000"),537.448589)</f>
        <v>537.44858899999997</v>
      </c>
      <c r="F16" s="84"/>
      <c r="G16" s="84"/>
      <c r="H16" s="7">
        <v>639</v>
      </c>
      <c r="I16" s="7">
        <v>461</v>
      </c>
      <c r="J16" s="84">
        <v>23</v>
      </c>
      <c r="K16" s="84">
        <v>155</v>
      </c>
      <c r="L16" s="84">
        <v>99</v>
      </c>
      <c r="M16" s="84">
        <v>164</v>
      </c>
      <c r="N16" s="84">
        <v>1</v>
      </c>
      <c r="O16" s="84"/>
      <c r="P16" s="84">
        <v>-0.99</v>
      </c>
      <c r="Q16" s="85">
        <v>4.0000000000000001E-3</v>
      </c>
      <c r="R16" s="84">
        <v>728</v>
      </c>
      <c r="S16" s="84">
        <v>1110</v>
      </c>
      <c r="T16" s="54">
        <v>873</v>
      </c>
      <c r="U16" s="86">
        <v>-12</v>
      </c>
      <c r="V16" s="55">
        <v>-23</v>
      </c>
      <c r="W16" s="86">
        <v>11</v>
      </c>
      <c r="X16" s="57">
        <v>1105</v>
      </c>
      <c r="Y16" s="40">
        <f t="shared" si="0"/>
        <v>8.8023610713733103E-2</v>
      </c>
      <c r="Z16" s="87">
        <f t="shared" si="16"/>
        <v>-0.21351351351351355</v>
      </c>
      <c r="AA16" s="108">
        <v>0.91700000000000004</v>
      </c>
      <c r="AB16" s="40">
        <f t="shared" si="3"/>
        <v>-1.0810810810810811E-2</v>
      </c>
      <c r="AC16" s="87">
        <f t="shared" si="3"/>
        <v>-2.6345933562428408E-2</v>
      </c>
      <c r="AD16" s="88">
        <f t="shared" si="4"/>
        <v>1.4545454545454546</v>
      </c>
      <c r="AE16" s="109"/>
      <c r="AF16" s="90">
        <f t="shared" si="6"/>
        <v>53.927927927927925</v>
      </c>
      <c r="AG16" s="91">
        <f t="shared" si="7"/>
        <v>0.6387096774193548</v>
      </c>
      <c r="AH16" s="89">
        <f t="shared" si="8"/>
        <v>0.72143974960876367</v>
      </c>
      <c r="AI16" s="87">
        <f t="shared" si="9"/>
        <v>-6.741573033707865E-2</v>
      </c>
      <c r="AJ16" s="90">
        <f t="shared" si="10"/>
        <v>-0.52173913043478259</v>
      </c>
      <c r="AK16" s="92">
        <f t="shared" si="11"/>
        <v>-1.8779342723004695E-2</v>
      </c>
      <c r="AL16" s="93">
        <f t="shared" ca="1" si="12"/>
        <v>-23.303030303030305</v>
      </c>
      <c r="AM16" s="87">
        <f t="shared" ca="1" si="13"/>
        <v>-4.2912873862158647E-2</v>
      </c>
      <c r="AN16" s="91">
        <f t="shared" si="14"/>
        <v>6.7391304347826084</v>
      </c>
      <c r="AO16" s="90">
        <f t="shared" ca="1" si="15"/>
        <v>3.4232903225806455</v>
      </c>
    </row>
    <row r="17" spans="2:41" ht="15.75" customHeight="1" x14ac:dyDescent="0.45">
      <c r="B17" s="82" t="s">
        <v>191</v>
      </c>
      <c r="C17" s="82">
        <v>902</v>
      </c>
      <c r="D17" s="83">
        <v>44880</v>
      </c>
      <c r="E17" s="84">
        <v>326</v>
      </c>
      <c r="F17" s="84"/>
      <c r="G17" s="84"/>
      <c r="H17" s="7">
        <v>34</v>
      </c>
      <c r="I17" s="7">
        <v>12</v>
      </c>
      <c r="J17" s="84">
        <v>3.6</v>
      </c>
      <c r="K17" s="84">
        <v>18.27</v>
      </c>
      <c r="L17" s="84">
        <v>4.8899999999999997</v>
      </c>
      <c r="M17" s="84">
        <v>7.85</v>
      </c>
      <c r="N17" s="84">
        <v>10</v>
      </c>
      <c r="O17" s="84"/>
      <c r="P17" s="84">
        <v>-4.9000000000000004</v>
      </c>
      <c r="Q17" s="85">
        <v>2.3E-3</v>
      </c>
      <c r="R17" s="84">
        <v>3.02</v>
      </c>
      <c r="S17" s="84">
        <v>22.72</v>
      </c>
      <c r="T17" s="107"/>
      <c r="U17" s="86">
        <v>2.15</v>
      </c>
      <c r="V17" s="55"/>
      <c r="W17" s="86">
        <v>0.5</v>
      </c>
      <c r="X17" s="57">
        <v>16.79</v>
      </c>
      <c r="Y17" s="40">
        <f t="shared" si="0"/>
        <v>0.49720158021323413</v>
      </c>
      <c r="Z17" s="87"/>
      <c r="AA17" s="108"/>
      <c r="AB17" s="40">
        <f t="shared" si="3"/>
        <v>9.4630281690140844E-2</v>
      </c>
      <c r="AC17" s="87"/>
      <c r="AD17" s="88">
        <f t="shared" si="4"/>
        <v>12.86</v>
      </c>
      <c r="AE17" s="109"/>
      <c r="AF17" s="90">
        <f t="shared" si="6"/>
        <v>126.11135563380282</v>
      </c>
      <c r="AG17" s="91">
        <f t="shared" si="7"/>
        <v>0.26765188834154352</v>
      </c>
      <c r="AH17" s="89">
        <f t="shared" si="8"/>
        <v>0.35294117647058826</v>
      </c>
      <c r="AI17" s="87">
        <f t="shared" si="9"/>
        <v>9.83081847279378E-2</v>
      </c>
      <c r="AJ17" s="90">
        <f t="shared" si="10"/>
        <v>0.59722222222222221</v>
      </c>
      <c r="AK17" s="92">
        <f t="shared" si="11"/>
        <v>6.3235294117647056E-2</v>
      </c>
      <c r="AL17" s="93">
        <f t="shared" si="12"/>
        <v>-184.08163265306121</v>
      </c>
      <c r="AM17" s="87">
        <f t="shared" si="13"/>
        <v>-5.4323725055432379E-3</v>
      </c>
      <c r="AN17" s="91">
        <f t="shared" si="14"/>
        <v>50.75</v>
      </c>
      <c r="AO17" s="90">
        <f t="shared" si="15"/>
        <v>17.773399014778324</v>
      </c>
    </row>
    <row r="18" spans="2:41" ht="15.75" customHeight="1" x14ac:dyDescent="0.45">
      <c r="B18" s="81" t="s">
        <v>192</v>
      </c>
      <c r="C18" s="82">
        <f ca="1">IFERROR(__xludf.DUMMYFUNCTION("GOOGLEFINANCE(""nse:""&amp;B18,""price"")"),135.1)</f>
        <v>135.1</v>
      </c>
      <c r="D18" s="83">
        <v>44880</v>
      </c>
      <c r="E18" s="84">
        <f ca="1">IFERROR(__xludf.DUMMYFUNCTION("GOOGLEFINANCE(""nse:""&amp;B18,""marketcap"")/10000000"),258.2429861)</f>
        <v>258.2429861</v>
      </c>
      <c r="F18" s="84"/>
      <c r="G18" s="84"/>
      <c r="H18" s="7">
        <v>340</v>
      </c>
      <c r="I18" s="7">
        <v>96</v>
      </c>
      <c r="J18" s="84">
        <v>19</v>
      </c>
      <c r="K18" s="84">
        <v>225</v>
      </c>
      <c r="L18" s="84">
        <v>48</v>
      </c>
      <c r="M18" s="84">
        <v>113</v>
      </c>
      <c r="N18" s="84">
        <v>10</v>
      </c>
      <c r="O18" s="84"/>
      <c r="P18" s="84">
        <v>9.2899999999999991</v>
      </c>
      <c r="Q18" s="85">
        <v>1.6999999999999999E-3</v>
      </c>
      <c r="R18" s="84">
        <v>253</v>
      </c>
      <c r="S18" s="84">
        <v>291</v>
      </c>
      <c r="T18" s="54">
        <v>294</v>
      </c>
      <c r="U18" s="86">
        <v>20</v>
      </c>
      <c r="V18" s="55">
        <v>17.5</v>
      </c>
      <c r="W18" s="86">
        <v>5</v>
      </c>
      <c r="X18" s="57">
        <v>264</v>
      </c>
      <c r="Y18" s="40">
        <f t="shared" si="0"/>
        <v>2.8382064119134132E-2</v>
      </c>
      <c r="Z18" s="87">
        <f t="shared" ref="Z18:Z19" si="17">(T18/S18)-1</f>
        <v>1.0309278350515427E-2</v>
      </c>
      <c r="AA18" s="38">
        <f>(V18/U18)-1</f>
        <v>-0.125</v>
      </c>
      <c r="AB18" s="40">
        <f t="shared" si="3"/>
        <v>6.8728522336769765E-2</v>
      </c>
      <c r="AC18" s="87">
        <f t="shared" si="3"/>
        <v>5.9523809523809521E-2</v>
      </c>
      <c r="AD18" s="88">
        <f t="shared" si="4"/>
        <v>6.4</v>
      </c>
      <c r="AE18" s="109"/>
      <c r="AF18" s="90">
        <f t="shared" si="6"/>
        <v>141.73539518900344</v>
      </c>
      <c r="AG18" s="91">
        <f t="shared" si="7"/>
        <v>0.21333333333333335</v>
      </c>
      <c r="AH18" s="89">
        <f t="shared" si="8"/>
        <v>0.28235294117647058</v>
      </c>
      <c r="AI18" s="87">
        <f t="shared" si="9"/>
        <v>8.1967213114754092E-2</v>
      </c>
      <c r="AJ18" s="90">
        <f t="shared" si="10"/>
        <v>1.0526315789473684</v>
      </c>
      <c r="AK18" s="92">
        <f t="shared" si="11"/>
        <v>5.8823529411764705E-2</v>
      </c>
      <c r="AL18" s="93">
        <f t="shared" ca="1" si="12"/>
        <v>14.542518837459635</v>
      </c>
      <c r="AM18" s="87">
        <f t="shared" ca="1" si="13"/>
        <v>6.8763878608438189E-2</v>
      </c>
      <c r="AN18" s="91">
        <f t="shared" si="14"/>
        <v>118.42105263157896</v>
      </c>
      <c r="AO18" s="90">
        <f t="shared" ca="1" si="15"/>
        <v>1.1408444444444443</v>
      </c>
    </row>
    <row r="19" spans="2:41" ht="15.75" customHeight="1" x14ac:dyDescent="0.45">
      <c r="B19" s="82" t="s">
        <v>193</v>
      </c>
      <c r="C19" s="82">
        <v>162.9</v>
      </c>
      <c r="D19" s="83">
        <v>44880</v>
      </c>
      <c r="E19" s="84">
        <v>219</v>
      </c>
      <c r="F19" s="7"/>
      <c r="G19" s="7"/>
      <c r="H19" s="7">
        <v>139</v>
      </c>
      <c r="I19" s="7">
        <v>65</v>
      </c>
      <c r="J19" s="7">
        <v>13</v>
      </c>
      <c r="K19" s="7">
        <v>61</v>
      </c>
      <c r="L19" s="7">
        <v>34</v>
      </c>
      <c r="M19" s="7">
        <v>239</v>
      </c>
      <c r="N19" s="7">
        <v>10</v>
      </c>
      <c r="O19" s="7"/>
      <c r="P19" s="7">
        <v>2.88</v>
      </c>
      <c r="Q19" s="79">
        <v>1.6000000000000001E-3</v>
      </c>
      <c r="R19" s="7">
        <v>25</v>
      </c>
      <c r="S19" s="7">
        <v>160</v>
      </c>
      <c r="T19" s="54">
        <v>163</v>
      </c>
      <c r="U19" s="54">
        <v>6</v>
      </c>
      <c r="V19" s="54">
        <v>4</v>
      </c>
      <c r="W19" s="7">
        <v>4</v>
      </c>
      <c r="X19" s="7">
        <v>152</v>
      </c>
      <c r="Y19" s="40">
        <f t="shared" si="0"/>
        <v>0.44955932735539106</v>
      </c>
      <c r="Z19" s="87">
        <f t="shared" si="17"/>
        <v>1.8750000000000044E-2</v>
      </c>
      <c r="AA19" s="79">
        <v>-0.33300000000000002</v>
      </c>
      <c r="AB19" s="40">
        <f t="shared" si="3"/>
        <v>3.7499999999999999E-2</v>
      </c>
      <c r="AC19" s="87">
        <f t="shared" si="3"/>
        <v>2.4539877300613498E-2</v>
      </c>
      <c r="AD19" s="88">
        <f t="shared" si="4"/>
        <v>3</v>
      </c>
      <c r="AE19" s="109"/>
      <c r="AF19" s="90">
        <f t="shared" si="6"/>
        <v>545.21875</v>
      </c>
      <c r="AG19" s="91">
        <f t="shared" si="7"/>
        <v>0.55737704918032782</v>
      </c>
      <c r="AH19" s="89">
        <f t="shared" si="8"/>
        <v>0.46762589928057552</v>
      </c>
      <c r="AI19" s="87">
        <f t="shared" si="9"/>
        <v>8.1081081081081086E-2</v>
      </c>
      <c r="AJ19" s="90">
        <f t="shared" si="10"/>
        <v>0.46153846153846156</v>
      </c>
      <c r="AK19" s="92">
        <f t="shared" si="11"/>
        <v>4.3165467625899283E-2</v>
      </c>
      <c r="AL19" s="93">
        <f t="shared" si="12"/>
        <v>56.562500000000007</v>
      </c>
      <c r="AM19" s="87">
        <f t="shared" si="13"/>
        <v>1.7679558011049722E-2</v>
      </c>
      <c r="AN19" s="91">
        <f t="shared" si="14"/>
        <v>46.92307692307692</v>
      </c>
      <c r="AO19" s="90">
        <f t="shared" si="15"/>
        <v>3.4716393442622953</v>
      </c>
    </row>
    <row r="20" spans="2:41" ht="15.75" customHeight="1" x14ac:dyDescent="0.45">
      <c r="B20" s="82" t="s">
        <v>194</v>
      </c>
      <c r="C20" s="82">
        <v>129.94999999999999</v>
      </c>
      <c r="D20" s="83">
        <v>44880</v>
      </c>
      <c r="E20" s="84">
        <v>98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54"/>
      <c r="U20" s="54"/>
      <c r="V20" s="54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8"/>
      <c r="AH20" s="7"/>
      <c r="AI20" s="7"/>
      <c r="AJ20" s="7"/>
      <c r="AK20" s="7"/>
      <c r="AL20" s="7"/>
      <c r="AM20" s="7"/>
      <c r="AN20" s="7"/>
      <c r="AO20" s="7"/>
    </row>
    <row r="21" spans="2:41" ht="15.75" customHeight="1" x14ac:dyDescent="0.45">
      <c r="B21" s="82" t="s">
        <v>195</v>
      </c>
      <c r="C21" s="82">
        <v>65.78</v>
      </c>
      <c r="D21" s="83">
        <v>44880</v>
      </c>
      <c r="E21" s="84">
        <v>31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54"/>
      <c r="U21" s="54"/>
      <c r="V21" s="54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8"/>
      <c r="AH21" s="7"/>
      <c r="AI21" s="7"/>
      <c r="AJ21" s="7"/>
      <c r="AK21" s="7"/>
      <c r="AL21" s="7"/>
      <c r="AM21" s="7"/>
      <c r="AN21" s="7"/>
      <c r="AO21" s="7"/>
    </row>
    <row r="22" spans="2:41" ht="15.75" customHeight="1" x14ac:dyDescent="0.45">
      <c r="B22" s="82" t="s">
        <v>196</v>
      </c>
      <c r="C22" s="82">
        <v>7.5</v>
      </c>
      <c r="D22" s="83">
        <v>44880</v>
      </c>
      <c r="E22" s="84">
        <v>10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8"/>
      <c r="AH22" s="7"/>
      <c r="AI22" s="7"/>
      <c r="AJ22" s="7"/>
      <c r="AK22" s="7"/>
      <c r="AL22" s="7"/>
      <c r="AM22" s="7"/>
      <c r="AN22" s="7"/>
      <c r="AO22" s="7"/>
    </row>
    <row r="23" spans="2:41" ht="13.8" x14ac:dyDescent="0.3">
      <c r="AG23" s="110"/>
    </row>
    <row r="24" spans="2:41" ht="13.8" x14ac:dyDescent="0.3">
      <c r="B24" s="111" t="s">
        <v>152</v>
      </c>
      <c r="C24" s="112">
        <f ca="1">SUM(C9:C22)</f>
        <v>20594.25</v>
      </c>
      <c r="D24" s="111"/>
      <c r="E24" s="112">
        <f t="shared" ref="E24:M24" ca="1" si="18">SUM(E9:E22)</f>
        <v>223289.22240939998</v>
      </c>
      <c r="F24" s="112">
        <f t="shared" si="18"/>
        <v>14540</v>
      </c>
      <c r="G24" s="112">
        <f t="shared" si="18"/>
        <v>9625</v>
      </c>
      <c r="H24" s="112">
        <f t="shared" si="18"/>
        <v>24294</v>
      </c>
      <c r="I24" s="112">
        <f t="shared" si="18"/>
        <v>12197</v>
      </c>
      <c r="J24" s="112">
        <f t="shared" si="18"/>
        <v>362.6</v>
      </c>
      <c r="K24" s="112">
        <f t="shared" si="18"/>
        <v>11989.27</v>
      </c>
      <c r="L24" s="112">
        <f t="shared" si="18"/>
        <v>1546.89</v>
      </c>
      <c r="M24" s="112">
        <f t="shared" si="18"/>
        <v>4163.8500000000004</v>
      </c>
      <c r="N24" s="112">
        <f>MEDIAN(N9:N19)</f>
        <v>10</v>
      </c>
      <c r="O24" s="112"/>
      <c r="P24" s="112">
        <f>SUM(P9:P22)</f>
        <v>115.22999999999999</v>
      </c>
      <c r="Q24" s="113">
        <v>1</v>
      </c>
      <c r="R24" s="112">
        <f t="shared" ref="R24:X24" si="19">SUM(R9:R22)</f>
        <v>14749.02</v>
      </c>
      <c r="S24" s="112">
        <f t="shared" si="19"/>
        <v>35705.72</v>
      </c>
      <c r="T24" s="112">
        <f t="shared" si="19"/>
        <v>40393</v>
      </c>
      <c r="U24" s="112">
        <f t="shared" si="19"/>
        <v>1622.15</v>
      </c>
      <c r="V24" s="112">
        <f t="shared" si="19"/>
        <v>1805.5</v>
      </c>
      <c r="W24" s="112">
        <f t="shared" si="19"/>
        <v>284.5</v>
      </c>
      <c r="X24" s="112">
        <f t="shared" si="19"/>
        <v>33120.79</v>
      </c>
      <c r="Y24" s="114">
        <f>(S24/R24)^(1/5)-1</f>
        <v>0.19342443621570937</v>
      </c>
      <c r="Z24" s="115">
        <f>(T24/S24)-1</f>
        <v>0.13127532507396578</v>
      </c>
      <c r="AA24" s="116">
        <f>(V24/U24)-1</f>
        <v>0.11302900471596322</v>
      </c>
      <c r="AB24" s="114">
        <f t="shared" ref="AB24:AC24" si="20">U24/S24</f>
        <v>4.5431096194111197E-2</v>
      </c>
      <c r="AC24" s="115">
        <f t="shared" si="20"/>
        <v>4.4698338821082859E-2</v>
      </c>
      <c r="AD24" s="117">
        <f>(S24-X24+W24)/W24</f>
        <v>10.085869947275924</v>
      </c>
      <c r="AE24" s="118">
        <f>F24/G24</f>
        <v>1.5106493506493506</v>
      </c>
      <c r="AF24" s="119">
        <f>(M24/S24)*365</f>
        <v>42.564755731014529</v>
      </c>
      <c r="AG24" s="120">
        <f>L24/K24</f>
        <v>0.12902286794775664</v>
      </c>
      <c r="AH24" s="118">
        <f>I24/H24</f>
        <v>0.50205812134683458</v>
      </c>
      <c r="AI24" s="115">
        <f>U24/(J24+K24)</f>
        <v>0.13132829280100908</v>
      </c>
      <c r="AJ24" s="121">
        <f>U24/J24</f>
        <v>4.4736624379481524</v>
      </c>
      <c r="AK24" s="122">
        <f>U24/H24</f>
        <v>6.677163085535523E-2</v>
      </c>
      <c r="AL24" s="120">
        <f ca="1">C24/P24</f>
        <v>178.72298880499872</v>
      </c>
      <c r="AM24" s="115">
        <f ca="1">P24/C24</f>
        <v>5.5952511016424487E-3</v>
      </c>
      <c r="AN24" s="112">
        <f>SUM(AN9:AN22)</f>
        <v>1294.4552208658636</v>
      </c>
      <c r="AO24" s="121">
        <f ca="1">C24/AN24</f>
        <v>15.909588580611128</v>
      </c>
    </row>
    <row r="26" spans="2:41" ht="15.75" customHeight="1" x14ac:dyDescent="0.45">
      <c r="B26" s="74" t="s">
        <v>197</v>
      </c>
      <c r="C26" s="74" t="s">
        <v>198</v>
      </c>
      <c r="D26" s="74" t="s">
        <v>26</v>
      </c>
      <c r="G26" s="74" t="s">
        <v>199</v>
      </c>
      <c r="H26" s="74" t="s">
        <v>200</v>
      </c>
      <c r="I26" s="74" t="s">
        <v>201</v>
      </c>
      <c r="J26" s="74" t="s">
        <v>202</v>
      </c>
      <c r="L26" s="80" t="s">
        <v>167</v>
      </c>
      <c r="M26" s="74" t="s">
        <v>203</v>
      </c>
      <c r="N26" s="74" t="s">
        <v>204</v>
      </c>
      <c r="O26" s="74" t="s">
        <v>205</v>
      </c>
    </row>
    <row r="27" spans="2:41" ht="16.2" x14ac:dyDescent="0.45">
      <c r="B27" s="82" t="s">
        <v>201</v>
      </c>
      <c r="C27" s="82">
        <v>52500</v>
      </c>
      <c r="D27" s="7"/>
      <c r="G27" s="82" t="s">
        <v>206</v>
      </c>
      <c r="H27" s="81">
        <v>0.61</v>
      </c>
      <c r="I27" s="60">
        <v>0.66</v>
      </c>
      <c r="J27" s="60">
        <v>0.74</v>
      </c>
      <c r="L27" s="82" t="s">
        <v>207</v>
      </c>
      <c r="M27" s="7">
        <v>6240</v>
      </c>
      <c r="N27" s="60">
        <v>0.96</v>
      </c>
      <c r="O27" s="38">
        <f t="shared" ref="O27:O35" si="21">M27/$M$37</f>
        <v>0.29036761284318285</v>
      </c>
    </row>
    <row r="28" spans="2:41" ht="16.2" x14ac:dyDescent="0.45">
      <c r="B28" s="82" t="s">
        <v>208</v>
      </c>
      <c r="C28" s="82">
        <v>103300</v>
      </c>
      <c r="D28" s="60">
        <f>(C28/C27)^(1/5)-1</f>
        <v>0.14495443482946802</v>
      </c>
      <c r="G28" s="82" t="s">
        <v>209</v>
      </c>
      <c r="H28" s="81">
        <v>0.39</v>
      </c>
      <c r="I28" s="60">
        <v>0.34</v>
      </c>
      <c r="J28" s="60">
        <v>0.26</v>
      </c>
      <c r="L28" s="82" t="s">
        <v>210</v>
      </c>
      <c r="M28" s="7">
        <v>3110</v>
      </c>
      <c r="N28" s="60">
        <v>1</v>
      </c>
      <c r="O28" s="38">
        <f t="shared" si="21"/>
        <v>0.14471847370870172</v>
      </c>
    </row>
    <row r="29" spans="2:41" ht="16.2" x14ac:dyDescent="0.45">
      <c r="L29" s="82" t="s">
        <v>211</v>
      </c>
      <c r="M29" s="7">
        <v>2780</v>
      </c>
      <c r="N29" s="60">
        <v>0.98</v>
      </c>
      <c r="O29" s="38">
        <f t="shared" si="21"/>
        <v>0.12936249418334109</v>
      </c>
    </row>
    <row r="30" spans="2:41" ht="16.2" x14ac:dyDescent="0.45">
      <c r="L30" s="82" t="s">
        <v>24</v>
      </c>
      <c r="M30" s="7">
        <v>2680</v>
      </c>
      <c r="N30" s="60">
        <v>0.3</v>
      </c>
      <c r="O30" s="38">
        <f t="shared" si="21"/>
        <v>0.12470916705444393</v>
      </c>
    </row>
    <row r="31" spans="2:41" ht="16.2" x14ac:dyDescent="0.45">
      <c r="L31" s="82" t="s">
        <v>212</v>
      </c>
      <c r="M31" s="7">
        <v>2430</v>
      </c>
      <c r="N31" s="60">
        <v>0.69</v>
      </c>
      <c r="O31" s="38">
        <f t="shared" si="21"/>
        <v>0.11307584923220103</v>
      </c>
    </row>
    <row r="32" spans="2:41" ht="16.2" x14ac:dyDescent="0.45">
      <c r="L32" s="82" t="s">
        <v>213</v>
      </c>
      <c r="M32" s="7">
        <v>1580</v>
      </c>
      <c r="N32" s="60">
        <v>1</v>
      </c>
      <c r="O32" s="38">
        <f t="shared" si="21"/>
        <v>7.352256863657515E-2</v>
      </c>
    </row>
    <row r="33" spans="2:24" ht="16.2" x14ac:dyDescent="0.45">
      <c r="L33" s="82" t="s">
        <v>214</v>
      </c>
      <c r="M33" s="7">
        <v>1140</v>
      </c>
      <c r="N33" s="60">
        <v>0.19</v>
      </c>
      <c r="O33" s="38">
        <f t="shared" si="21"/>
        <v>5.3047929269427641E-2</v>
      </c>
    </row>
    <row r="34" spans="2:24" ht="16.2" x14ac:dyDescent="0.45">
      <c r="L34" s="82" t="s">
        <v>215</v>
      </c>
      <c r="M34" s="7">
        <v>850</v>
      </c>
      <c r="N34" s="60">
        <v>0.08</v>
      </c>
      <c r="O34" s="38">
        <f t="shared" si="21"/>
        <v>3.9553280595625871E-2</v>
      </c>
    </row>
    <row r="35" spans="2:24" ht="16.2" x14ac:dyDescent="0.45">
      <c r="L35" s="82" t="s">
        <v>216</v>
      </c>
      <c r="M35" s="7">
        <v>680</v>
      </c>
      <c r="N35" s="60">
        <v>0.49</v>
      </c>
      <c r="O35" s="38">
        <f t="shared" si="21"/>
        <v>3.1642624476500701E-2</v>
      </c>
    </row>
    <row r="37" spans="2:24" ht="13.8" x14ac:dyDescent="0.3">
      <c r="L37" s="123" t="s">
        <v>152</v>
      </c>
      <c r="M37" s="123">
        <f>SUM(M27:M35)</f>
        <v>21490</v>
      </c>
      <c r="N37" s="123"/>
      <c r="O37" s="123"/>
    </row>
    <row r="40" spans="2:24" ht="16.2" x14ac:dyDescent="0.45">
      <c r="B40" s="74" t="s">
        <v>167</v>
      </c>
      <c r="C40" s="74" t="s">
        <v>153</v>
      </c>
      <c r="F40" s="80" t="s">
        <v>167</v>
      </c>
      <c r="G40" s="74" t="s">
        <v>159</v>
      </c>
      <c r="J40" s="80" t="s">
        <v>167</v>
      </c>
      <c r="K40" s="74" t="s">
        <v>161</v>
      </c>
      <c r="N40" s="80" t="s">
        <v>167</v>
      </c>
      <c r="O40" s="80" t="s">
        <v>158</v>
      </c>
      <c r="P40" s="80" t="s">
        <v>159</v>
      </c>
      <c r="Q40" s="80" t="s">
        <v>160</v>
      </c>
      <c r="R40" s="80" t="s">
        <v>161</v>
      </c>
      <c r="S40" s="80" t="s">
        <v>162</v>
      </c>
      <c r="T40" s="80" t="s">
        <v>179</v>
      </c>
      <c r="U40" s="80" t="s">
        <v>180</v>
      </c>
      <c r="V40" s="80" t="s">
        <v>181</v>
      </c>
      <c r="W40" s="80" t="s">
        <v>182</v>
      </c>
      <c r="X40" s="80" t="s">
        <v>183</v>
      </c>
    </row>
    <row r="41" spans="2:24" ht="13.8" x14ac:dyDescent="0.3">
      <c r="B41" s="17" t="s">
        <v>24</v>
      </c>
      <c r="C41" s="47">
        <v>84100.858600000007</v>
      </c>
      <c r="F41" s="17" t="s">
        <v>24</v>
      </c>
      <c r="G41" s="47">
        <v>16911</v>
      </c>
      <c r="J41" s="17" t="s">
        <v>24</v>
      </c>
      <c r="K41" s="48">
        <v>1072</v>
      </c>
      <c r="N41" s="17" t="s">
        <v>24</v>
      </c>
      <c r="O41" s="47">
        <v>8269</v>
      </c>
      <c r="P41" s="47">
        <v>16911</v>
      </c>
      <c r="Q41" s="48">
        <v>18007</v>
      </c>
      <c r="R41" s="48">
        <v>1072</v>
      </c>
      <c r="S41" s="47">
        <v>1182</v>
      </c>
      <c r="T41" s="124">
        <v>0.153833807025479</v>
      </c>
      <c r="U41" s="124">
        <v>6.4809887055762516E-2</v>
      </c>
      <c r="V41" s="124">
        <v>0.10261194029850751</v>
      </c>
      <c r="W41" s="124">
        <v>6.3390692448702032E-2</v>
      </c>
      <c r="X41" s="124">
        <v>6.5641139556839007E-2</v>
      </c>
    </row>
    <row r="42" spans="2:24" ht="13.8" x14ac:dyDescent="0.3">
      <c r="B42" s="17" t="s">
        <v>184</v>
      </c>
      <c r="C42" s="47">
        <v>37227.723231999997</v>
      </c>
      <c r="F42" s="17" t="s">
        <v>184</v>
      </c>
      <c r="G42" s="47">
        <v>12192</v>
      </c>
      <c r="J42" s="17" t="s">
        <v>184</v>
      </c>
      <c r="K42" s="48">
        <v>255</v>
      </c>
      <c r="N42" s="17" t="s">
        <v>184</v>
      </c>
      <c r="O42" s="47">
        <v>2853</v>
      </c>
      <c r="P42" s="47">
        <v>12192</v>
      </c>
      <c r="Q42" s="48">
        <v>16098</v>
      </c>
      <c r="R42" s="48">
        <v>255</v>
      </c>
      <c r="S42" s="47">
        <v>358</v>
      </c>
      <c r="T42" s="124">
        <v>0.33707151432939053</v>
      </c>
      <c r="U42" s="124">
        <v>0.32037401574803148</v>
      </c>
      <c r="V42" s="124">
        <v>0.40392156862745088</v>
      </c>
      <c r="W42" s="124">
        <v>2.0915354330708662E-2</v>
      </c>
      <c r="X42" s="124">
        <v>2.2238787427009566E-2</v>
      </c>
    </row>
    <row r="43" spans="2:24" ht="13.8" x14ac:dyDescent="0.3">
      <c r="B43" s="17" t="s">
        <v>185</v>
      </c>
      <c r="C43" s="47">
        <v>6469.5299752000001</v>
      </c>
      <c r="F43" s="17" t="s">
        <v>185</v>
      </c>
      <c r="G43" s="47">
        <v>1187</v>
      </c>
      <c r="J43" s="17" t="s">
        <v>185</v>
      </c>
      <c r="K43" s="48">
        <v>116</v>
      </c>
      <c r="N43" s="17" t="s">
        <v>185</v>
      </c>
      <c r="O43" s="47">
        <v>798</v>
      </c>
      <c r="P43" s="47">
        <v>1187</v>
      </c>
      <c r="Q43" s="48">
        <v>1132</v>
      </c>
      <c r="R43" s="48">
        <v>116</v>
      </c>
      <c r="S43" s="47">
        <v>116</v>
      </c>
      <c r="T43" s="124">
        <v>8.2653702677787377E-2</v>
      </c>
      <c r="U43" s="124">
        <v>-4.6335299073294034E-2</v>
      </c>
      <c r="V43" s="124">
        <v>0</v>
      </c>
      <c r="W43" s="124">
        <v>9.7725358045492844E-2</v>
      </c>
      <c r="X43" s="124">
        <v>0.10247349823321555</v>
      </c>
    </row>
    <row r="44" spans="2:24" ht="13.8" x14ac:dyDescent="0.3">
      <c r="B44" s="17" t="s">
        <v>186</v>
      </c>
      <c r="C44" s="47">
        <v>5178.8934099999997</v>
      </c>
      <c r="F44" s="17" t="s">
        <v>186</v>
      </c>
      <c r="G44" s="47">
        <v>2159</v>
      </c>
      <c r="J44" s="17" t="s">
        <v>186</v>
      </c>
      <c r="K44" s="48">
        <v>77</v>
      </c>
      <c r="N44" s="17" t="s">
        <v>186</v>
      </c>
      <c r="O44" s="47">
        <v>413</v>
      </c>
      <c r="P44" s="47">
        <v>2159</v>
      </c>
      <c r="Q44" s="48">
        <v>2426</v>
      </c>
      <c r="R44" s="48">
        <v>77</v>
      </c>
      <c r="S44" s="47">
        <v>100</v>
      </c>
      <c r="T44" s="124">
        <v>0.39206821746465481</v>
      </c>
      <c r="U44" s="124">
        <v>0.12366836498378886</v>
      </c>
      <c r="V44" s="124">
        <v>0.29870129870129869</v>
      </c>
      <c r="W44" s="124">
        <v>3.5664659564613246E-2</v>
      </c>
      <c r="X44" s="124">
        <v>4.1220115416323165E-2</v>
      </c>
    </row>
    <row r="45" spans="2:24" ht="13.8" x14ac:dyDescent="0.3">
      <c r="B45" s="17" t="s">
        <v>187</v>
      </c>
      <c r="C45" s="47">
        <v>2561.4685642999998</v>
      </c>
      <c r="F45" s="17" t="s">
        <v>187</v>
      </c>
      <c r="G45" s="47">
        <v>241</v>
      </c>
      <c r="J45" s="17" t="s">
        <v>187</v>
      </c>
      <c r="K45" s="48">
        <v>25</v>
      </c>
      <c r="N45" s="17" t="s">
        <v>187</v>
      </c>
      <c r="O45" s="47">
        <v>222</v>
      </c>
      <c r="P45" s="47">
        <v>241</v>
      </c>
      <c r="Q45" s="17"/>
      <c r="R45" s="48">
        <v>25</v>
      </c>
      <c r="S45" s="47"/>
      <c r="T45" s="124">
        <v>1.6559524158066496E-2</v>
      </c>
      <c r="U45" s="124"/>
      <c r="V45" s="17"/>
      <c r="W45" s="124">
        <v>0.1037344398340249</v>
      </c>
      <c r="X45" s="124"/>
    </row>
    <row r="46" spans="2:24" ht="13.8" x14ac:dyDescent="0.3">
      <c r="B46" s="17" t="s">
        <v>188</v>
      </c>
      <c r="C46" s="47">
        <v>2022.5250529</v>
      </c>
      <c r="F46" s="17" t="s">
        <v>188</v>
      </c>
      <c r="G46" s="47">
        <v>1262</v>
      </c>
      <c r="J46" s="17" t="s">
        <v>188</v>
      </c>
      <c r="K46" s="48">
        <v>30</v>
      </c>
      <c r="N46" s="17" t="s">
        <v>188</v>
      </c>
      <c r="O46" s="47">
        <v>1061</v>
      </c>
      <c r="P46" s="47">
        <v>1262</v>
      </c>
      <c r="Q46" s="48">
        <v>1336</v>
      </c>
      <c r="R46" s="48">
        <v>30</v>
      </c>
      <c r="S46" s="47">
        <v>36</v>
      </c>
      <c r="T46" s="124">
        <v>3.5306150846871054E-2</v>
      </c>
      <c r="U46" s="124">
        <v>5.8637083993660966E-2</v>
      </c>
      <c r="V46" s="124">
        <v>0.19999999999999996</v>
      </c>
      <c r="W46" s="124">
        <v>2.3771790808240888E-2</v>
      </c>
      <c r="X46" s="124">
        <v>2.6946107784431138E-2</v>
      </c>
    </row>
    <row r="47" spans="2:24" ht="13.8" x14ac:dyDescent="0.3">
      <c r="B47" s="48" t="s">
        <v>189</v>
      </c>
      <c r="C47" s="47">
        <v>587.17367999999999</v>
      </c>
      <c r="F47" s="48" t="s">
        <v>189</v>
      </c>
      <c r="G47" s="47">
        <v>52</v>
      </c>
      <c r="J47" s="48" t="s">
        <v>189</v>
      </c>
      <c r="K47" s="48">
        <v>6</v>
      </c>
      <c r="N47" s="48" t="s">
        <v>189</v>
      </c>
      <c r="O47" s="47">
        <v>124</v>
      </c>
      <c r="P47" s="47">
        <v>52</v>
      </c>
      <c r="Q47" s="48">
        <v>64</v>
      </c>
      <c r="R47" s="48">
        <v>6</v>
      </c>
      <c r="S47" s="47">
        <v>15</v>
      </c>
      <c r="T47" s="124">
        <v>-0.15954138795044259</v>
      </c>
      <c r="U47" s="124">
        <v>0.23076923076923084</v>
      </c>
      <c r="V47" s="17">
        <v>1.5</v>
      </c>
      <c r="W47" s="124">
        <v>0.11538461538461539</v>
      </c>
      <c r="X47" s="124">
        <v>0.234375</v>
      </c>
    </row>
    <row r="48" spans="2:24" ht="13.8" x14ac:dyDescent="0.3">
      <c r="B48" s="17" t="s">
        <v>190</v>
      </c>
      <c r="C48" s="47">
        <v>561.31014249999998</v>
      </c>
      <c r="F48" s="17" t="s">
        <v>190</v>
      </c>
      <c r="G48" s="47">
        <v>1110</v>
      </c>
      <c r="J48" s="17" t="s">
        <v>190</v>
      </c>
      <c r="K48" s="48">
        <v>-12</v>
      </c>
      <c r="N48" s="17" t="s">
        <v>190</v>
      </c>
      <c r="O48" s="47">
        <v>728</v>
      </c>
      <c r="P48" s="47">
        <v>1110</v>
      </c>
      <c r="Q48" s="48">
        <v>873</v>
      </c>
      <c r="R48" s="48">
        <v>-12</v>
      </c>
      <c r="S48" s="47">
        <v>-23</v>
      </c>
      <c r="T48" s="124">
        <v>8.8023610713733103E-2</v>
      </c>
      <c r="U48" s="124">
        <v>-0.21351351351351355</v>
      </c>
      <c r="V48" s="17">
        <v>0.91700000000000004</v>
      </c>
      <c r="W48" s="124">
        <v>-1.0810810810810811E-2</v>
      </c>
      <c r="X48" s="124">
        <v>-2.6345933562428408E-2</v>
      </c>
    </row>
    <row r="49" spans="2:24" ht="13.8" x14ac:dyDescent="0.3">
      <c r="B49" s="48" t="s">
        <v>191</v>
      </c>
      <c r="C49" s="47">
        <v>326</v>
      </c>
      <c r="F49" s="48" t="s">
        <v>191</v>
      </c>
      <c r="G49" s="47">
        <v>22.72</v>
      </c>
      <c r="J49" s="48" t="s">
        <v>191</v>
      </c>
      <c r="K49" s="48">
        <v>2.15</v>
      </c>
      <c r="N49" s="48" t="s">
        <v>191</v>
      </c>
      <c r="O49" s="47">
        <v>3.02</v>
      </c>
      <c r="P49" s="47">
        <v>22.72</v>
      </c>
      <c r="Q49" s="17"/>
      <c r="R49" s="48">
        <v>2.15</v>
      </c>
      <c r="S49" s="47"/>
      <c r="T49" s="124">
        <v>0.49720158021323391</v>
      </c>
      <c r="U49" s="124"/>
      <c r="V49" s="17"/>
      <c r="W49" s="124">
        <v>9.4630281690140844E-2</v>
      </c>
      <c r="X49" s="124"/>
    </row>
    <row r="50" spans="2:24" ht="13.8" x14ac:dyDescent="0.3">
      <c r="B50" s="17" t="s">
        <v>192</v>
      </c>
      <c r="C50" s="47">
        <v>238.74572839999999</v>
      </c>
      <c r="F50" s="17" t="s">
        <v>192</v>
      </c>
      <c r="G50" s="47">
        <v>291</v>
      </c>
      <c r="J50" s="17" t="s">
        <v>192</v>
      </c>
      <c r="K50" s="48">
        <v>20</v>
      </c>
      <c r="N50" s="17" t="s">
        <v>192</v>
      </c>
      <c r="O50" s="47">
        <v>253</v>
      </c>
      <c r="P50" s="47">
        <v>291</v>
      </c>
      <c r="Q50" s="48">
        <v>294</v>
      </c>
      <c r="R50" s="48">
        <v>20</v>
      </c>
      <c r="S50" s="47">
        <v>17.5</v>
      </c>
      <c r="T50" s="124">
        <v>2.8382064119134132E-2</v>
      </c>
      <c r="U50" s="124">
        <v>1.0309278350515427E-2</v>
      </c>
      <c r="V50" s="124">
        <v>-0.125</v>
      </c>
      <c r="W50" s="124">
        <v>6.8728522336769765E-2</v>
      </c>
      <c r="X50" s="124">
        <v>5.9523809523809521E-2</v>
      </c>
    </row>
    <row r="51" spans="2:24" ht="13.8" x14ac:dyDescent="0.3">
      <c r="B51" s="48" t="s">
        <v>193</v>
      </c>
      <c r="C51" s="47">
        <v>219</v>
      </c>
      <c r="F51" s="48" t="s">
        <v>193</v>
      </c>
      <c r="G51" s="48">
        <v>160</v>
      </c>
      <c r="J51" s="48" t="s">
        <v>193</v>
      </c>
      <c r="K51" s="48">
        <v>6</v>
      </c>
      <c r="N51" s="125" t="s">
        <v>193</v>
      </c>
      <c r="O51" s="125">
        <v>25</v>
      </c>
      <c r="P51" s="125">
        <v>160</v>
      </c>
      <c r="Q51" s="125">
        <v>163</v>
      </c>
      <c r="R51" s="125">
        <v>6</v>
      </c>
      <c r="S51" s="125">
        <v>4</v>
      </c>
      <c r="T51" s="126">
        <v>0.44955932735539106</v>
      </c>
      <c r="U51" s="126">
        <v>1.8750000000000044E-2</v>
      </c>
      <c r="V51" s="127">
        <v>-0.33300000000000002</v>
      </c>
      <c r="W51" s="126">
        <v>3.7499999999999999E-2</v>
      </c>
      <c r="X51" s="126">
        <v>2.4539877300613498E-2</v>
      </c>
    </row>
    <row r="52" spans="2:24" ht="13.8" x14ac:dyDescent="0.3">
      <c r="B52" s="48" t="s">
        <v>194</v>
      </c>
      <c r="C52" s="47">
        <v>98</v>
      </c>
    </row>
    <row r="53" spans="2:24" ht="13.8" x14ac:dyDescent="0.3">
      <c r="B53" s="48" t="s">
        <v>195</v>
      </c>
      <c r="C53" s="47">
        <v>31</v>
      </c>
    </row>
    <row r="54" spans="2:24" ht="13.8" x14ac:dyDescent="0.3">
      <c r="B54" s="125" t="s">
        <v>196</v>
      </c>
      <c r="C54" s="128">
        <v>10</v>
      </c>
    </row>
    <row r="56" spans="2:24" ht="13.8" x14ac:dyDescent="0.3">
      <c r="B56" s="129" t="s">
        <v>152</v>
      </c>
      <c r="C56" s="130">
        <v>139632.22838530003</v>
      </c>
      <c r="F56" s="129" t="s">
        <v>152</v>
      </c>
      <c r="G56" s="112">
        <f>SUM(G41:G54)</f>
        <v>35587.72</v>
      </c>
      <c r="J56" s="129" t="s">
        <v>152</v>
      </c>
      <c r="K56" s="112">
        <f>SUM(K41:K54)</f>
        <v>1597.15</v>
      </c>
      <c r="N56" s="129" t="s">
        <v>152</v>
      </c>
      <c r="O56" s="112">
        <f t="shared" ref="O56:S56" si="22">SUM(O41:O54)</f>
        <v>14749.02</v>
      </c>
      <c r="P56" s="112">
        <f t="shared" si="22"/>
        <v>35587.72</v>
      </c>
      <c r="Q56" s="112">
        <f t="shared" si="22"/>
        <v>40393</v>
      </c>
      <c r="R56" s="112">
        <f t="shared" si="22"/>
        <v>1597.15</v>
      </c>
      <c r="S56" s="112">
        <f t="shared" si="22"/>
        <v>1805.5</v>
      </c>
      <c r="T56" s="131">
        <f>(P56/O56)^(1/5)-1</f>
        <v>0.19263458735556038</v>
      </c>
      <c r="U56" s="131">
        <f>(Q56/P56)-1</f>
        <v>0.13502635178651512</v>
      </c>
      <c r="V56" s="131">
        <f>(S56/R56)-1</f>
        <v>0.13045111605046489</v>
      </c>
      <c r="W56" s="131">
        <f t="shared" ref="W56:X56" si="23">R56/P56</f>
        <v>4.4879244863115703E-2</v>
      </c>
      <c r="X56" s="131">
        <f t="shared" si="23"/>
        <v>4.4698338821082859E-2</v>
      </c>
    </row>
    <row r="57" spans="2:24" ht="13.8" x14ac:dyDescent="0.3">
      <c r="P57" s="124">
        <f>(P56/O56)^(1/5)-1</f>
        <v>0.19263458735556038</v>
      </c>
      <c r="Q57" s="124">
        <f>(Q56/P56)-1</f>
        <v>0.13502635178651512</v>
      </c>
      <c r="R57" s="124">
        <f t="shared" ref="R57:S57" si="24">R56/P56</f>
        <v>4.4879244863115703E-2</v>
      </c>
      <c r="S57" s="124">
        <f t="shared" si="24"/>
        <v>4.4698338821082859E-2</v>
      </c>
    </row>
    <row r="59" spans="2:24" ht="13.8" x14ac:dyDescent="0.3">
      <c r="E59" s="47"/>
      <c r="F59" s="47"/>
      <c r="G59" s="47"/>
    </row>
    <row r="60" spans="2:24" ht="13.8" x14ac:dyDescent="0.3">
      <c r="G60" s="48"/>
      <c r="H60" s="48"/>
      <c r="M60" s="48"/>
      <c r="N60" s="48"/>
    </row>
    <row r="61" spans="2:24" ht="13.8" x14ac:dyDescent="0.3">
      <c r="G61" s="48"/>
      <c r="H61" s="48"/>
      <c r="M61" s="48"/>
      <c r="N61" s="48"/>
    </row>
    <row r="65" spans="2:11" ht="13.8" x14ac:dyDescent="0.3">
      <c r="C65" s="110"/>
      <c r="D65" s="132"/>
      <c r="E65" s="110"/>
      <c r="F65" s="110"/>
    </row>
    <row r="66" spans="2:11" ht="13.8" x14ac:dyDescent="0.3">
      <c r="C66" s="110"/>
      <c r="D66" s="132"/>
      <c r="E66" s="110"/>
      <c r="F66" s="110"/>
      <c r="G66" s="110"/>
    </row>
    <row r="67" spans="2:11" ht="13.8" x14ac:dyDescent="0.3">
      <c r="D67" s="132"/>
      <c r="E67" s="110"/>
      <c r="F67" s="110"/>
    </row>
    <row r="68" spans="2:11" ht="13.8" x14ac:dyDescent="0.3">
      <c r="D68" s="132"/>
      <c r="E68" s="110"/>
      <c r="F68" s="110"/>
    </row>
    <row r="69" spans="2:11" ht="16.2" x14ac:dyDescent="0.45">
      <c r="B69" s="73" t="s">
        <v>27</v>
      </c>
      <c r="D69" s="132"/>
      <c r="E69" s="110"/>
      <c r="F69" s="110"/>
    </row>
    <row r="70" spans="2:11" ht="16.2" x14ac:dyDescent="0.45">
      <c r="B70" s="73" t="s">
        <v>217</v>
      </c>
      <c r="D70" s="132"/>
      <c r="F70" s="73" t="s">
        <v>218</v>
      </c>
      <c r="J70" s="73" t="s">
        <v>219</v>
      </c>
    </row>
    <row r="71" spans="2:11" ht="16.2" x14ac:dyDescent="0.45">
      <c r="B71" s="133"/>
      <c r="D71" s="132"/>
    </row>
    <row r="72" spans="2:11" ht="16.2" x14ac:dyDescent="0.45">
      <c r="B72" s="74" t="s">
        <v>167</v>
      </c>
      <c r="C72" s="74" t="s">
        <v>220</v>
      </c>
      <c r="D72" s="132"/>
      <c r="F72" s="80" t="s">
        <v>167</v>
      </c>
      <c r="G72" s="134" t="s">
        <v>163</v>
      </c>
      <c r="J72" s="80" t="s">
        <v>167</v>
      </c>
      <c r="K72" s="134" t="s">
        <v>164</v>
      </c>
    </row>
    <row r="73" spans="2:11" ht="13.8" x14ac:dyDescent="0.3">
      <c r="B73" s="17" t="s">
        <v>24</v>
      </c>
      <c r="C73" s="124">
        <v>6.3390692448702032E-2</v>
      </c>
      <c r="D73" s="132"/>
      <c r="F73" s="17" t="s">
        <v>24</v>
      </c>
      <c r="G73" s="135">
        <v>1.9766755240625922</v>
      </c>
      <c r="J73" s="17" t="s">
        <v>24</v>
      </c>
      <c r="K73" s="47">
        <v>11.676719295133344</v>
      </c>
    </row>
    <row r="74" spans="2:11" ht="13.8" x14ac:dyDescent="0.3">
      <c r="B74" s="17" t="s">
        <v>184</v>
      </c>
      <c r="C74" s="124">
        <v>2.0915354330708662E-2</v>
      </c>
      <c r="D74" s="132"/>
      <c r="F74" s="17" t="s">
        <v>184</v>
      </c>
      <c r="G74" s="135">
        <v>1.01187485727335</v>
      </c>
      <c r="J74" s="17" t="s">
        <v>184</v>
      </c>
      <c r="K74" s="47">
        <v>63.108595800524931</v>
      </c>
    </row>
    <row r="75" spans="2:11" ht="13.8" x14ac:dyDescent="0.3">
      <c r="B75" s="17" t="s">
        <v>185</v>
      </c>
      <c r="C75" s="124">
        <v>9.7725358045492844E-2</v>
      </c>
      <c r="D75" s="132"/>
      <c r="F75" s="17" t="s">
        <v>185</v>
      </c>
      <c r="G75" s="135">
        <v>1.3822314049586777</v>
      </c>
      <c r="J75" s="17" t="s">
        <v>185</v>
      </c>
      <c r="K75" s="47">
        <v>16.604886267902277</v>
      </c>
    </row>
    <row r="76" spans="2:11" ht="13.8" x14ac:dyDescent="0.3">
      <c r="B76" s="17" t="s">
        <v>186</v>
      </c>
      <c r="C76" s="124">
        <v>3.5664659564613246E-2</v>
      </c>
      <c r="D76" s="132"/>
      <c r="F76" s="17" t="s">
        <v>186</v>
      </c>
      <c r="G76" s="135">
        <v>2.293975903614458</v>
      </c>
      <c r="J76" s="17" t="s">
        <v>186</v>
      </c>
      <c r="K76" s="47">
        <v>32.121352477999075</v>
      </c>
    </row>
    <row r="77" spans="2:11" ht="13.8" x14ac:dyDescent="0.3">
      <c r="B77" s="17" t="s">
        <v>187</v>
      </c>
      <c r="C77" s="124">
        <v>0.1037344398340249</v>
      </c>
      <c r="D77" s="132"/>
      <c r="F77" s="17" t="s">
        <v>187</v>
      </c>
      <c r="G77" s="135">
        <v>5.7159090909090908</v>
      </c>
      <c r="J77" s="17" t="s">
        <v>187</v>
      </c>
      <c r="K77" s="47">
        <v>140.85062240663902</v>
      </c>
    </row>
    <row r="78" spans="2:11" ht="13.8" x14ac:dyDescent="0.3">
      <c r="B78" s="17" t="s">
        <v>188</v>
      </c>
      <c r="C78" s="124">
        <v>2.3771790808240888E-2</v>
      </c>
      <c r="D78" s="132"/>
      <c r="F78" s="17" t="s">
        <v>188</v>
      </c>
      <c r="G78" s="135">
        <v>1.4793577981651376</v>
      </c>
      <c r="J78" s="17" t="s">
        <v>188</v>
      </c>
      <c r="K78" s="47">
        <v>183.94611727416799</v>
      </c>
    </row>
    <row r="79" spans="2:11" ht="13.8" x14ac:dyDescent="0.3">
      <c r="B79" s="48" t="s">
        <v>189</v>
      </c>
      <c r="C79" s="124">
        <v>0.11538461538461539</v>
      </c>
      <c r="D79" s="132"/>
      <c r="J79" s="48" t="s">
        <v>189</v>
      </c>
      <c r="K79" s="47">
        <v>126.34615384615384</v>
      </c>
    </row>
    <row r="80" spans="2:11" ht="13.8" x14ac:dyDescent="0.3">
      <c r="B80" s="17" t="s">
        <v>190</v>
      </c>
      <c r="C80" s="124">
        <v>-1.0810810810810811E-2</v>
      </c>
      <c r="D80" s="132"/>
      <c r="J80" s="17" t="s">
        <v>190</v>
      </c>
      <c r="K80" s="47">
        <v>53.927927927927925</v>
      </c>
    </row>
    <row r="81" spans="2:13" ht="13.8" x14ac:dyDescent="0.3">
      <c r="B81" s="48" t="s">
        <v>191</v>
      </c>
      <c r="C81" s="124">
        <v>9.4630281690140844E-2</v>
      </c>
      <c r="D81" s="132"/>
      <c r="J81" s="48" t="s">
        <v>191</v>
      </c>
      <c r="K81" s="47">
        <v>126.11135563380282</v>
      </c>
    </row>
    <row r="82" spans="2:13" ht="13.8" x14ac:dyDescent="0.3">
      <c r="B82" s="17" t="s">
        <v>192</v>
      </c>
      <c r="C82" s="124">
        <v>6.8728522336769765E-2</v>
      </c>
      <c r="D82" s="132"/>
      <c r="J82" s="17" t="s">
        <v>192</v>
      </c>
      <c r="K82" s="47">
        <v>141.73539518900344</v>
      </c>
    </row>
    <row r="83" spans="2:13" ht="13.8" x14ac:dyDescent="0.3">
      <c r="B83" s="48" t="s">
        <v>193</v>
      </c>
      <c r="C83" s="124">
        <v>3.7499999999999999E-2</v>
      </c>
      <c r="D83" s="132"/>
      <c r="J83" s="48" t="s">
        <v>193</v>
      </c>
      <c r="K83" s="47">
        <v>545.21875</v>
      </c>
    </row>
    <row r="84" spans="2:13" ht="13.8" x14ac:dyDescent="0.3">
      <c r="D84" s="132"/>
    </row>
    <row r="85" spans="2:13" ht="13.8" x14ac:dyDescent="0.3">
      <c r="B85" s="129" t="s">
        <v>152</v>
      </c>
      <c r="C85" s="136">
        <v>4.4879244863115703E-2</v>
      </c>
      <c r="D85" s="132"/>
      <c r="F85" s="129" t="s">
        <v>152</v>
      </c>
      <c r="G85" s="129">
        <v>1.5</v>
      </c>
      <c r="J85" s="129" t="s">
        <v>152</v>
      </c>
      <c r="K85" s="129">
        <v>43</v>
      </c>
    </row>
    <row r="86" spans="2:13" ht="13.8" x14ac:dyDescent="0.3">
      <c r="D86" s="132"/>
      <c r="G86" s="110"/>
    </row>
    <row r="90" spans="2:13" ht="13.8" x14ac:dyDescent="0.3">
      <c r="G90" s="48"/>
      <c r="M90" s="48"/>
    </row>
    <row r="91" spans="2:13" ht="13.8" x14ac:dyDescent="0.3">
      <c r="G91" s="48"/>
      <c r="M91" s="48"/>
    </row>
    <row r="101" spans="2:13" ht="16.2" x14ac:dyDescent="0.45">
      <c r="B101" s="73" t="s">
        <v>28</v>
      </c>
    </row>
    <row r="102" spans="2:13" ht="16.2" x14ac:dyDescent="0.45">
      <c r="B102" s="73" t="s">
        <v>221</v>
      </c>
      <c r="F102" s="73" t="s">
        <v>37</v>
      </c>
      <c r="J102" s="73" t="s">
        <v>36</v>
      </c>
    </row>
    <row r="103" spans="2:13" ht="16.2" x14ac:dyDescent="0.45">
      <c r="B103" s="133"/>
    </row>
    <row r="104" spans="2:13" ht="16.2" x14ac:dyDescent="0.45">
      <c r="B104" s="74" t="s">
        <v>167</v>
      </c>
      <c r="C104" s="74" t="s">
        <v>35</v>
      </c>
      <c r="F104" s="73" t="s">
        <v>167</v>
      </c>
      <c r="G104" s="73" t="s">
        <v>37</v>
      </c>
      <c r="J104" s="73" t="s">
        <v>167</v>
      </c>
      <c r="K104" s="73" t="s">
        <v>36</v>
      </c>
    </row>
    <row r="105" spans="2:13" ht="13.8" x14ac:dyDescent="0.3">
      <c r="B105" s="17" t="s">
        <v>24</v>
      </c>
      <c r="C105" s="110">
        <v>0</v>
      </c>
      <c r="F105" s="17" t="s">
        <v>24</v>
      </c>
      <c r="G105" s="47">
        <v>30.472727272727273</v>
      </c>
      <c r="J105" s="17" t="s">
        <v>24</v>
      </c>
      <c r="K105" s="135">
        <v>0.37384280268651299</v>
      </c>
    </row>
    <row r="106" spans="2:13" ht="13.8" x14ac:dyDescent="0.3">
      <c r="B106" s="17" t="s">
        <v>184</v>
      </c>
      <c r="C106" s="110">
        <v>0.16734417344173441</v>
      </c>
      <c r="F106" s="17" t="s">
        <v>184</v>
      </c>
      <c r="G106" s="47">
        <v>9.109375</v>
      </c>
      <c r="J106" s="17" t="s">
        <v>184</v>
      </c>
      <c r="K106" s="135">
        <v>0.76788803270954553</v>
      </c>
    </row>
    <row r="107" spans="2:13" ht="13.8" x14ac:dyDescent="0.3">
      <c r="B107" s="17" t="s">
        <v>185</v>
      </c>
      <c r="C107" s="110">
        <v>0.23494860499265785</v>
      </c>
      <c r="F107" s="17" t="s">
        <v>185</v>
      </c>
      <c r="G107" s="47">
        <v>12.583333333333334</v>
      </c>
      <c r="J107" s="17" t="s">
        <v>185</v>
      </c>
      <c r="K107" s="135">
        <v>0.46080760095011875</v>
      </c>
    </row>
    <row r="108" spans="2:13" ht="16.2" x14ac:dyDescent="0.45">
      <c r="B108" s="17" t="s">
        <v>186</v>
      </c>
      <c r="C108" s="110">
        <v>0.2857142857142857</v>
      </c>
      <c r="F108" s="17" t="s">
        <v>186</v>
      </c>
      <c r="G108" s="47">
        <v>4.666666666666667</v>
      </c>
      <c r="J108" s="17" t="s">
        <v>186</v>
      </c>
      <c r="K108" s="135">
        <v>0.42418661755678333</v>
      </c>
      <c r="M108" s="133" t="s">
        <v>24</v>
      </c>
    </row>
    <row r="109" spans="2:13" ht="13.8" x14ac:dyDescent="0.3">
      <c r="B109" s="17" t="s">
        <v>187</v>
      </c>
      <c r="C109" s="110">
        <v>8.9694656488549615E-2</v>
      </c>
      <c r="F109" s="17" t="s">
        <v>187</v>
      </c>
      <c r="G109" s="47">
        <v>9.6666666666666661</v>
      </c>
      <c r="J109" s="17" t="s">
        <v>187</v>
      </c>
      <c r="K109" s="135">
        <v>0.18124999999999999</v>
      </c>
    </row>
    <row r="110" spans="2:13" ht="13.8" x14ac:dyDescent="0.3">
      <c r="B110" s="17" t="s">
        <v>188</v>
      </c>
      <c r="C110" s="110">
        <v>0.77613776137761381</v>
      </c>
      <c r="F110" s="17" t="s">
        <v>188</v>
      </c>
      <c r="G110" s="47">
        <v>1</v>
      </c>
      <c r="J110" s="17" t="s">
        <v>188</v>
      </c>
      <c r="K110" s="135">
        <v>0.54555617663499156</v>
      </c>
    </row>
    <row r="111" spans="2:13" ht="13.8" x14ac:dyDescent="0.3">
      <c r="B111" s="48" t="s">
        <v>189</v>
      </c>
      <c r="C111" s="110">
        <v>4.0201005025125629E-2</v>
      </c>
      <c r="F111" s="48" t="s">
        <v>189</v>
      </c>
      <c r="G111" s="47">
        <v>7</v>
      </c>
      <c r="J111" s="48" t="s">
        <v>189</v>
      </c>
      <c r="K111" s="135">
        <v>0.44144144144144143</v>
      </c>
    </row>
    <row r="112" spans="2:13" ht="13.8" x14ac:dyDescent="0.3">
      <c r="B112" s="17" t="s">
        <v>190</v>
      </c>
      <c r="C112" s="110">
        <v>0.6387096774193548</v>
      </c>
      <c r="F112" s="17" t="s">
        <v>190</v>
      </c>
      <c r="G112" s="47">
        <v>1.4545454545454546</v>
      </c>
      <c r="J112" s="17" t="s">
        <v>190</v>
      </c>
      <c r="K112" s="135">
        <v>0.72143974960876367</v>
      </c>
    </row>
    <row r="113" spans="2:11" ht="13.8" x14ac:dyDescent="0.3">
      <c r="B113" s="48" t="s">
        <v>191</v>
      </c>
      <c r="C113" s="110">
        <v>0.26765188834154352</v>
      </c>
      <c r="F113" s="48" t="s">
        <v>191</v>
      </c>
      <c r="G113" s="47">
        <v>12.86</v>
      </c>
      <c r="J113" s="48" t="s">
        <v>191</v>
      </c>
      <c r="K113" s="135">
        <v>0.35294117647058826</v>
      </c>
    </row>
    <row r="114" spans="2:11" ht="13.8" x14ac:dyDescent="0.3">
      <c r="B114" s="17" t="s">
        <v>192</v>
      </c>
      <c r="C114" s="110">
        <v>0.21333333333333335</v>
      </c>
      <c r="F114" s="17" t="s">
        <v>192</v>
      </c>
      <c r="G114" s="47">
        <v>6.4</v>
      </c>
      <c r="J114" s="17" t="s">
        <v>192</v>
      </c>
      <c r="K114" s="135">
        <v>0.28235294117647058</v>
      </c>
    </row>
    <row r="115" spans="2:11" ht="13.8" x14ac:dyDescent="0.3">
      <c r="B115" s="48" t="s">
        <v>193</v>
      </c>
      <c r="C115" s="110">
        <v>0.55737704918032782</v>
      </c>
      <c r="F115" s="48" t="s">
        <v>193</v>
      </c>
      <c r="G115" s="47">
        <v>3</v>
      </c>
      <c r="J115" s="48" t="s">
        <v>193</v>
      </c>
      <c r="K115" s="135">
        <v>0.46762589928057552</v>
      </c>
    </row>
    <row r="117" spans="2:11" ht="13.8" x14ac:dyDescent="0.3">
      <c r="B117" s="129" t="s">
        <v>152</v>
      </c>
      <c r="C117" s="129">
        <v>0.13</v>
      </c>
      <c r="F117" s="129" t="s">
        <v>152</v>
      </c>
      <c r="G117" s="129">
        <v>10</v>
      </c>
      <c r="J117" s="129" t="s">
        <v>152</v>
      </c>
      <c r="K117" s="129">
        <v>0.5</v>
      </c>
    </row>
    <row r="134" spans="2:13" ht="16.2" x14ac:dyDescent="0.45">
      <c r="B134" s="73" t="s">
        <v>29</v>
      </c>
      <c r="G134" s="73" t="s">
        <v>30</v>
      </c>
    </row>
    <row r="135" spans="2:13" ht="16.2" x14ac:dyDescent="0.45">
      <c r="B135" s="73" t="s">
        <v>38</v>
      </c>
      <c r="C135" s="73" t="s">
        <v>40</v>
      </c>
      <c r="G135" s="73" t="s">
        <v>222</v>
      </c>
      <c r="H135" s="73" t="s">
        <v>42</v>
      </c>
      <c r="I135" s="73" t="s">
        <v>44</v>
      </c>
    </row>
    <row r="136" spans="2:13" ht="16.2" x14ac:dyDescent="0.45">
      <c r="B136" s="133"/>
    </row>
    <row r="137" spans="2:13" ht="16.2" x14ac:dyDescent="0.45">
      <c r="B137" s="73" t="s">
        <v>167</v>
      </c>
      <c r="C137" s="73" t="s">
        <v>38</v>
      </c>
      <c r="D137" s="73" t="s">
        <v>40</v>
      </c>
      <c r="G137" s="73" t="s">
        <v>167</v>
      </c>
      <c r="H137" s="73" t="s">
        <v>165</v>
      </c>
      <c r="I137" s="73" t="s">
        <v>42</v>
      </c>
      <c r="J137" s="73" t="s">
        <v>44</v>
      </c>
      <c r="K137" s="48"/>
      <c r="L137" s="48"/>
    </row>
    <row r="138" spans="2:13" ht="13.8" x14ac:dyDescent="0.3">
      <c r="B138" s="17" t="s">
        <v>24</v>
      </c>
      <c r="C138" s="124">
        <v>0.15397874174087905</v>
      </c>
      <c r="D138" s="137">
        <v>9.7295334906516609E-2</v>
      </c>
      <c r="G138" s="17" t="s">
        <v>24</v>
      </c>
      <c r="H138" s="138">
        <v>71.155885471898202</v>
      </c>
      <c r="I138" s="124">
        <v>1.4053651266766021E-2</v>
      </c>
      <c r="J138" s="47">
        <v>12.254819539063632</v>
      </c>
      <c r="K138" s="17"/>
      <c r="L138" s="124"/>
      <c r="M138" s="48"/>
    </row>
    <row r="139" spans="2:13" ht="13.8" x14ac:dyDescent="0.3">
      <c r="B139" s="17" t="s">
        <v>184</v>
      </c>
      <c r="C139" s="124">
        <v>0.1714862138533961</v>
      </c>
      <c r="D139" s="137">
        <v>4.0100644755464696E-2</v>
      </c>
      <c r="G139" s="17" t="s">
        <v>184</v>
      </c>
      <c r="H139" s="138">
        <v>170.56727870649493</v>
      </c>
      <c r="I139" s="124">
        <v>5.862789203084833E-3</v>
      </c>
      <c r="J139" s="47">
        <v>23.192411924119241</v>
      </c>
    </row>
    <row r="140" spans="2:13" ht="13.8" x14ac:dyDescent="0.3">
      <c r="B140" s="17" t="s">
        <v>185</v>
      </c>
      <c r="C140" s="124">
        <v>0.1669064748201439</v>
      </c>
      <c r="D140" s="137">
        <v>9.1844813935075223E-2</v>
      </c>
      <c r="G140" s="17" t="s">
        <v>185</v>
      </c>
      <c r="H140" s="138">
        <v>40.761058109280143</v>
      </c>
      <c r="I140" s="124">
        <v>2.453321985211979E-2</v>
      </c>
      <c r="J140" s="47">
        <v>9.6617474302496333</v>
      </c>
      <c r="K140" s="17"/>
      <c r="L140" s="124"/>
    </row>
    <row r="141" spans="2:13" ht="13.8" x14ac:dyDescent="0.3">
      <c r="B141" s="17" t="s">
        <v>186</v>
      </c>
      <c r="C141" s="124">
        <v>7.9875518672199164E-2</v>
      </c>
      <c r="D141" s="137">
        <v>4.7268262737875995E-2</v>
      </c>
      <c r="G141" s="17" t="s">
        <v>186</v>
      </c>
      <c r="H141" s="138">
        <v>103.00207039337474</v>
      </c>
      <c r="I141" s="124">
        <v>9.7085427135678391E-3</v>
      </c>
      <c r="J141" s="47">
        <v>5.5159914712153517</v>
      </c>
      <c r="K141" s="17"/>
    </row>
    <row r="142" spans="2:13" ht="13.8" x14ac:dyDescent="0.3">
      <c r="B142" s="17" t="s">
        <v>187</v>
      </c>
      <c r="C142" s="124">
        <v>8.3194675540765387E-2</v>
      </c>
      <c r="D142" s="137">
        <v>7.8125E-2</v>
      </c>
      <c r="G142" s="17" t="s">
        <v>187</v>
      </c>
      <c r="H142" s="138">
        <v>105.22222222222223</v>
      </c>
      <c r="I142" s="124">
        <v>9.5036958817317843E-3</v>
      </c>
      <c r="J142" s="47">
        <v>4.8705438931297715</v>
      </c>
    </row>
    <row r="143" spans="2:13" ht="13.8" x14ac:dyDescent="0.3">
      <c r="B143" s="17" t="s">
        <v>188</v>
      </c>
      <c r="C143" s="124">
        <v>3.4207525655644243E-2</v>
      </c>
      <c r="D143" s="137">
        <v>1.6769144773616546E-2</v>
      </c>
      <c r="G143" s="17" t="s">
        <v>188</v>
      </c>
      <c r="H143" s="138">
        <v>61.774509803921575</v>
      </c>
      <c r="I143" s="124">
        <v>1.6187906681479129E-2</v>
      </c>
      <c r="J143" s="47">
        <v>2.4800984009840099</v>
      </c>
    </row>
    <row r="144" spans="2:13" ht="13.8" x14ac:dyDescent="0.3">
      <c r="B144" s="48" t="s">
        <v>189</v>
      </c>
      <c r="C144" s="124">
        <v>2.4193548387096774E-2</v>
      </c>
      <c r="D144" s="137">
        <v>1.3513513513513514E-2</v>
      </c>
      <c r="G144" s="48" t="s">
        <v>189</v>
      </c>
      <c r="H144" s="138">
        <v>40.404040404040401</v>
      </c>
      <c r="I144" s="124">
        <v>2.4750000000000001E-2</v>
      </c>
      <c r="J144" s="47">
        <v>2.954773869346734</v>
      </c>
    </row>
    <row r="145" spans="2:10" ht="13.8" x14ac:dyDescent="0.3">
      <c r="B145" s="17" t="s">
        <v>190</v>
      </c>
      <c r="C145" s="124">
        <v>-6.741573033707865E-2</v>
      </c>
      <c r="D145" s="137">
        <v>-1.8779342723004695E-2</v>
      </c>
      <c r="G145" s="17" t="s">
        <v>190</v>
      </c>
      <c r="H145" s="138">
        <v>-24.141414141414142</v>
      </c>
      <c r="I145" s="124">
        <v>-4.142259414225942E-2</v>
      </c>
      <c r="J145" s="47">
        <v>3.5464516129032257</v>
      </c>
    </row>
    <row r="146" spans="2:10" ht="13.8" x14ac:dyDescent="0.3">
      <c r="B146" s="48" t="s">
        <v>191</v>
      </c>
      <c r="C146" s="124">
        <v>9.83081847279378E-2</v>
      </c>
      <c r="D146" s="137">
        <v>6.3235294117647056E-2</v>
      </c>
      <c r="G146" s="48" t="s">
        <v>191</v>
      </c>
      <c r="H146" s="138">
        <v>-184.08163265306121</v>
      </c>
      <c r="I146" s="124">
        <v>-5.4323725055432379E-3</v>
      </c>
      <c r="J146" s="47">
        <v>17.773399014778324</v>
      </c>
    </row>
    <row r="147" spans="2:10" ht="13.8" x14ac:dyDescent="0.3">
      <c r="B147" s="17" t="s">
        <v>192</v>
      </c>
      <c r="C147" s="124">
        <v>8.1967213114754092E-2</v>
      </c>
      <c r="D147" s="137">
        <v>5.8823529411764705E-2</v>
      </c>
      <c r="G147" s="17" t="s">
        <v>192</v>
      </c>
      <c r="H147" s="138">
        <v>13.444564047362757</v>
      </c>
      <c r="I147" s="124">
        <v>7.4379503602882299E-2</v>
      </c>
      <c r="J147" s="47">
        <v>1.0547111111111112</v>
      </c>
    </row>
    <row r="148" spans="2:10" ht="13.8" x14ac:dyDescent="0.3">
      <c r="B148" s="125" t="s">
        <v>193</v>
      </c>
      <c r="C148" s="126">
        <v>8.1081081081081086E-2</v>
      </c>
      <c r="D148" s="127">
        <v>4.3165467625899283E-2</v>
      </c>
      <c r="G148" s="48" t="s">
        <v>193</v>
      </c>
      <c r="H148" s="138">
        <v>56.562500000000007</v>
      </c>
      <c r="I148" s="124">
        <v>1.7679558011049722E-2</v>
      </c>
      <c r="J148" s="47">
        <v>3.4716393442622953</v>
      </c>
    </row>
    <row r="150" spans="2:10" ht="13.8" x14ac:dyDescent="0.3">
      <c r="B150" s="129" t="s">
        <v>152</v>
      </c>
      <c r="C150" s="136">
        <v>0.13</v>
      </c>
      <c r="D150" s="136">
        <v>7.0000000000000007E-2</v>
      </c>
      <c r="G150" s="129" t="s">
        <v>152</v>
      </c>
      <c r="H150" s="139">
        <v>110</v>
      </c>
      <c r="I150" s="140">
        <v>8.9999999999999993E-3</v>
      </c>
      <c r="J150" s="139">
        <v>10</v>
      </c>
    </row>
    <row r="167" spans="2:17" ht="16.2" x14ac:dyDescent="0.45">
      <c r="B167" s="70" t="s">
        <v>223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2"/>
    </row>
    <row r="169" spans="2:17" ht="13.8" x14ac:dyDescent="0.3">
      <c r="B169" s="141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3"/>
    </row>
    <row r="170" spans="2:17" ht="13.8" x14ac:dyDescent="0.3"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6"/>
    </row>
    <row r="171" spans="2:17" ht="13.8" x14ac:dyDescent="0.3">
      <c r="Q171" s="17"/>
    </row>
    <row r="173" spans="2:17" ht="13.8" x14ac:dyDescent="0.3">
      <c r="B173" s="48"/>
      <c r="C173" s="48"/>
      <c r="D173" s="48"/>
    </row>
    <row r="174" spans="2:17" ht="13.8" x14ac:dyDescent="0.3">
      <c r="B174" s="48"/>
      <c r="C174" s="48"/>
    </row>
    <row r="175" spans="2:17" ht="13.8" x14ac:dyDescent="0.3">
      <c r="B175" s="48"/>
      <c r="C175" s="48"/>
      <c r="D175" s="17"/>
    </row>
  </sheetData>
  <autoFilter ref="B8:AB22" xr:uid="{00000000-0009-0000-0000-000000000000}">
    <sortState xmlns:xlrd2="http://schemas.microsoft.com/office/spreadsheetml/2017/richdata2" ref="B8:AB22">
      <sortCondition descending="1" ref="E8:E22"/>
    </sortState>
  </autoFilter>
  <mergeCells count="3">
    <mergeCell ref="B2:P2"/>
    <mergeCell ref="B167:P167"/>
    <mergeCell ref="B169:P170"/>
  </mergeCells>
  <conditionalFormatting sqref="C41:C54">
    <cfRule type="colorScale" priority="1">
      <colorScale>
        <cfvo type="min"/>
        <cfvo type="max"/>
        <color rgb="FFFFFFFF"/>
        <color rgb="FF57BB8A"/>
      </colorScale>
    </cfRule>
  </conditionalFormatting>
  <conditionalFormatting sqref="C73:C84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5:C115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38:C148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38:D148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41:G51">
    <cfRule type="colorScale" priority="2">
      <colorScale>
        <cfvo type="min"/>
        <cfvo type="max"/>
        <color rgb="FFFFFFFF"/>
        <color rgb="FF57BB8A"/>
      </colorScale>
    </cfRule>
  </conditionalFormatting>
  <conditionalFormatting sqref="G73:G78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05:G115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38:H148">
    <cfRule type="colorScale" priority="1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138:I148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38:J148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41:K51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73:K83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05:K115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27:M35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27:N35">
    <cfRule type="colorScale" priority="22">
      <colorScale>
        <cfvo type="min"/>
        <cfvo type="max"/>
        <color rgb="FFFFFFFF"/>
        <color rgb="FF57BB8A"/>
      </colorScale>
    </cfRule>
  </conditionalFormatting>
  <conditionalFormatting sqref="O27:O35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41:Q51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41:S51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41:T51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41:U51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41:V51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W41:X51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Havells</vt:lpstr>
      <vt:lpstr>Consumer Electronics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2024-11-05T11:34:52Z</dcterms:created>
  <dcterms:modified xsi:type="dcterms:W3CDTF">2024-11-05T11:35:30Z</dcterms:modified>
</cp:coreProperties>
</file>