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697166CC-F1A4-437A-A2D4-A4A0BF6D103D}" xr6:coauthVersionLast="47" xr6:coauthVersionMax="47" xr10:uidLastSave="{00000000-0000-0000-0000-000000000000}"/>
  <bookViews>
    <workbookView xWindow="-108" yWindow="-108" windowWidth="23256" windowHeight="12456" xr2:uid="{213B080D-A37E-4095-B876-38D088FFF147}"/>
  </bookViews>
  <sheets>
    <sheet name=" Dmartintrins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T46" i="1"/>
  <c r="S46" i="1"/>
  <c r="R46" i="1"/>
  <c r="U46" i="1" s="1"/>
  <c r="U44" i="1"/>
  <c r="I44" i="1"/>
  <c r="U43" i="1"/>
  <c r="U42" i="1"/>
  <c r="T42" i="1"/>
  <c r="K42" i="1"/>
  <c r="K44" i="1" s="1"/>
  <c r="L42" i="1" s="1"/>
  <c r="Q9" i="1" s="1"/>
  <c r="U41" i="1"/>
  <c r="U40" i="1"/>
  <c r="T40" i="1"/>
  <c r="U39" i="1"/>
  <c r="T39" i="1"/>
  <c r="N39" i="1"/>
  <c r="D39" i="1"/>
  <c r="D40" i="1" s="1"/>
  <c r="F38" i="1"/>
  <c r="G38" i="1" s="1"/>
  <c r="D38" i="1"/>
  <c r="E38" i="1" s="1"/>
  <c r="E35" i="1" s="1"/>
  <c r="B38" i="1"/>
  <c r="B39" i="1" s="1"/>
  <c r="B40" i="1" s="1"/>
  <c r="Y36" i="1"/>
  <c r="T36" i="1"/>
  <c r="AE35" i="1"/>
  <c r="X35" i="1"/>
  <c r="W35" i="1"/>
  <c r="Y35" i="1" s="1"/>
  <c r="S35" i="1"/>
  <c r="T35" i="1" s="1"/>
  <c r="R35" i="1"/>
  <c r="AD34" i="1"/>
  <c r="AC34" i="1"/>
  <c r="AE34" i="1" s="1"/>
  <c r="X34" i="1"/>
  <c r="W34" i="1"/>
  <c r="Y34" i="1" s="1"/>
  <c r="S34" i="1"/>
  <c r="R34" i="1"/>
  <c r="T34" i="1" s="1"/>
  <c r="AE33" i="1"/>
  <c r="AD33" i="1"/>
  <c r="AC33" i="1"/>
  <c r="Y33" i="1"/>
  <c r="T33" i="1"/>
  <c r="AE32" i="1"/>
  <c r="Y32" i="1"/>
  <c r="T32" i="1"/>
  <c r="AE31" i="1"/>
  <c r="Y31" i="1"/>
  <c r="T31" i="1"/>
  <c r="L31" i="1"/>
  <c r="K31" i="1"/>
  <c r="J31" i="1"/>
  <c r="H31" i="1"/>
  <c r="G31" i="1"/>
  <c r="F31" i="1"/>
  <c r="E31" i="1"/>
  <c r="D31" i="1"/>
  <c r="B31" i="1"/>
  <c r="AE30" i="1"/>
  <c r="Y30" i="1"/>
  <c r="T30" i="1"/>
  <c r="K30" i="1"/>
  <c r="J30" i="1"/>
  <c r="H30" i="1"/>
  <c r="G30" i="1"/>
  <c r="F30" i="1"/>
  <c r="E30" i="1"/>
  <c r="D30" i="1"/>
  <c r="B30" i="1"/>
  <c r="AE29" i="1"/>
  <c r="Y29" i="1"/>
  <c r="T29" i="1"/>
  <c r="H29" i="1"/>
  <c r="G29" i="1"/>
  <c r="F29" i="1"/>
  <c r="E29" i="1"/>
  <c r="D29" i="1"/>
  <c r="B29" i="1"/>
  <c r="AE28" i="1"/>
  <c r="Y28" i="1"/>
  <c r="T28" i="1"/>
  <c r="M26" i="1"/>
  <c r="L26" i="1"/>
  <c r="N26" i="1" s="1"/>
  <c r="I26" i="1"/>
  <c r="F26" i="1"/>
  <c r="E26" i="1"/>
  <c r="D26" i="1"/>
  <c r="M25" i="1"/>
  <c r="N25" i="1" s="1"/>
  <c r="L25" i="1"/>
  <c r="I25" i="1"/>
  <c r="I31" i="1" s="1"/>
  <c r="N24" i="1"/>
  <c r="M24" i="1"/>
  <c r="L24" i="1"/>
  <c r="I24" i="1"/>
  <c r="M23" i="1"/>
  <c r="N23" i="1" s="1"/>
  <c r="L23" i="1"/>
  <c r="I23" i="1"/>
  <c r="N22" i="1"/>
  <c r="M22" i="1"/>
  <c r="L22" i="1"/>
  <c r="I22" i="1"/>
  <c r="B22" i="1"/>
  <c r="M21" i="1"/>
  <c r="L21" i="1"/>
  <c r="N21" i="1" s="1"/>
  <c r="I21" i="1"/>
  <c r="M20" i="1"/>
  <c r="N20" i="1" s="1"/>
  <c r="L20" i="1"/>
  <c r="L30" i="1" s="1"/>
  <c r="I20" i="1"/>
  <c r="I30" i="1" s="1"/>
  <c r="M19" i="1"/>
  <c r="L19" i="1"/>
  <c r="N19" i="1" s="1"/>
  <c r="I19" i="1"/>
  <c r="I18" i="1"/>
  <c r="I17" i="1"/>
  <c r="I16" i="1"/>
  <c r="I15" i="1"/>
  <c r="I14" i="1"/>
  <c r="I13" i="1"/>
  <c r="I29" i="1" s="1"/>
  <c r="T9" i="1"/>
  <c r="R9" i="1"/>
  <c r="O9" i="1"/>
  <c r="N9" i="1"/>
  <c r="I9" i="1"/>
  <c r="H9" i="1"/>
  <c r="G9" i="1"/>
  <c r="F9" i="1"/>
  <c r="E9" i="1"/>
  <c r="D9" i="1"/>
  <c r="B9" i="1"/>
  <c r="W5" i="1"/>
  <c r="V5" i="1"/>
  <c r="U5" i="1"/>
  <c r="T5" i="1"/>
  <c r="S5" i="1"/>
  <c r="R5" i="1"/>
  <c r="Q5" i="1"/>
  <c r="P5" i="1"/>
  <c r="O5" i="1"/>
  <c r="N5" i="1"/>
  <c r="L5" i="1"/>
  <c r="K5" i="1"/>
  <c r="J5" i="1"/>
  <c r="I5" i="1"/>
  <c r="E5" i="1"/>
  <c r="C5" i="1"/>
  <c r="V4" i="1"/>
  <c r="M4" i="1"/>
  <c r="H4" i="1"/>
  <c r="H5" i="1" s="1"/>
  <c r="G4" i="1"/>
  <c r="F4" i="1"/>
  <c r="D4" i="1"/>
  <c r="V3" i="1"/>
  <c r="M3" i="1"/>
  <c r="S9" i="1" s="1"/>
  <c r="H3" i="1"/>
  <c r="G3" i="1"/>
  <c r="K9" i="1" s="1"/>
  <c r="F3" i="1"/>
  <c r="F5" i="1" s="1"/>
  <c r="D3" i="1"/>
  <c r="D5" i="1" s="1"/>
  <c r="C3" i="1"/>
  <c r="J44" i="1" s="1"/>
  <c r="F34" i="1" l="1"/>
  <c r="N30" i="1"/>
  <c r="N31" i="1"/>
  <c r="L9" i="1"/>
  <c r="M9" i="1"/>
  <c r="M31" i="1"/>
  <c r="E39" i="1"/>
  <c r="T44" i="1"/>
  <c r="M30" i="1"/>
  <c r="M5" i="1"/>
  <c r="P9" i="1"/>
  <c r="T43" i="1"/>
  <c r="G5" i="1"/>
  <c r="J9" i="1"/>
  <c r="T41" i="1"/>
  <c r="F39" i="1" l="1"/>
  <c r="E40" i="1"/>
  <c r="G39" i="1" l="1"/>
  <c r="F40" i="1"/>
  <c r="G40" i="1" s="1"/>
</calcChain>
</file>

<file path=xl/sharedStrings.xml><?xml version="1.0" encoding="utf-8"?>
<sst xmlns="http://schemas.openxmlformats.org/spreadsheetml/2006/main" count="201" uniqueCount="139">
  <si>
    <t>MARKET</t>
  </si>
  <si>
    <t>TRAIL_INCOME</t>
  </si>
  <si>
    <t>BALANCESHEET</t>
  </si>
  <si>
    <t>CASHFLOW</t>
  </si>
  <si>
    <t>DATA</t>
  </si>
  <si>
    <t>Company</t>
  </si>
  <si>
    <t>Price</t>
  </si>
  <si>
    <t>Marketcap</t>
  </si>
  <si>
    <t>STORE</t>
  </si>
  <si>
    <t>Sales</t>
  </si>
  <si>
    <t>Profit</t>
  </si>
  <si>
    <t>T_EPS</t>
  </si>
  <si>
    <t>FV</t>
  </si>
  <si>
    <t>Equity</t>
  </si>
  <si>
    <t>TOTAL EQ</t>
  </si>
  <si>
    <t>DEBT</t>
  </si>
  <si>
    <t>LEASE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</si>
  <si>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</si>
  <si>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</si>
  <si>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</si>
  <si>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</si>
  <si>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</si>
  <si>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</si>
  <si>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</si>
  <si>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</si>
  <si>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TOTAL</t>
  </si>
  <si>
    <t>PPE</t>
  </si>
  <si>
    <t>DMART</t>
  </si>
  <si>
    <t>PREVIOUS YEAR_24</t>
  </si>
  <si>
    <t>GROWTH</t>
  </si>
  <si>
    <t>LIQUIDITY</t>
  </si>
  <si>
    <t>SOLVENCY</t>
  </si>
  <si>
    <t>PROFITABILITY</t>
  </si>
  <si>
    <t>VALUATIONS</t>
  </si>
  <si>
    <t>CASHFOW</t>
  </si>
  <si>
    <t>RATIO</t>
  </si>
  <si>
    <t>SALES GROWTH</t>
  </si>
  <si>
    <t>LFL GR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</si>
  <si>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</si>
  <si>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</si>
  <si>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</si>
  <si>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</si>
  <si>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</si>
  <si>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</si>
  <si>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</si>
  <si>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</si>
  <si>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</si>
  <si>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F-PE</t>
  </si>
  <si>
    <t>YIELD</t>
  </si>
  <si>
    <t>BOOKVALUE</t>
  </si>
  <si>
    <t>PBV</t>
  </si>
  <si>
    <t>PEG</t>
  </si>
  <si>
    <t>OCFR</t>
  </si>
  <si>
    <t>CFD</t>
  </si>
  <si>
    <t>FCF (INC R)</t>
  </si>
  <si>
    <t>Actual</t>
  </si>
  <si>
    <t>YEAR</t>
  </si>
  <si>
    <t>SALES</t>
  </si>
  <si>
    <t>INTEREST</t>
  </si>
  <si>
    <t>NETPROFIT</t>
  </si>
  <si>
    <t>EQUITY</t>
  </si>
  <si>
    <t>EPS</t>
  </si>
  <si>
    <t>NPM%</t>
  </si>
  <si>
    <t>HIGH PRICE</t>
  </si>
  <si>
    <t>LOW PRICE</t>
  </si>
  <si>
    <t>HIGHPE</t>
  </si>
  <si>
    <t>LOWPE</t>
  </si>
  <si>
    <t>AV PE</t>
  </si>
  <si>
    <t>FY_2002</t>
  </si>
  <si>
    <t>FY_2012</t>
  </si>
  <si>
    <t>FY_2013</t>
  </si>
  <si>
    <t>FY_2014</t>
  </si>
  <si>
    <t>FY_2015</t>
  </si>
  <si>
    <t>FY_2016</t>
  </si>
  <si>
    <t>FY_2017</t>
  </si>
  <si>
    <t>IPO</t>
  </si>
  <si>
    <t>FY_2018</t>
  </si>
  <si>
    <t>FY_2019</t>
  </si>
  <si>
    <t>FY_2020</t>
  </si>
  <si>
    <t>FY_2021</t>
  </si>
  <si>
    <t>FY_2022</t>
  </si>
  <si>
    <t>FY_2023</t>
  </si>
  <si>
    <t>FY_2024</t>
  </si>
  <si>
    <t>TRAIL_FY25</t>
  </si>
  <si>
    <t>RESULT</t>
  </si>
  <si>
    <t>H1_FY_25</t>
  </si>
  <si>
    <t>H1_FY_24</t>
  </si>
  <si>
    <t>Q1_FY_25</t>
  </si>
  <si>
    <t>Q1_FY_24</t>
  </si>
  <si>
    <t>FY_24</t>
  </si>
  <si>
    <t>FY_23</t>
  </si>
  <si>
    <t>LFL GROWTH</t>
  </si>
  <si>
    <t>REVENUE</t>
  </si>
  <si>
    <t>10 Year</t>
  </si>
  <si>
    <t>COST</t>
  </si>
  <si>
    <t>5 Year</t>
  </si>
  <si>
    <t>FINANCE</t>
  </si>
  <si>
    <t>CYear</t>
  </si>
  <si>
    <t>PROFIT</t>
  </si>
  <si>
    <t>Est Growth</t>
  </si>
  <si>
    <t>Year</t>
  </si>
  <si>
    <t>Revenue</t>
  </si>
  <si>
    <t>Net Profit</t>
  </si>
  <si>
    <t>MARGIN</t>
  </si>
  <si>
    <t>Current Trend</t>
  </si>
  <si>
    <t>9M_FY_24</t>
  </si>
  <si>
    <t>EST_FY_25</t>
  </si>
  <si>
    <t>LongTerm</t>
  </si>
  <si>
    <t>STORES</t>
  </si>
  <si>
    <t>Estimate</t>
  </si>
  <si>
    <t>FairValue</t>
  </si>
  <si>
    <t>FY_2025</t>
  </si>
  <si>
    <t>TRAIL-EPS</t>
  </si>
  <si>
    <t>Q3_FY24</t>
  </si>
  <si>
    <t>Q4_FY24</t>
  </si>
  <si>
    <t>Q1_FY25</t>
  </si>
  <si>
    <t>Q2_FY25</t>
  </si>
  <si>
    <t>TRAIL_EPS</t>
  </si>
  <si>
    <t>MAJOR COST</t>
  </si>
  <si>
    <t>SHARE</t>
  </si>
  <si>
    <t>FY_2030</t>
  </si>
  <si>
    <t>STOCKINTRADE</t>
  </si>
  <si>
    <t>FY_2035</t>
  </si>
  <si>
    <t>INVENTORIES</t>
  </si>
  <si>
    <t>EPS_24</t>
  </si>
  <si>
    <t>F_EPS_25</t>
  </si>
  <si>
    <t>F_PEG</t>
  </si>
  <si>
    <t>EMPLOYEE COST</t>
  </si>
  <si>
    <t>PE_24</t>
  </si>
  <si>
    <t>TRAIL-PE</t>
  </si>
  <si>
    <t>F_PE_25</t>
  </si>
  <si>
    <t>D&amp;A</t>
  </si>
  <si>
    <t>OTHER COST</t>
  </si>
  <si>
    <t>SHP</t>
  </si>
  <si>
    <t>SHP-9M</t>
  </si>
  <si>
    <t>PROMOTER</t>
  </si>
  <si>
    <t>MF, AIF,FI, INSURANCE</t>
  </si>
  <si>
    <t>FII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</si>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</sst>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0.0"/>
    <numFmt numFmtId="167" formatCode="_ * #,##0_ ;_ * \-#,##0_ ;_ * &quot;-&quot;??_ ;_ @_ "/>
    <numFmt numFmtId="168" formatCode="_(* #,##0_);_(* \(#,##0\);_(* &quot;-&quot;??_);_(@_)"/>
  </numFmts>
  <fonts count="21" x14ac:knownFonts="1">
    <font>
      <sz val="10"/>
      <color rgb="FF000000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0"/>
      <color theme="1"/>
      <name val="Calibri"/>
      <scheme val="minor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1"/>
      <color rgb="FFFFFFFF"/>
      <name val="Comic Sans MS"/>
    </font>
    <font>
      <sz val="10"/>
      <color theme="1"/>
      <name val="Comic Sans MS"/>
    </font>
    <font>
      <sz val="11"/>
      <color theme="1"/>
      <name val="Comic Sans MS"/>
    </font>
    <font>
      <b/>
      <sz val="11"/>
      <color theme="1"/>
      <name val="Comic Sans MS"/>
    </font>
    <font>
      <b/>
      <sz val="10"/>
      <color theme="1"/>
      <name val="Comic Sans MS"/>
    </font>
    <font>
      <sz val="11"/>
      <color rgb="FF000000"/>
      <name val="Comic Sans MS"/>
    </font>
    <font>
      <b/>
      <i/>
      <sz val="11"/>
      <color rgb="FF000000"/>
      <name val="Comic Sans MS"/>
    </font>
    <font>
      <sz val="10"/>
      <color rgb="FF000000"/>
      <name val="Comic Sans MS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sz val="29"/>
      <color theme="1"/>
      <name val="Calibri"/>
      <scheme val="minor"/>
    </font>
    <font>
      <sz val="10"/>
      <name val="Arial"/>
    </font>
    <font>
      <b/>
      <i/>
      <u/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  <fill>
      <patternFill patternType="solid">
        <fgColor rgb="FFD0E0E3"/>
        <bgColor rgb="FFD0E0E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C1130"/>
      </left>
      <right style="thin">
        <color rgb="FF4C1130"/>
      </right>
      <top style="thin">
        <color rgb="FF4C1130"/>
      </top>
      <bottom style="thin">
        <color rgb="FF4C1130"/>
      </bottom>
      <diagonal/>
    </border>
    <border>
      <left style="thin">
        <color rgb="FF4C1130"/>
      </left>
      <right style="thin">
        <color rgb="FF4C1130"/>
      </right>
      <top style="thin">
        <color rgb="FF4C1130"/>
      </top>
      <bottom/>
      <diagonal/>
    </border>
    <border>
      <left style="thin">
        <color rgb="FF20124D"/>
      </left>
      <right style="thin">
        <color rgb="FF20124D"/>
      </right>
      <top style="thin">
        <color rgb="FF20124D"/>
      </top>
      <bottom style="thin">
        <color rgb="FF20124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/>
    <xf numFmtId="3" fontId="4" fillId="3" borderId="1" xfId="0" applyNumberFormat="1" applyFont="1" applyFill="1" applyBorder="1"/>
    <xf numFmtId="0" fontId="2" fillId="0" borderId="0" xfId="0" applyFont="1"/>
    <xf numFmtId="9" fontId="5" fillId="0" borderId="0" xfId="0" applyNumberFormat="1" applyFont="1"/>
    <xf numFmtId="1" fontId="2" fillId="0" borderId="0" xfId="0" applyNumberFormat="1" applyFont="1"/>
    <xf numFmtId="9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/>
    <xf numFmtId="0" fontId="8" fillId="0" borderId="0" xfId="0" applyFont="1"/>
    <xf numFmtId="0" fontId="8" fillId="5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left"/>
    </xf>
    <xf numFmtId="0" fontId="8" fillId="5" borderId="3" xfId="0" applyFont="1" applyFill="1" applyBorder="1"/>
    <xf numFmtId="0" fontId="9" fillId="5" borderId="3" xfId="0" applyFont="1" applyFill="1" applyBorder="1" applyAlignment="1">
      <alignment horizontal="right"/>
    </xf>
    <xf numFmtId="1" fontId="9" fillId="5" borderId="3" xfId="0" applyNumberFormat="1" applyFont="1" applyFill="1" applyBorder="1"/>
    <xf numFmtId="3" fontId="9" fillId="5" borderId="3" xfId="0" applyNumberFormat="1" applyFont="1" applyFill="1" applyBorder="1"/>
    <xf numFmtId="166" fontId="9" fillId="5" borderId="3" xfId="0" applyNumberFormat="1" applyFont="1" applyFill="1" applyBorder="1"/>
    <xf numFmtId="164" fontId="9" fillId="5" borderId="3" xfId="0" applyNumberFormat="1" applyFont="1" applyFill="1" applyBorder="1"/>
    <xf numFmtId="0" fontId="9" fillId="5" borderId="3" xfId="0" applyFont="1" applyFill="1" applyBorder="1"/>
    <xf numFmtId="164" fontId="3" fillId="0" borderId="0" xfId="0" applyNumberFormat="1" applyFont="1"/>
    <xf numFmtId="0" fontId="10" fillId="5" borderId="3" xfId="0" applyFont="1" applyFill="1" applyBorder="1"/>
    <xf numFmtId="0" fontId="11" fillId="0" borderId="0" xfId="0" applyFont="1"/>
    <xf numFmtId="0" fontId="12" fillId="5" borderId="3" xfId="0" applyFont="1" applyFill="1" applyBorder="1"/>
    <xf numFmtId="1" fontId="12" fillId="5" borderId="3" xfId="0" applyNumberFormat="1" applyFont="1" applyFill="1" applyBorder="1"/>
    <xf numFmtId="1" fontId="8" fillId="5" borderId="3" xfId="0" applyNumberFormat="1" applyFont="1" applyFill="1" applyBorder="1"/>
    <xf numFmtId="0" fontId="12" fillId="5" borderId="3" xfId="0" applyFont="1" applyFill="1" applyBorder="1" applyAlignment="1">
      <alignment horizontal="right"/>
    </xf>
    <xf numFmtId="3" fontId="12" fillId="5" borderId="3" xfId="0" applyNumberFormat="1" applyFont="1" applyFill="1" applyBorder="1"/>
    <xf numFmtId="166" fontId="12" fillId="5" borderId="3" xfId="0" applyNumberFormat="1" applyFont="1" applyFill="1" applyBorder="1"/>
    <xf numFmtId="1" fontId="13" fillId="5" borderId="3" xfId="0" applyNumberFormat="1" applyFont="1" applyFill="1" applyBorder="1"/>
    <xf numFmtId="0" fontId="12" fillId="5" borderId="4" xfId="0" applyFont="1" applyFill="1" applyBorder="1" applyAlignment="1">
      <alignment horizontal="right"/>
    </xf>
    <xf numFmtId="1" fontId="12" fillId="5" borderId="4" xfId="0" applyNumberFormat="1" applyFont="1" applyFill="1" applyBorder="1"/>
    <xf numFmtId="3" fontId="12" fillId="5" borderId="4" xfId="0" applyNumberFormat="1" applyFont="1" applyFill="1" applyBorder="1"/>
    <xf numFmtId="166" fontId="12" fillId="5" borderId="4" xfId="0" applyNumberFormat="1" applyFont="1" applyFill="1" applyBorder="1"/>
    <xf numFmtId="1" fontId="13" fillId="5" borderId="4" xfId="0" applyNumberFormat="1" applyFont="1" applyFill="1" applyBorder="1"/>
    <xf numFmtId="1" fontId="9" fillId="5" borderId="4" xfId="0" applyNumberFormat="1" applyFont="1" applyFill="1" applyBorder="1"/>
    <xf numFmtId="1" fontId="8" fillId="5" borderId="4" xfId="0" applyNumberFormat="1" applyFont="1" applyFill="1" applyBorder="1"/>
    <xf numFmtId="0" fontId="8" fillId="5" borderId="1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left"/>
    </xf>
    <xf numFmtId="0" fontId="8" fillId="5" borderId="1" xfId="0" applyFont="1" applyFill="1" applyBorder="1"/>
    <xf numFmtId="166" fontId="8" fillId="5" borderId="1" xfId="0" applyNumberFormat="1" applyFont="1" applyFill="1" applyBorder="1"/>
    <xf numFmtId="0" fontId="14" fillId="5" borderId="1" xfId="0" applyFont="1" applyFill="1" applyBorder="1"/>
    <xf numFmtId="1" fontId="14" fillId="5" borderId="1" xfId="0" applyNumberFormat="1" applyFont="1" applyFill="1" applyBorder="1"/>
    <xf numFmtId="0" fontId="9" fillId="5" borderId="1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2" xfId="0" applyFont="1" applyFill="1" applyBorder="1"/>
    <xf numFmtId="0" fontId="1" fillId="2" borderId="5" xfId="0" applyFont="1" applyFill="1" applyBorder="1" applyAlignment="1">
      <alignment horizontal="left"/>
    </xf>
    <xf numFmtId="0" fontId="6" fillId="6" borderId="5" xfId="0" applyFont="1" applyFill="1" applyBorder="1"/>
    <xf numFmtId="10" fontId="15" fillId="6" borderId="5" xfId="0" applyNumberFormat="1" applyFont="1" applyFill="1" applyBorder="1" applyAlignment="1">
      <alignment horizontal="right"/>
    </xf>
    <xf numFmtId="9" fontId="16" fillId="6" borderId="5" xfId="0" applyNumberFormat="1" applyFont="1" applyFill="1" applyBorder="1" applyAlignment="1">
      <alignment horizontal="right"/>
    </xf>
    <xf numFmtId="10" fontId="3" fillId="0" borderId="0" xfId="0" applyNumberFormat="1" applyFont="1"/>
    <xf numFmtId="0" fontId="15" fillId="6" borderId="5" xfId="0" applyFont="1" applyFill="1" applyBorder="1" applyAlignment="1">
      <alignment horizontal="right"/>
    </xf>
    <xf numFmtId="9" fontId="3" fillId="7" borderId="5" xfId="0" applyNumberFormat="1" applyFont="1" applyFill="1" applyBorder="1"/>
    <xf numFmtId="0" fontId="15" fillId="7" borderId="5" xfId="0" applyFont="1" applyFill="1" applyBorder="1" applyAlignment="1">
      <alignment horizontal="left"/>
    </xf>
    <xf numFmtId="164" fontId="16" fillId="7" borderId="5" xfId="0" applyNumberFormat="1" applyFont="1" applyFill="1" applyBorder="1"/>
    <xf numFmtId="167" fontId="16" fillId="7" borderId="5" xfId="0" applyNumberFormat="1" applyFont="1" applyFill="1" applyBorder="1"/>
    <xf numFmtId="1" fontId="16" fillId="7" borderId="5" xfId="0" applyNumberFormat="1" applyFont="1" applyFill="1" applyBorder="1"/>
    <xf numFmtId="0" fontId="3" fillId="7" borderId="5" xfId="0" applyFont="1" applyFill="1" applyBorder="1"/>
    <xf numFmtId="0" fontId="15" fillId="0" borderId="0" xfId="0" applyFont="1"/>
    <xf numFmtId="0" fontId="3" fillId="7" borderId="5" xfId="0" applyFont="1" applyFill="1" applyBorder="1" applyAlignment="1">
      <alignment horizontal="left"/>
    </xf>
    <xf numFmtId="164" fontId="3" fillId="7" borderId="5" xfId="0" applyNumberFormat="1" applyFont="1" applyFill="1" applyBorder="1"/>
    <xf numFmtId="3" fontId="3" fillId="7" borderId="5" xfId="0" applyNumberFormat="1" applyFont="1" applyFill="1" applyBorder="1"/>
    <xf numFmtId="1" fontId="3" fillId="7" borderId="5" xfId="0" applyNumberFormat="1" applyFont="1" applyFill="1" applyBorder="1"/>
    <xf numFmtId="0" fontId="1" fillId="2" borderId="1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/>
    <xf numFmtId="1" fontId="15" fillId="6" borderId="5" xfId="0" applyNumberFormat="1" applyFont="1" applyFill="1" applyBorder="1" applyAlignment="1">
      <alignment horizontal="right"/>
    </xf>
    <xf numFmtId="9" fontId="3" fillId="8" borderId="5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left"/>
    </xf>
    <xf numFmtId="9" fontId="3" fillId="8" borderId="5" xfId="0" applyNumberFormat="1" applyFont="1" applyFill="1" applyBorder="1"/>
    <xf numFmtId="164" fontId="3" fillId="8" borderId="5" xfId="0" applyNumberFormat="1" applyFont="1" applyFill="1" applyBorder="1"/>
    <xf numFmtId="0" fontId="6" fillId="8" borderId="5" xfId="0" applyFont="1" applyFill="1" applyBorder="1"/>
    <xf numFmtId="9" fontId="17" fillId="8" borderId="5" xfId="0" applyNumberFormat="1" applyFont="1" applyFill="1" applyBorder="1" applyAlignment="1">
      <alignment horizontal="right"/>
    </xf>
    <xf numFmtId="164" fontId="15" fillId="6" borderId="5" xfId="0" applyNumberFormat="1" applyFont="1" applyFill="1" applyBorder="1" applyAlignment="1">
      <alignment horizontal="right"/>
    </xf>
    <xf numFmtId="164" fontId="16" fillId="6" borderId="5" xfId="0" applyNumberFormat="1" applyFont="1" applyFill="1" applyBorder="1" applyAlignment="1">
      <alignment horizontal="right"/>
    </xf>
    <xf numFmtId="3" fontId="16" fillId="6" borderId="5" xfId="0" applyNumberFormat="1" applyFont="1" applyFill="1" applyBorder="1" applyAlignment="1">
      <alignment horizontal="right"/>
    </xf>
    <xf numFmtId="1" fontId="3" fillId="0" borderId="0" xfId="0" applyNumberFormat="1" applyFont="1"/>
    <xf numFmtId="3" fontId="3" fillId="0" borderId="0" xfId="0" applyNumberFormat="1" applyFont="1"/>
    <xf numFmtId="1" fontId="16" fillId="9" borderId="5" xfId="0" applyNumberFormat="1" applyFont="1" applyFill="1" applyBorder="1" applyAlignment="1">
      <alignment horizontal="right"/>
    </xf>
    <xf numFmtId="0" fontId="15" fillId="9" borderId="5" xfId="0" applyFont="1" applyFill="1" applyBorder="1" applyAlignment="1">
      <alignment horizontal="left"/>
    </xf>
    <xf numFmtId="1" fontId="16" fillId="9" borderId="5" xfId="0" applyNumberFormat="1" applyFont="1" applyFill="1" applyBorder="1"/>
    <xf numFmtId="166" fontId="16" fillId="9" borderId="5" xfId="0" applyNumberFormat="1" applyFont="1" applyFill="1" applyBorder="1"/>
    <xf numFmtId="168" fontId="16" fillId="9" borderId="5" xfId="0" applyNumberFormat="1" applyFont="1" applyFill="1" applyBorder="1"/>
    <xf numFmtId="166" fontId="3" fillId="0" borderId="0" xfId="0" applyNumberFormat="1" applyFont="1"/>
    <xf numFmtId="0" fontId="16" fillId="0" borderId="0" xfId="0" applyFont="1"/>
    <xf numFmtId="0" fontId="16" fillId="9" borderId="5" xfId="0" applyFont="1" applyFill="1" applyBorder="1" applyAlignment="1">
      <alignment horizontal="left"/>
    </xf>
    <xf numFmtId="166" fontId="17" fillId="0" borderId="7" xfId="0" applyNumberFormat="1" applyFont="1" applyBorder="1" applyAlignment="1">
      <alignment horizontal="right"/>
    </xf>
    <xf numFmtId="2" fontId="17" fillId="0" borderId="7" xfId="0" applyNumberFormat="1" applyFont="1" applyBorder="1" applyAlignment="1">
      <alignment horizontal="right"/>
    </xf>
    <xf numFmtId="0" fontId="3" fillId="6" borderId="1" xfId="0" applyFont="1" applyFill="1" applyBorder="1"/>
    <xf numFmtId="9" fontId="3" fillId="6" borderId="1" xfId="0" applyNumberFormat="1" applyFont="1" applyFill="1" applyBorder="1"/>
    <xf numFmtId="3" fontId="3" fillId="6" borderId="1" xfId="0" applyNumberFormat="1" applyFont="1" applyFill="1" applyBorder="1"/>
    <xf numFmtId="9" fontId="3" fillId="0" borderId="0" xfId="0" applyNumberFormat="1" applyFont="1"/>
    <xf numFmtId="166" fontId="1" fillId="2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" fontId="18" fillId="9" borderId="6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1" fontId="3" fillId="0" borderId="1" xfId="0" applyNumberFormat="1" applyFont="1" applyBorder="1" applyAlignment="1">
      <alignment horizontal="center"/>
    </xf>
    <xf numFmtId="0" fontId="19" fillId="0" borderId="9" xfId="0" applyFont="1" applyBorder="1"/>
    <xf numFmtId="0" fontId="3" fillId="6" borderId="0" xfId="0" applyFont="1" applyFill="1"/>
    <xf numFmtId="9" fontId="3" fillId="6" borderId="0" xfId="0" applyNumberFormat="1" applyFont="1" applyFill="1"/>
    <xf numFmtId="0" fontId="20" fillId="6" borderId="10" xfId="0" applyFont="1" applyFill="1" applyBorder="1"/>
    <xf numFmtId="9" fontId="20" fillId="6" borderId="1" xfId="0" applyNumberFormat="1" applyFont="1" applyFill="1" applyBorder="1"/>
    <xf numFmtId="9" fontId="20" fillId="6" borderId="10" xfId="0" applyNumberFormat="1" applyFont="1" applyFill="1" applyBorder="1"/>
    <xf numFmtId="0" fontId="16" fillId="10" borderId="1" xfId="0" applyFont="1" applyFill="1" applyBorder="1"/>
    <xf numFmtId="9" fontId="15" fillId="10" borderId="1" xfId="0" applyNumberFormat="1" applyFont="1" applyFill="1" applyBorder="1"/>
    <xf numFmtId="164" fontId="15" fillId="1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40</xdr:row>
      <xdr:rowOff>57150</xdr:rowOff>
    </xdr:from>
    <xdr:ext cx="6991350" cy="2990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D699044-A9E0-494E-9501-D0EA930D6E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722870"/>
          <a:ext cx="6991350" cy="2990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6FAA-34E7-4C11-A174-B8E2D806F40A}">
  <dimension ref="A1:AE986"/>
  <sheetViews>
    <sheetView showGridLines="0" tabSelected="1" workbookViewId="0"/>
  </sheetViews>
  <sheetFormatPr defaultColWidth="12.6640625" defaultRowHeight="15.75" customHeight="1" x14ac:dyDescent="0.3"/>
  <cols>
    <col min="1" max="1" width="9.33203125" customWidth="1"/>
    <col min="2" max="2" width="21" customWidth="1"/>
    <col min="3" max="3" width="13" customWidth="1"/>
    <col min="4" max="5" width="9.33203125" customWidth="1"/>
    <col min="6" max="6" width="11.109375" customWidth="1"/>
    <col min="7" max="7" width="9.6640625" customWidth="1"/>
    <col min="8" max="8" width="11.44140625" customWidth="1"/>
    <col min="9" max="9" width="12.109375" customWidth="1"/>
    <col min="10" max="10" width="9.77734375" customWidth="1"/>
    <col min="11" max="11" width="10.33203125" customWidth="1"/>
    <col min="12" max="12" width="10.6640625" customWidth="1"/>
    <col min="13" max="13" width="10.21875" customWidth="1"/>
    <col min="14" max="14" width="13" customWidth="1"/>
    <col min="15" max="15" width="13.21875" customWidth="1"/>
    <col min="16" max="16" width="15.21875" customWidth="1"/>
    <col min="17" max="17" width="15.88671875" customWidth="1"/>
    <col min="18" max="18" width="9.44140625" customWidth="1"/>
    <col min="19" max="19" width="9.33203125" customWidth="1"/>
    <col min="20" max="21" width="7.6640625" customWidth="1"/>
    <col min="22" max="22" width="9.77734375" customWidth="1"/>
    <col min="23" max="23" width="9.33203125" customWidth="1"/>
    <col min="24" max="24" width="10" customWidth="1"/>
    <col min="25" max="28" width="7.6640625" customWidth="1"/>
    <col min="29" max="29" width="9" customWidth="1"/>
    <col min="30" max="30" width="9.33203125" customWidth="1"/>
    <col min="31" max="31" width="7.6640625" customWidth="1"/>
  </cols>
  <sheetData>
    <row r="1" spans="1:23" ht="15.75" customHeight="1" x14ac:dyDescent="0.3">
      <c r="B1" s="1" t="s">
        <v>0</v>
      </c>
      <c r="E1" s="1" t="s">
        <v>1</v>
      </c>
      <c r="J1" s="1" t="s">
        <v>2</v>
      </c>
      <c r="S1" s="1" t="s">
        <v>3</v>
      </c>
    </row>
    <row r="2" spans="1:23" ht="15.75" customHeight="1" x14ac:dyDescent="0.3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</row>
    <row r="3" spans="1:23" ht="15.75" customHeight="1" x14ac:dyDescent="0.3">
      <c r="B3" s="2" t="s">
        <v>27</v>
      </c>
      <c r="C3" s="3">
        <f ca="1">IFERROR(__xludf.DUMMYFUNCTION("GOOGLEFINANCE(""nse:""&amp;B3,""PRICE"")"),4190.65)</f>
        <v>4190.6499999999996</v>
      </c>
      <c r="D3" s="3">
        <f ca="1">IFERROR(__xludf.DUMMYFUNCTION("GOOGLEFINANCE(""nse:""&amp;B3,""marketcap"")/10000000"),272697.5039733)</f>
        <v>272697.50397329999</v>
      </c>
      <c r="E3" s="4">
        <v>377</v>
      </c>
      <c r="F3" s="3">
        <f>D26</f>
        <v>54812</v>
      </c>
      <c r="G3" s="3">
        <f>F26</f>
        <v>2686</v>
      </c>
      <c r="H3" s="3">
        <f>N39</f>
        <v>41.31</v>
      </c>
      <c r="I3" s="5">
        <v>10</v>
      </c>
      <c r="J3" s="5">
        <v>651</v>
      </c>
      <c r="K3" s="5">
        <v>19487</v>
      </c>
      <c r="L3" s="6">
        <v>0</v>
      </c>
      <c r="M3" s="5">
        <f>523+190</f>
        <v>713</v>
      </c>
      <c r="N3" s="5">
        <v>6791</v>
      </c>
      <c r="O3" s="5">
        <v>2271</v>
      </c>
      <c r="P3" s="5">
        <v>23039</v>
      </c>
      <c r="Q3" s="5">
        <v>2903</v>
      </c>
      <c r="R3" s="5">
        <v>102</v>
      </c>
      <c r="S3" s="7">
        <v>1035</v>
      </c>
      <c r="T3" s="7">
        <v>-950</v>
      </c>
      <c r="U3" s="7">
        <v>-118</v>
      </c>
      <c r="V3" s="7">
        <f t="shared" ref="V3:V4" si="0">SUM(S3:U3)</f>
        <v>-33</v>
      </c>
      <c r="W3" s="7">
        <v>1595</v>
      </c>
    </row>
    <row r="4" spans="1:23" ht="15.75" customHeight="1" x14ac:dyDescent="0.3">
      <c r="B4" s="2" t="s">
        <v>28</v>
      </c>
      <c r="C4" s="2">
        <v>4525</v>
      </c>
      <c r="D4" s="8">
        <f>C4*(J3/I3)</f>
        <v>294577.5</v>
      </c>
      <c r="E4" s="4">
        <v>365</v>
      </c>
      <c r="F4" s="2">
        <f>D25</f>
        <v>50788</v>
      </c>
      <c r="G4" s="2">
        <f>F25</f>
        <v>2535</v>
      </c>
      <c r="H4" s="8">
        <f>H25</f>
        <v>38.99</v>
      </c>
      <c r="I4" s="2">
        <v>10</v>
      </c>
      <c r="J4" s="5">
        <v>651</v>
      </c>
      <c r="K4" s="2">
        <v>18697</v>
      </c>
      <c r="L4" s="9">
        <v>0</v>
      </c>
      <c r="M4" s="5">
        <f>399+192</f>
        <v>591</v>
      </c>
      <c r="N4" s="2">
        <v>6202</v>
      </c>
      <c r="O4" s="2">
        <v>1979</v>
      </c>
      <c r="P4" s="2">
        <v>21177</v>
      </c>
      <c r="Q4" s="5">
        <v>2480</v>
      </c>
      <c r="R4" s="2">
        <v>166</v>
      </c>
      <c r="S4" s="7">
        <v>907</v>
      </c>
      <c r="T4" s="7">
        <v>-910</v>
      </c>
      <c r="U4" s="7">
        <v>-37</v>
      </c>
      <c r="V4" s="7">
        <f t="shared" si="0"/>
        <v>-40</v>
      </c>
      <c r="W4" s="7">
        <v>1304</v>
      </c>
    </row>
    <row r="5" spans="1:23" ht="15.75" customHeight="1" x14ac:dyDescent="0.3">
      <c r="B5" s="10" t="s">
        <v>29</v>
      </c>
      <c r="C5" s="11">
        <f t="shared" ref="C5:D5" ca="1" si="1">(C3/C4)-1</f>
        <v>-7.3889502762431003E-2</v>
      </c>
      <c r="D5" s="11">
        <f t="shared" ca="1" si="1"/>
        <v>-7.4275856189627509E-2</v>
      </c>
      <c r="E5" s="12">
        <f>E3-E4</f>
        <v>12</v>
      </c>
      <c r="F5" s="11">
        <f t="shared" ref="F5:S5" si="2">(F3/F4)-1</f>
        <v>7.9231314483736215E-2</v>
      </c>
      <c r="G5" s="11">
        <f t="shared" si="2"/>
        <v>5.9566074950690329E-2</v>
      </c>
      <c r="H5" s="11">
        <f t="shared" si="2"/>
        <v>5.9502436522185231E-2</v>
      </c>
      <c r="I5" s="11">
        <f t="shared" si="2"/>
        <v>0</v>
      </c>
      <c r="J5" s="11">
        <f t="shared" si="2"/>
        <v>0</v>
      </c>
      <c r="K5" s="11">
        <f t="shared" si="2"/>
        <v>4.2252767823715009E-2</v>
      </c>
      <c r="L5" s="11" t="e">
        <f t="shared" si="2"/>
        <v>#DIV/0!</v>
      </c>
      <c r="M5" s="11">
        <f t="shared" si="2"/>
        <v>0.20642978003384105</v>
      </c>
      <c r="N5" s="11">
        <f t="shared" si="2"/>
        <v>9.4969364721057659E-2</v>
      </c>
      <c r="O5" s="11">
        <f t="shared" si="2"/>
        <v>0.14754926730672047</v>
      </c>
      <c r="P5" s="11">
        <f t="shared" si="2"/>
        <v>8.7925579638286733E-2</v>
      </c>
      <c r="Q5" s="11">
        <f t="shared" si="2"/>
        <v>0.17056451612903234</v>
      </c>
      <c r="R5" s="11">
        <f t="shared" si="2"/>
        <v>-0.38554216867469882</v>
      </c>
      <c r="S5" s="11">
        <f t="shared" si="2"/>
        <v>0.1411245865490629</v>
      </c>
      <c r="T5" s="11">
        <f t="shared" ref="T5:V5" si="3">-(T3/T4)-1</f>
        <v>-2.0439560439560438</v>
      </c>
      <c r="U5" s="11">
        <f t="shared" si="3"/>
        <v>-4.1891891891891895</v>
      </c>
      <c r="V5" s="11">
        <f t="shared" si="3"/>
        <v>-1.825</v>
      </c>
      <c r="W5" s="11">
        <f>(W3/W4)-1</f>
        <v>0.22315950920245409</v>
      </c>
    </row>
    <row r="6" spans="1:23" ht="15.75" customHeight="1" x14ac:dyDescent="0.3"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3" ht="15.75" customHeight="1" x14ac:dyDescent="0.3">
      <c r="B7" s="1" t="s">
        <v>29</v>
      </c>
      <c r="D7" s="1" t="s">
        <v>30</v>
      </c>
      <c r="E7" s="15"/>
      <c r="F7" s="13"/>
      <c r="G7" s="1" t="s">
        <v>31</v>
      </c>
      <c r="H7" s="13"/>
      <c r="I7" s="13"/>
      <c r="J7" s="1" t="s">
        <v>32</v>
      </c>
      <c r="K7" s="13"/>
      <c r="L7" s="13"/>
      <c r="M7" s="1" t="s">
        <v>33</v>
      </c>
      <c r="N7" s="13"/>
      <c r="O7" s="13"/>
      <c r="P7" s="13"/>
      <c r="Q7" s="13"/>
      <c r="R7" s="1" t="s">
        <v>34</v>
      </c>
    </row>
    <row r="8" spans="1:23" ht="15.75" customHeight="1" x14ac:dyDescent="0.3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45</v>
      </c>
      <c r="L8" s="1" t="s">
        <v>46</v>
      </c>
      <c r="M8" s="1" t="s">
        <v>47</v>
      </c>
      <c r="N8" s="1" t="s">
        <v>48</v>
      </c>
      <c r="O8" s="1" t="s">
        <v>49</v>
      </c>
      <c r="P8" s="1" t="s">
        <v>50</v>
      </c>
      <c r="Q8" s="1" t="s">
        <v>51</v>
      </c>
      <c r="R8" s="1" t="s">
        <v>52</v>
      </c>
      <c r="S8" s="1" t="s">
        <v>53</v>
      </c>
      <c r="T8" s="1" t="s">
        <v>54</v>
      </c>
    </row>
    <row r="9" spans="1:23" ht="14.4" x14ac:dyDescent="0.3">
      <c r="B9" s="16">
        <f>M34</f>
        <v>0.16</v>
      </c>
      <c r="C9" s="16">
        <v>0.05</v>
      </c>
      <c r="D9" s="17">
        <f>R35</f>
        <v>5.0257777154280502E-2</v>
      </c>
      <c r="E9" s="18">
        <f>N3/O3</f>
        <v>2.9903126376045797</v>
      </c>
      <c r="F9" s="18">
        <f>(R3/F3)*365</f>
        <v>0.67923082536670798</v>
      </c>
      <c r="G9" s="16">
        <f>L3/K3</f>
        <v>0</v>
      </c>
      <c r="H9" s="16">
        <f>Q3/P3</f>
        <v>0.12600373280090282</v>
      </c>
      <c r="I9" s="19">
        <f>R34</f>
        <v>59.8125</v>
      </c>
      <c r="J9" s="16">
        <f>G3/K3</f>
        <v>0.13783548006363217</v>
      </c>
      <c r="K9" s="20">
        <f>G3/J3</f>
        <v>4.1259600614439327</v>
      </c>
      <c r="L9" s="16">
        <f>G3/P3</f>
        <v>0.11658492122053908</v>
      </c>
      <c r="M9" s="20">
        <f ca="1">C3/H3</f>
        <v>101.44396030016944</v>
      </c>
      <c r="N9" s="17">
        <f ca="1">H3/C3</f>
        <v>9.857659312994406E-3</v>
      </c>
      <c r="O9" s="19">
        <f>K3/(J3/I3)</f>
        <v>299.3394777265745</v>
      </c>
      <c r="P9" s="20">
        <f ca="1">C3/O9</f>
        <v>13.999656950787703</v>
      </c>
      <c r="Q9" s="20">
        <f ca="1">L42</f>
        <v>6.2307317744051804</v>
      </c>
      <c r="R9" s="20">
        <f>S3-O3</f>
        <v>-1236</v>
      </c>
      <c r="S9" s="19">
        <f>S3-(L3+M3)</f>
        <v>322</v>
      </c>
      <c r="T9" s="20">
        <f>S3-W3</f>
        <v>-560</v>
      </c>
    </row>
    <row r="10" spans="1:23" ht="13.8" x14ac:dyDescent="0.3">
      <c r="B10" s="21"/>
      <c r="W10" s="4"/>
    </row>
    <row r="11" spans="1:23" ht="15.75" customHeight="1" x14ac:dyDescent="0.4">
      <c r="A11" s="22" t="s">
        <v>55</v>
      </c>
      <c r="B11" s="23" t="s">
        <v>8</v>
      </c>
      <c r="C11" s="23" t="s">
        <v>56</v>
      </c>
      <c r="D11" s="24" t="s">
        <v>57</v>
      </c>
      <c r="E11" s="24" t="s">
        <v>58</v>
      </c>
      <c r="F11" s="24" t="s">
        <v>59</v>
      </c>
      <c r="G11" s="24" t="s">
        <v>60</v>
      </c>
      <c r="H11" s="24" t="s">
        <v>61</v>
      </c>
      <c r="I11" s="24" t="s">
        <v>62</v>
      </c>
      <c r="J11" s="24" t="s">
        <v>63</v>
      </c>
      <c r="K11" s="24" t="s">
        <v>64</v>
      </c>
      <c r="L11" s="24" t="s">
        <v>65</v>
      </c>
      <c r="M11" s="24" t="s">
        <v>66</v>
      </c>
      <c r="N11" s="24" t="s">
        <v>67</v>
      </c>
      <c r="W11" s="4"/>
    </row>
    <row r="12" spans="1:23" ht="15.75" customHeight="1" x14ac:dyDescent="0.4">
      <c r="A12" s="25"/>
      <c r="B12" s="26">
        <v>2</v>
      </c>
      <c r="C12" s="27" t="s">
        <v>68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W12" s="4"/>
    </row>
    <row r="13" spans="1:23" ht="15.75" customHeight="1" x14ac:dyDescent="0.4">
      <c r="A13" s="25"/>
      <c r="B13" s="29">
        <v>57</v>
      </c>
      <c r="C13" s="27" t="s">
        <v>69</v>
      </c>
      <c r="D13" s="30">
        <v>2209</v>
      </c>
      <c r="E13" s="30">
        <v>-26</v>
      </c>
      <c r="F13" s="31">
        <v>61</v>
      </c>
      <c r="G13" s="31">
        <v>534</v>
      </c>
      <c r="H13" s="32">
        <v>1.19</v>
      </c>
      <c r="I13" s="33">
        <f t="shared" ref="I13:I26" si="4">F13/D13</f>
        <v>2.761430511543685E-2</v>
      </c>
      <c r="J13" s="34"/>
      <c r="K13" s="34"/>
      <c r="L13" s="34"/>
      <c r="M13" s="34"/>
      <c r="N13" s="28"/>
      <c r="P13" s="35"/>
      <c r="W13" s="4"/>
    </row>
    <row r="14" spans="1:23" ht="15.75" customHeight="1" x14ac:dyDescent="0.4">
      <c r="A14" s="25"/>
      <c r="B14" s="29"/>
      <c r="C14" s="27" t="s">
        <v>70</v>
      </c>
      <c r="D14" s="30">
        <v>3341</v>
      </c>
      <c r="E14" s="30">
        <v>-43</v>
      </c>
      <c r="F14" s="31">
        <v>94</v>
      </c>
      <c r="G14" s="31">
        <v>544</v>
      </c>
      <c r="H14" s="32">
        <v>1.74</v>
      </c>
      <c r="I14" s="33">
        <f t="shared" si="4"/>
        <v>2.8135288835677941E-2</v>
      </c>
      <c r="J14" s="34"/>
      <c r="K14" s="34"/>
      <c r="L14" s="34"/>
      <c r="M14" s="34"/>
      <c r="N14" s="28"/>
      <c r="W14" s="4"/>
    </row>
    <row r="15" spans="1:23" ht="15.75" customHeight="1" x14ac:dyDescent="0.4">
      <c r="A15" s="25"/>
      <c r="B15" s="29"/>
      <c r="C15" s="27" t="s">
        <v>71</v>
      </c>
      <c r="D15" s="30">
        <v>4687</v>
      </c>
      <c r="E15" s="30">
        <v>-56</v>
      </c>
      <c r="F15" s="31">
        <v>161</v>
      </c>
      <c r="G15" s="31">
        <v>547</v>
      </c>
      <c r="H15" s="32">
        <v>2.96</v>
      </c>
      <c r="I15" s="33">
        <f t="shared" si="4"/>
        <v>3.4350330701941538E-2</v>
      </c>
      <c r="J15" s="34"/>
      <c r="K15" s="36"/>
      <c r="L15" s="34"/>
      <c r="M15" s="34"/>
      <c r="N15" s="28"/>
      <c r="W15" s="4"/>
    </row>
    <row r="16" spans="1:23" ht="15.75" customHeight="1" x14ac:dyDescent="0.4">
      <c r="A16" s="25"/>
      <c r="B16" s="29"/>
      <c r="C16" s="27" t="s">
        <v>72</v>
      </c>
      <c r="D16" s="30">
        <v>6439</v>
      </c>
      <c r="E16" s="30">
        <v>-72</v>
      </c>
      <c r="F16" s="31">
        <v>212</v>
      </c>
      <c r="G16" s="31">
        <v>562</v>
      </c>
      <c r="H16" s="32">
        <v>3.87</v>
      </c>
      <c r="I16" s="33">
        <f t="shared" si="4"/>
        <v>3.2924367137754311E-2</v>
      </c>
      <c r="J16" s="34"/>
      <c r="K16" s="34"/>
      <c r="L16" s="34"/>
      <c r="M16" s="34"/>
      <c r="N16" s="28"/>
      <c r="W16" s="4"/>
    </row>
    <row r="17" spans="1:31" ht="15.75" customHeight="1" x14ac:dyDescent="0.4">
      <c r="A17" s="25"/>
      <c r="B17" s="29"/>
      <c r="C17" s="27" t="s">
        <v>73</v>
      </c>
      <c r="D17" s="30">
        <v>8588</v>
      </c>
      <c r="E17" s="30">
        <v>-91</v>
      </c>
      <c r="F17" s="31">
        <v>321</v>
      </c>
      <c r="G17" s="31">
        <v>562</v>
      </c>
      <c r="H17" s="32">
        <v>5.72</v>
      </c>
      <c r="I17" s="33">
        <f t="shared" si="4"/>
        <v>3.737773637633908E-2</v>
      </c>
      <c r="J17" s="34"/>
      <c r="K17" s="34"/>
      <c r="L17" s="34"/>
      <c r="M17" s="34"/>
      <c r="N17" s="28"/>
      <c r="W17" s="4"/>
    </row>
    <row r="18" spans="1:31" ht="15.75" customHeight="1" x14ac:dyDescent="0.4">
      <c r="A18" s="25"/>
      <c r="B18" s="29">
        <v>135</v>
      </c>
      <c r="C18" s="27" t="s">
        <v>74</v>
      </c>
      <c r="D18" s="30">
        <v>11881</v>
      </c>
      <c r="E18" s="30">
        <v>-122</v>
      </c>
      <c r="F18" s="31">
        <v>483</v>
      </c>
      <c r="G18" s="31">
        <v>624</v>
      </c>
      <c r="H18" s="32">
        <v>8.56</v>
      </c>
      <c r="I18" s="33">
        <f t="shared" si="4"/>
        <v>4.065314367477485E-2</v>
      </c>
      <c r="J18" s="34"/>
      <c r="K18" s="34"/>
      <c r="L18" s="34"/>
      <c r="M18" s="34"/>
      <c r="N18" s="28"/>
      <c r="W18" s="4"/>
    </row>
    <row r="19" spans="1:31" ht="15.75" customHeight="1" x14ac:dyDescent="0.45">
      <c r="A19" s="37" t="s">
        <v>75</v>
      </c>
      <c r="B19" s="29">
        <v>155</v>
      </c>
      <c r="C19" s="27" t="s">
        <v>76</v>
      </c>
      <c r="D19" s="30">
        <v>15009</v>
      </c>
      <c r="E19" s="30">
        <v>-60</v>
      </c>
      <c r="F19" s="31">
        <v>785</v>
      </c>
      <c r="G19" s="31">
        <v>624</v>
      </c>
      <c r="H19" s="32">
        <v>12.57</v>
      </c>
      <c r="I19" s="33">
        <f t="shared" si="4"/>
        <v>5.2301952162036112E-2</v>
      </c>
      <c r="J19" s="38">
        <v>1387</v>
      </c>
      <c r="K19" s="39">
        <v>628.04999999999995</v>
      </c>
      <c r="L19" s="30">
        <f t="shared" ref="L19:L26" si="5">J19/H19</f>
        <v>110.34208432776451</v>
      </c>
      <c r="M19" s="30">
        <f t="shared" ref="M19:M26" si="6">K19/H19</f>
        <v>49.964200477326962</v>
      </c>
      <c r="N19" s="40">
        <f t="shared" ref="N19:N26" si="7">AVERAGE(L19:M19)</f>
        <v>80.15314240254574</v>
      </c>
      <c r="W19" s="4"/>
    </row>
    <row r="20" spans="1:31" ht="15.75" customHeight="1" x14ac:dyDescent="0.4">
      <c r="A20" s="25"/>
      <c r="B20" s="29">
        <v>176</v>
      </c>
      <c r="C20" s="27" t="s">
        <v>77</v>
      </c>
      <c r="D20" s="39">
        <v>20005</v>
      </c>
      <c r="E20" s="30">
        <v>-47</v>
      </c>
      <c r="F20" s="31">
        <v>903</v>
      </c>
      <c r="G20" s="31">
        <v>624</v>
      </c>
      <c r="H20" s="32">
        <v>14.46</v>
      </c>
      <c r="I20" s="33">
        <f t="shared" si="4"/>
        <v>4.5138715321169705E-2</v>
      </c>
      <c r="J20" s="38">
        <v>1699</v>
      </c>
      <c r="K20" s="39">
        <v>1126</v>
      </c>
      <c r="L20" s="30">
        <f t="shared" si="5"/>
        <v>117.49654218533885</v>
      </c>
      <c r="M20" s="30">
        <f t="shared" si="6"/>
        <v>77.869986168741349</v>
      </c>
      <c r="N20" s="40">
        <f t="shared" si="7"/>
        <v>97.683264177040101</v>
      </c>
      <c r="W20" s="4"/>
    </row>
    <row r="21" spans="1:31" ht="15.75" customHeight="1" x14ac:dyDescent="0.45">
      <c r="A21" s="25"/>
      <c r="B21" s="41">
        <v>214</v>
      </c>
      <c r="C21" s="27" t="s">
        <v>78</v>
      </c>
      <c r="D21" s="39">
        <v>24870</v>
      </c>
      <c r="E21" s="39">
        <v>-69</v>
      </c>
      <c r="F21" s="42">
        <v>1301</v>
      </c>
      <c r="G21" s="42">
        <v>648</v>
      </c>
      <c r="H21" s="43">
        <v>20.71</v>
      </c>
      <c r="I21" s="33">
        <f t="shared" si="4"/>
        <v>5.2312022517088864E-2</v>
      </c>
      <c r="J21" s="44">
        <v>2560</v>
      </c>
      <c r="K21" s="44">
        <v>1226</v>
      </c>
      <c r="L21" s="30">
        <f t="shared" si="5"/>
        <v>123.61178174794784</v>
      </c>
      <c r="M21" s="30">
        <f t="shared" si="6"/>
        <v>59.198454852728148</v>
      </c>
      <c r="N21" s="40">
        <f t="shared" si="7"/>
        <v>91.405118300337989</v>
      </c>
      <c r="W21" s="4"/>
    </row>
    <row r="22" spans="1:31" ht="15.75" customHeight="1" x14ac:dyDescent="0.45">
      <c r="A22" s="25"/>
      <c r="B22" s="41">
        <f>B21+22</f>
        <v>236</v>
      </c>
      <c r="C22" s="27" t="s">
        <v>79</v>
      </c>
      <c r="D22" s="39">
        <v>24143</v>
      </c>
      <c r="E22" s="39">
        <v>-42</v>
      </c>
      <c r="F22" s="42">
        <v>1033</v>
      </c>
      <c r="G22" s="42">
        <v>648</v>
      </c>
      <c r="H22" s="43">
        <v>16.97</v>
      </c>
      <c r="I22" s="33">
        <f t="shared" si="4"/>
        <v>4.2786729072609039E-2</v>
      </c>
      <c r="J22" s="44">
        <v>3330</v>
      </c>
      <c r="K22" s="44">
        <v>1955</v>
      </c>
      <c r="L22" s="30">
        <f t="shared" si="5"/>
        <v>196.22863877430763</v>
      </c>
      <c r="M22" s="30">
        <f t="shared" si="6"/>
        <v>115.20329994107249</v>
      </c>
      <c r="N22" s="40">
        <f t="shared" si="7"/>
        <v>155.71596935769006</v>
      </c>
      <c r="W22" s="4"/>
    </row>
    <row r="23" spans="1:31" ht="15.75" customHeight="1" x14ac:dyDescent="0.45">
      <c r="A23" s="25"/>
      <c r="B23" s="45">
        <v>284</v>
      </c>
      <c r="C23" s="27" t="s">
        <v>80</v>
      </c>
      <c r="D23" s="46">
        <v>30976</v>
      </c>
      <c r="E23" s="46">
        <v>-54</v>
      </c>
      <c r="F23" s="47">
        <v>1487</v>
      </c>
      <c r="G23" s="47">
        <v>648</v>
      </c>
      <c r="H23" s="48">
        <v>23.04</v>
      </c>
      <c r="I23" s="33">
        <f t="shared" si="4"/>
        <v>4.8004907024793389E-2</v>
      </c>
      <c r="J23" s="49">
        <v>5900</v>
      </c>
      <c r="K23" s="49">
        <v>2676</v>
      </c>
      <c r="L23" s="50">
        <f t="shared" si="5"/>
        <v>256.07638888888891</v>
      </c>
      <c r="M23" s="50">
        <f t="shared" si="6"/>
        <v>116.14583333333334</v>
      </c>
      <c r="N23" s="51">
        <f t="shared" si="7"/>
        <v>186.11111111111114</v>
      </c>
      <c r="W23" s="4"/>
    </row>
    <row r="24" spans="1:31" ht="15.75" customHeight="1" x14ac:dyDescent="0.4">
      <c r="A24" s="25"/>
      <c r="B24" s="52">
        <v>324</v>
      </c>
      <c r="C24" s="53" t="s">
        <v>81</v>
      </c>
      <c r="D24" s="54">
        <v>42839</v>
      </c>
      <c r="E24" s="54">
        <v>-67</v>
      </c>
      <c r="F24" s="54">
        <v>2373</v>
      </c>
      <c r="G24" s="54">
        <v>648</v>
      </c>
      <c r="H24" s="55">
        <v>36.72</v>
      </c>
      <c r="I24" s="33">
        <f t="shared" si="4"/>
        <v>5.5393449893788367E-2</v>
      </c>
      <c r="J24" s="56">
        <v>4609</v>
      </c>
      <c r="K24" s="57">
        <v>3186</v>
      </c>
      <c r="L24" s="50">
        <f t="shared" si="5"/>
        <v>125.51742919389979</v>
      </c>
      <c r="M24" s="50">
        <f t="shared" si="6"/>
        <v>86.764705882352942</v>
      </c>
      <c r="N24" s="51">
        <f t="shared" si="7"/>
        <v>106.14106753812636</v>
      </c>
      <c r="W24" s="4"/>
    </row>
    <row r="25" spans="1:31" ht="15.75" customHeight="1" x14ac:dyDescent="0.4">
      <c r="B25" s="52">
        <v>365</v>
      </c>
      <c r="C25" s="58" t="s">
        <v>82</v>
      </c>
      <c r="D25" s="54">
        <v>50788</v>
      </c>
      <c r="E25" s="7">
        <v>-58</v>
      </c>
      <c r="F25" s="54">
        <v>2535</v>
      </c>
      <c r="G25" s="54">
        <v>651</v>
      </c>
      <c r="H25" s="55">
        <v>38.99</v>
      </c>
      <c r="I25" s="33">
        <f t="shared" si="4"/>
        <v>4.9913365361896514E-2</v>
      </c>
      <c r="J25" s="56">
        <v>4560</v>
      </c>
      <c r="K25" s="57">
        <v>3352</v>
      </c>
      <c r="L25" s="50">
        <f t="shared" si="5"/>
        <v>116.95306488843292</v>
      </c>
      <c r="M25" s="50">
        <f t="shared" si="6"/>
        <v>85.970761733777891</v>
      </c>
      <c r="N25" s="51">
        <f t="shared" si="7"/>
        <v>101.46191331110541</v>
      </c>
      <c r="W25" s="4"/>
    </row>
    <row r="26" spans="1:31" ht="15.75" customHeight="1" x14ac:dyDescent="0.4">
      <c r="B26" s="52">
        <v>371</v>
      </c>
      <c r="C26" s="58" t="s">
        <v>83</v>
      </c>
      <c r="D26" s="54">
        <f>D25+R29-S29</f>
        <v>54812</v>
      </c>
      <c r="E26" s="7">
        <f>E25-R31+S31</f>
        <v>-60</v>
      </c>
      <c r="F26" s="54">
        <f>F25+R32-S32</f>
        <v>2686</v>
      </c>
      <c r="G26" s="54">
        <v>651</v>
      </c>
      <c r="H26" s="55">
        <v>41.31</v>
      </c>
      <c r="I26" s="33">
        <f t="shared" si="4"/>
        <v>4.9003867766182589E-2</v>
      </c>
      <c r="J26" s="56">
        <v>5485</v>
      </c>
      <c r="K26" s="57">
        <v>3656</v>
      </c>
      <c r="L26" s="50">
        <f t="shared" si="5"/>
        <v>132.77656741709029</v>
      </c>
      <c r="M26" s="50">
        <f t="shared" si="6"/>
        <v>88.501573468893724</v>
      </c>
      <c r="N26" s="51">
        <f t="shared" si="7"/>
        <v>110.63907044299201</v>
      </c>
    </row>
    <row r="27" spans="1:31" ht="15.75" customHeight="1" x14ac:dyDescent="0.3">
      <c r="Q27" s="59" t="s">
        <v>84</v>
      </c>
      <c r="R27" s="59" t="s">
        <v>85</v>
      </c>
      <c r="S27" s="59" t="s">
        <v>86</v>
      </c>
      <c r="T27" s="59" t="s">
        <v>29</v>
      </c>
      <c r="V27" s="59" t="s">
        <v>84</v>
      </c>
      <c r="W27" s="59" t="s">
        <v>87</v>
      </c>
      <c r="X27" s="59" t="s">
        <v>88</v>
      </c>
      <c r="Y27" s="59" t="s">
        <v>29</v>
      </c>
      <c r="AB27" s="59" t="s">
        <v>84</v>
      </c>
      <c r="AC27" s="59" t="s">
        <v>89</v>
      </c>
      <c r="AD27" s="59" t="s">
        <v>90</v>
      </c>
      <c r="AE27" s="59" t="s">
        <v>29</v>
      </c>
    </row>
    <row r="28" spans="1:31" ht="14.4" x14ac:dyDescent="0.3">
      <c r="A28" s="60" t="s">
        <v>29</v>
      </c>
      <c r="B28" s="61" t="s">
        <v>8</v>
      </c>
      <c r="C28" s="61" t="s">
        <v>56</v>
      </c>
      <c r="D28" s="59" t="s">
        <v>57</v>
      </c>
      <c r="E28" s="59" t="s">
        <v>58</v>
      </c>
      <c r="F28" s="59" t="s">
        <v>59</v>
      </c>
      <c r="G28" s="59" t="s">
        <v>60</v>
      </c>
      <c r="H28" s="59" t="s">
        <v>61</v>
      </c>
      <c r="I28" s="59" t="s">
        <v>62</v>
      </c>
      <c r="J28" s="59" t="s">
        <v>63</v>
      </c>
      <c r="K28" s="59" t="s">
        <v>64</v>
      </c>
      <c r="L28" s="59" t="s">
        <v>65</v>
      </c>
      <c r="M28" s="59" t="s">
        <v>66</v>
      </c>
      <c r="N28" s="59" t="s">
        <v>67</v>
      </c>
      <c r="Q28" s="62" t="s">
        <v>91</v>
      </c>
      <c r="R28" s="63">
        <v>5.5E-2</v>
      </c>
      <c r="S28" s="63">
        <v>8.5999999999999993E-2</v>
      </c>
      <c r="T28" s="64">
        <f>R28-S28</f>
        <v>-3.0999999999999993E-2</v>
      </c>
      <c r="U28" s="65"/>
      <c r="V28" s="62" t="s">
        <v>91</v>
      </c>
      <c r="W28" s="63">
        <v>9.0999999999999998E-2</v>
      </c>
      <c r="X28" s="63">
        <v>8.1000000000000003E-2</v>
      </c>
      <c r="Y28" s="64">
        <f>W28-X28</f>
        <v>9.999999999999995E-3</v>
      </c>
      <c r="AB28" s="62" t="s">
        <v>92</v>
      </c>
      <c r="AC28" s="66">
        <v>50788</v>
      </c>
      <c r="AD28" s="66">
        <v>42839</v>
      </c>
      <c r="AE28" s="64">
        <f t="shared" ref="AE28:AE33" si="8">(AC28/AD28)-1</f>
        <v>0.18555521837577915</v>
      </c>
    </row>
    <row r="29" spans="1:31" ht="14.4" x14ac:dyDescent="0.3">
      <c r="B29" s="67">
        <f>(B24/B13)^(1/12)-1</f>
        <v>0.15581727058763151</v>
      </c>
      <c r="C29" s="68" t="s">
        <v>93</v>
      </c>
      <c r="D29" s="67">
        <f t="shared" ref="D29:H29" si="9">(D25/D15)^(1/10)-1</f>
        <v>0.26907303304445862</v>
      </c>
      <c r="E29" s="67">
        <f t="shared" si="9"/>
        <v>3.515296192992734E-3</v>
      </c>
      <c r="F29" s="67">
        <f t="shared" si="9"/>
        <v>0.3173925670915887</v>
      </c>
      <c r="G29" s="67">
        <f t="shared" si="9"/>
        <v>1.7558452621724729E-2</v>
      </c>
      <c r="H29" s="67">
        <f t="shared" si="9"/>
        <v>0.294094979704554</v>
      </c>
      <c r="I29" s="69">
        <f>MEDIAN(I11:I25)</f>
        <v>4.2786729072609039E-2</v>
      </c>
      <c r="J29" s="70"/>
      <c r="K29" s="71"/>
      <c r="L29" s="72"/>
      <c r="M29" s="72"/>
      <c r="N29" s="72"/>
      <c r="Q29" s="62" t="s">
        <v>92</v>
      </c>
      <c r="R29" s="66">
        <v>28513</v>
      </c>
      <c r="S29" s="66">
        <v>24489</v>
      </c>
      <c r="T29" s="64">
        <f t="shared" ref="T29:T34" si="10">(R29/S29)-1</f>
        <v>0.16431867369022823</v>
      </c>
      <c r="V29" s="62" t="s">
        <v>92</v>
      </c>
      <c r="W29" s="66">
        <v>14069</v>
      </c>
      <c r="X29" s="66">
        <v>11865</v>
      </c>
      <c r="Y29" s="64">
        <f t="shared" ref="Y29:Y34" si="11">(W29/X29)-1</f>
        <v>0.18575642646439117</v>
      </c>
      <c r="AB29" s="62" t="s">
        <v>94</v>
      </c>
      <c r="AC29" s="66">
        <v>47473</v>
      </c>
      <c r="AD29" s="66">
        <v>39908</v>
      </c>
      <c r="AE29" s="64">
        <f t="shared" si="8"/>
        <v>0.18956099027763851</v>
      </c>
    </row>
    <row r="30" spans="1:31" ht="14.4" x14ac:dyDescent="0.3">
      <c r="A30" s="73"/>
      <c r="B30" s="67">
        <f>(B25/B20)^(1/5)-1</f>
        <v>0.15706042416417576</v>
      </c>
      <c r="C30" s="74" t="s">
        <v>95</v>
      </c>
      <c r="D30" s="67">
        <f t="shared" ref="D30:H30" si="12">(D25/D20)^(1/5)-1</f>
        <v>0.20482649952547405</v>
      </c>
      <c r="E30" s="67">
        <f t="shared" si="12"/>
        <v>4.295609661987454E-2</v>
      </c>
      <c r="F30" s="67">
        <f t="shared" si="12"/>
        <v>0.22930045586201975</v>
      </c>
      <c r="G30" s="67">
        <f t="shared" si="12"/>
        <v>8.507842485215189E-3</v>
      </c>
      <c r="H30" s="67">
        <f t="shared" si="12"/>
        <v>0.21943031802789914</v>
      </c>
      <c r="I30" s="75">
        <f>MEDIAN(I20:I25)</f>
        <v>4.8959136193344951E-2</v>
      </c>
      <c r="J30" s="67">
        <f t="shared" ref="J30:K30" si="13">(J25/J20)^(1/5)-1</f>
        <v>0.21830013619263799</v>
      </c>
      <c r="K30" s="67">
        <f t="shared" si="13"/>
        <v>0.24380736442828632</v>
      </c>
      <c r="L30" s="76">
        <f t="shared" ref="L30:M30" si="14">MEDIAN(L20:L25)</f>
        <v>124.56460547092382</v>
      </c>
      <c r="M30" s="76">
        <f t="shared" si="14"/>
        <v>86.367733808065424</v>
      </c>
      <c r="N30" s="76">
        <f t="shared" ref="N30:N31" si="15">AVERAGE(L30:M30)</f>
        <v>105.46616963949462</v>
      </c>
      <c r="Q30" s="62" t="s">
        <v>94</v>
      </c>
      <c r="R30" s="66">
        <v>26631</v>
      </c>
      <c r="S30" s="66">
        <v>22816</v>
      </c>
      <c r="T30" s="64">
        <f t="shared" si="10"/>
        <v>0.16720722300140256</v>
      </c>
      <c r="V30" s="62" t="s">
        <v>94</v>
      </c>
      <c r="W30" s="66">
        <v>13057</v>
      </c>
      <c r="X30" s="66">
        <v>11007</v>
      </c>
      <c r="Y30" s="64">
        <f t="shared" si="11"/>
        <v>0.18624511674389033</v>
      </c>
      <c r="AB30" s="62" t="s">
        <v>96</v>
      </c>
      <c r="AC30" s="66">
        <v>58</v>
      </c>
      <c r="AD30" s="66">
        <v>67</v>
      </c>
      <c r="AE30" s="64">
        <f t="shared" si="8"/>
        <v>-0.13432835820895528</v>
      </c>
    </row>
    <row r="31" spans="1:31" ht="14.4" x14ac:dyDescent="0.3">
      <c r="A31" s="73"/>
      <c r="B31" s="67">
        <f>(B25/B24)-1</f>
        <v>0.12654320987654311</v>
      </c>
      <c r="C31" s="68" t="s">
        <v>97</v>
      </c>
      <c r="D31" s="67">
        <f t="shared" ref="D31:H31" si="16">(D25/D24)-1</f>
        <v>0.18555521837577915</v>
      </c>
      <c r="E31" s="67">
        <f t="shared" si="16"/>
        <v>-0.13432835820895528</v>
      </c>
      <c r="F31" s="67">
        <f t="shared" si="16"/>
        <v>6.8268015170670049E-2</v>
      </c>
      <c r="G31" s="67">
        <f t="shared" si="16"/>
        <v>4.6296296296295392E-3</v>
      </c>
      <c r="H31" s="67">
        <f t="shared" si="16"/>
        <v>6.1819172113289911E-2</v>
      </c>
      <c r="I31" s="69">
        <f>I25</f>
        <v>4.9913365361896514E-2</v>
      </c>
      <c r="J31" s="67">
        <f t="shared" ref="J31:K31" si="17">(J25/J24)-1</f>
        <v>-1.0631373399869859E-2</v>
      </c>
      <c r="K31" s="67">
        <f t="shared" si="17"/>
        <v>5.2102950408035253E-2</v>
      </c>
      <c r="L31" s="71">
        <f t="shared" ref="L31:M31" si="18">L25</f>
        <v>116.95306488843292</v>
      </c>
      <c r="M31" s="71">
        <f t="shared" si="18"/>
        <v>85.970761733777891</v>
      </c>
      <c r="N31" s="77">
        <f t="shared" si="15"/>
        <v>101.46191331110541</v>
      </c>
      <c r="Q31" s="62" t="s">
        <v>96</v>
      </c>
      <c r="R31" s="66">
        <v>32</v>
      </c>
      <c r="S31" s="66">
        <v>30</v>
      </c>
      <c r="T31" s="64">
        <f t="shared" si="10"/>
        <v>6.6666666666666652E-2</v>
      </c>
      <c r="V31" s="62" t="s">
        <v>96</v>
      </c>
      <c r="W31" s="66">
        <v>15.96</v>
      </c>
      <c r="X31" s="66">
        <v>14.57</v>
      </c>
      <c r="Y31" s="64">
        <f t="shared" si="11"/>
        <v>9.5401509951956065E-2</v>
      </c>
      <c r="AB31" s="62" t="s">
        <v>98</v>
      </c>
      <c r="AC31" s="66">
        <v>2535</v>
      </c>
      <c r="AD31" s="66">
        <v>2373</v>
      </c>
      <c r="AE31" s="64">
        <f t="shared" si="8"/>
        <v>6.8268015170670049E-2</v>
      </c>
    </row>
    <row r="32" spans="1:31" ht="14.4" x14ac:dyDescent="0.3">
      <c r="A32" s="73"/>
      <c r="L32" s="4"/>
      <c r="M32" s="4"/>
      <c r="N32" s="4"/>
      <c r="Q32" s="62" t="s">
        <v>98</v>
      </c>
      <c r="R32" s="66">
        <v>1433</v>
      </c>
      <c r="S32" s="66">
        <v>1282</v>
      </c>
      <c r="T32" s="64">
        <f t="shared" si="10"/>
        <v>0.11778471138845559</v>
      </c>
      <c r="V32" s="62" t="s">
        <v>98</v>
      </c>
      <c r="W32" s="66">
        <v>773</v>
      </c>
      <c r="X32" s="66">
        <v>658</v>
      </c>
      <c r="Y32" s="64">
        <f t="shared" si="11"/>
        <v>0.17477203647416406</v>
      </c>
      <c r="AB32" s="62" t="s">
        <v>61</v>
      </c>
      <c r="AC32" s="66">
        <v>38.99</v>
      </c>
      <c r="AD32" s="66">
        <v>36.72</v>
      </c>
      <c r="AE32" s="64">
        <f t="shared" si="8"/>
        <v>6.1819172113289911E-2</v>
      </c>
    </row>
    <row r="33" spans="1:31" ht="14.4" x14ac:dyDescent="0.3">
      <c r="A33" s="78" t="s">
        <v>99</v>
      </c>
      <c r="B33" s="79" t="s">
        <v>8</v>
      </c>
      <c r="C33" s="79" t="s">
        <v>100</v>
      </c>
      <c r="D33" s="80" t="s">
        <v>101</v>
      </c>
      <c r="E33" s="80" t="s">
        <v>102</v>
      </c>
      <c r="F33" s="80" t="s">
        <v>103</v>
      </c>
      <c r="G33" s="80" t="s">
        <v>61</v>
      </c>
      <c r="I33" s="80" t="s">
        <v>104</v>
      </c>
      <c r="J33" s="59" t="s">
        <v>105</v>
      </c>
      <c r="K33" s="59" t="s">
        <v>89</v>
      </c>
      <c r="L33" s="59" t="s">
        <v>87</v>
      </c>
      <c r="M33" s="59" t="s">
        <v>85</v>
      </c>
      <c r="N33" s="80" t="s">
        <v>106</v>
      </c>
      <c r="Q33" s="62" t="s">
        <v>61</v>
      </c>
      <c r="R33" s="66">
        <v>22.03</v>
      </c>
      <c r="S33" s="66">
        <v>19.72</v>
      </c>
      <c r="T33" s="64">
        <f t="shared" si="10"/>
        <v>0.1171399594320488</v>
      </c>
      <c r="U33" s="65"/>
      <c r="V33" s="62" t="s">
        <v>61</v>
      </c>
      <c r="W33" s="66">
        <v>11.89</v>
      </c>
      <c r="X33" s="66">
        <v>10.14</v>
      </c>
      <c r="Y33" s="64">
        <f t="shared" si="11"/>
        <v>0.17258382642998016</v>
      </c>
      <c r="AB33" s="62" t="s">
        <v>43</v>
      </c>
      <c r="AC33" s="81">
        <f t="shared" ref="AC33:AD33" si="19">(AC28-AC29+AC30)/AC30</f>
        <v>58.155172413793103</v>
      </c>
      <c r="AD33" s="81">
        <f t="shared" si="19"/>
        <v>44.746268656716417</v>
      </c>
      <c r="AE33" s="64">
        <f t="shared" si="8"/>
        <v>0.29966529410411535</v>
      </c>
    </row>
    <row r="34" spans="1:31" ht="14.4" x14ac:dyDescent="0.3">
      <c r="A34" s="73"/>
      <c r="B34" s="82">
        <v>0.1</v>
      </c>
      <c r="C34" s="83" t="s">
        <v>107</v>
      </c>
      <c r="D34" s="82">
        <v>0.2</v>
      </c>
      <c r="E34" s="84">
        <v>0.2</v>
      </c>
      <c r="F34" s="85">
        <f>AVERAGE(I29:I31)</f>
        <v>4.7219743542616842E-2</v>
      </c>
      <c r="G34" s="85">
        <v>0.2</v>
      </c>
      <c r="I34" s="86" t="s">
        <v>9</v>
      </c>
      <c r="J34" s="87">
        <v>0.16</v>
      </c>
      <c r="K34" s="87">
        <v>0.19</v>
      </c>
      <c r="L34" s="87">
        <v>0.19</v>
      </c>
      <c r="M34" s="87">
        <v>0.16</v>
      </c>
      <c r="N34" s="87">
        <v>0.15</v>
      </c>
      <c r="Q34" s="62" t="s">
        <v>43</v>
      </c>
      <c r="R34" s="81">
        <f t="shared" ref="R34:S34" si="20">(R29-R30+R31)/R31</f>
        <v>59.8125</v>
      </c>
      <c r="S34" s="81">
        <f t="shared" si="20"/>
        <v>56.766666666666666</v>
      </c>
      <c r="T34" s="64">
        <f t="shared" si="10"/>
        <v>5.3655314151497269E-2</v>
      </c>
      <c r="V34" s="62" t="s">
        <v>43</v>
      </c>
      <c r="W34" s="81">
        <f t="shared" ref="W34:X34" si="21">(W29-W30+W31)/W31</f>
        <v>64.408521303258141</v>
      </c>
      <c r="X34" s="81">
        <f t="shared" si="21"/>
        <v>59.888126286890873</v>
      </c>
      <c r="Y34" s="64">
        <f t="shared" si="11"/>
        <v>7.5480655292379017E-2</v>
      </c>
      <c r="AB34" s="62" t="s">
        <v>103</v>
      </c>
      <c r="AC34" s="88">
        <f t="shared" ref="AC34:AD34" si="22">AC31/AC28</f>
        <v>4.9913365361896514E-2</v>
      </c>
      <c r="AD34" s="88">
        <f t="shared" si="22"/>
        <v>5.5393449893788367E-2</v>
      </c>
      <c r="AE34" s="89">
        <f t="shared" ref="AE34:AE35" si="23">AC34-AD34</f>
        <v>-5.4800845318918531E-3</v>
      </c>
    </row>
    <row r="35" spans="1:31" ht="14.4" x14ac:dyDescent="0.3">
      <c r="A35" s="73"/>
      <c r="B35" s="82">
        <v>0.1</v>
      </c>
      <c r="C35" s="83" t="s">
        <v>97</v>
      </c>
      <c r="D35" s="84">
        <v>0.15</v>
      </c>
      <c r="E35" s="84">
        <f>(E38/F25)-1</f>
        <v>0.15199605522682447</v>
      </c>
      <c r="F35" s="85">
        <v>0.05</v>
      </c>
      <c r="G35" s="84">
        <v>0.15</v>
      </c>
      <c r="I35" s="86" t="s">
        <v>10</v>
      </c>
      <c r="J35" s="87">
        <v>0.02</v>
      </c>
      <c r="K35" s="87">
        <v>7.0000000000000007E-2</v>
      </c>
      <c r="L35" s="87">
        <v>0.17</v>
      </c>
      <c r="M35" s="87">
        <v>0.12</v>
      </c>
      <c r="N35" s="87">
        <v>0.15</v>
      </c>
      <c r="P35" s="4">
        <v>336</v>
      </c>
      <c r="Q35" s="62" t="s">
        <v>103</v>
      </c>
      <c r="R35" s="88">
        <f t="shared" ref="R35:S35" si="24">R32/R29</f>
        <v>5.0257777154280502E-2</v>
      </c>
      <c r="S35" s="88">
        <f t="shared" si="24"/>
        <v>5.2350034709461389E-2</v>
      </c>
      <c r="T35" s="89">
        <f t="shared" ref="T35:T36" si="25">R35-S35</f>
        <v>-2.0922575551808875E-3</v>
      </c>
      <c r="V35" s="62" t="s">
        <v>103</v>
      </c>
      <c r="W35" s="88">
        <f t="shared" ref="W35:X35" si="26">W32/W29</f>
        <v>5.4943492785556901E-2</v>
      </c>
      <c r="X35" s="88">
        <f t="shared" si="26"/>
        <v>5.5457227138643067E-2</v>
      </c>
      <c r="Y35" s="89">
        <f t="shared" ref="Y35:Y36" si="27">W35-X35</f>
        <v>-5.1373435308616627E-4</v>
      </c>
      <c r="AB35" s="62" t="s">
        <v>108</v>
      </c>
      <c r="AC35" s="81">
        <v>365</v>
      </c>
      <c r="AD35" s="81">
        <v>324</v>
      </c>
      <c r="AE35" s="90">
        <f t="shared" si="23"/>
        <v>41</v>
      </c>
    </row>
    <row r="36" spans="1:31" ht="14.4" x14ac:dyDescent="0.3">
      <c r="A36" s="4"/>
      <c r="B36" s="4"/>
      <c r="C36" s="4"/>
      <c r="D36" s="65"/>
      <c r="E36" s="91"/>
      <c r="F36" s="92"/>
      <c r="G36" s="92"/>
      <c r="I36" s="86" t="s">
        <v>103</v>
      </c>
      <c r="J36" s="85">
        <v>5.6000000000000001E-2</v>
      </c>
      <c r="K36" s="85">
        <v>0.05</v>
      </c>
      <c r="L36" s="85">
        <v>5.5E-2</v>
      </c>
      <c r="M36" s="85">
        <v>0.05</v>
      </c>
      <c r="N36" s="85">
        <v>0.05</v>
      </c>
      <c r="Q36" s="62" t="s">
        <v>108</v>
      </c>
      <c r="R36" s="81">
        <v>377</v>
      </c>
      <c r="S36" s="81">
        <v>336</v>
      </c>
      <c r="T36" s="90">
        <f t="shared" si="25"/>
        <v>41</v>
      </c>
      <c r="V36" s="62" t="s">
        <v>108</v>
      </c>
      <c r="W36" s="81">
        <v>371</v>
      </c>
      <c r="X36" s="81">
        <v>324</v>
      </c>
      <c r="Y36" s="90">
        <f t="shared" si="27"/>
        <v>47</v>
      </c>
    </row>
    <row r="37" spans="1:31" ht="14.4" x14ac:dyDescent="0.3">
      <c r="A37" s="60" t="s">
        <v>109</v>
      </c>
      <c r="B37" s="79" t="s">
        <v>8</v>
      </c>
      <c r="C37" s="61" t="s">
        <v>100</v>
      </c>
      <c r="D37" s="59" t="s">
        <v>101</v>
      </c>
      <c r="E37" s="59" t="s">
        <v>102</v>
      </c>
      <c r="F37" s="59" t="s">
        <v>61</v>
      </c>
      <c r="G37" s="59" t="s">
        <v>110</v>
      </c>
      <c r="N37" s="4"/>
    </row>
    <row r="38" spans="1:31" ht="14.4" x14ac:dyDescent="0.3">
      <c r="A38" s="73"/>
      <c r="B38" s="93">
        <f>FV(B35,1,0,-B25,0)</f>
        <v>401.50000000000006</v>
      </c>
      <c r="C38" s="94" t="s">
        <v>111</v>
      </c>
      <c r="D38" s="93">
        <f>FV(D35,1,0,-D25,0)</f>
        <v>58406.2</v>
      </c>
      <c r="E38" s="95">
        <f>D38*F35</f>
        <v>2920.31</v>
      </c>
      <c r="F38" s="96">
        <f>FV(G35,1,0,-H25,0)</f>
        <v>44.838499999999996</v>
      </c>
      <c r="G38" s="97">
        <f>F38*75</f>
        <v>3362.8874999999998</v>
      </c>
      <c r="I38" s="78" t="s">
        <v>112</v>
      </c>
      <c r="J38" s="78" t="s">
        <v>113</v>
      </c>
      <c r="K38" s="78" t="s">
        <v>114</v>
      </c>
      <c r="L38" s="78" t="s">
        <v>115</v>
      </c>
      <c r="M38" s="78" t="s">
        <v>116</v>
      </c>
      <c r="N38" s="78" t="s">
        <v>117</v>
      </c>
      <c r="O38" s="98"/>
      <c r="Q38" s="78" t="s">
        <v>118</v>
      </c>
      <c r="R38" s="59" t="s">
        <v>85</v>
      </c>
      <c r="S38" s="59" t="s">
        <v>86</v>
      </c>
      <c r="T38" s="78" t="s">
        <v>119</v>
      </c>
      <c r="U38" s="78" t="s">
        <v>29</v>
      </c>
    </row>
    <row r="39" spans="1:31" ht="14.4" x14ac:dyDescent="0.3">
      <c r="A39" s="99"/>
      <c r="B39" s="95">
        <f>FV(B34,6,0,-B38,0)</f>
        <v>711.28174150000041</v>
      </c>
      <c r="C39" s="100" t="s">
        <v>120</v>
      </c>
      <c r="D39" s="95">
        <f>FV(D34,5,0,-D38,0)</f>
        <v>145333.315584</v>
      </c>
      <c r="E39" s="95">
        <f>D39*F34</f>
        <v>6862.6018900746794</v>
      </c>
      <c r="F39" s="95">
        <f>(E39*F38)/E38</f>
        <v>105.36853102859405</v>
      </c>
      <c r="G39" s="97">
        <f>F39*70</f>
        <v>7375.797172001583</v>
      </c>
      <c r="I39" s="78" t="s">
        <v>112</v>
      </c>
      <c r="J39" s="101">
        <v>10.62</v>
      </c>
      <c r="K39" s="101">
        <v>8.66</v>
      </c>
      <c r="L39" s="101">
        <v>11.89</v>
      </c>
      <c r="M39" s="101">
        <v>10.14</v>
      </c>
      <c r="N39" s="102">
        <f>SUM(J39:M39)</f>
        <v>41.31</v>
      </c>
      <c r="O39" s="98"/>
      <c r="Q39" s="103" t="s">
        <v>121</v>
      </c>
      <c r="R39" s="103">
        <v>25217</v>
      </c>
      <c r="S39" s="103">
        <v>21528</v>
      </c>
      <c r="T39" s="104">
        <f t="shared" ref="T39:T44" si="28">R39/$R$46</f>
        <v>0.94693954187007134</v>
      </c>
      <c r="U39" s="104">
        <f t="shared" ref="U39:U44" si="29">(R39/S39)^(1/1)-1</f>
        <v>0.17135823114083992</v>
      </c>
    </row>
    <row r="40" spans="1:31" ht="14.4" x14ac:dyDescent="0.3">
      <c r="B40" s="95">
        <f>FV(10%,5,0,-B39,0)</f>
        <v>1145.5263575031661</v>
      </c>
      <c r="C40" s="100" t="s">
        <v>122</v>
      </c>
      <c r="D40" s="95">
        <f t="shared" ref="D40:F40" si="30">FV(15%,5,0,-D39,0)</f>
        <v>292317.20888308407</v>
      </c>
      <c r="E40" s="95">
        <f t="shared" si="30"/>
        <v>13803.143636552788</v>
      </c>
      <c r="F40" s="95">
        <f t="shared" si="30"/>
        <v>211.93375222067934</v>
      </c>
      <c r="G40" s="97">
        <f>F40*60</f>
        <v>12716.025133240761</v>
      </c>
      <c r="I40" s="98"/>
      <c r="J40" s="98"/>
      <c r="K40" s="91"/>
      <c r="L40" s="91"/>
      <c r="M40" s="91"/>
      <c r="N40" s="91"/>
      <c r="Q40" s="103" t="s">
        <v>123</v>
      </c>
      <c r="R40" s="105">
        <v>-1051</v>
      </c>
      <c r="S40" s="103">
        <v>-693</v>
      </c>
      <c r="T40" s="104">
        <f t="shared" si="28"/>
        <v>-3.9466766804355992E-2</v>
      </c>
      <c r="U40" s="104">
        <f t="shared" si="29"/>
        <v>0.5165945165945165</v>
      </c>
    </row>
    <row r="41" spans="1:31" ht="14.4" x14ac:dyDescent="0.3">
      <c r="A41" s="4"/>
      <c r="B41" s="106"/>
      <c r="G41" s="4"/>
      <c r="I41" s="107" t="s">
        <v>124</v>
      </c>
      <c r="J41" s="107" t="s">
        <v>11</v>
      </c>
      <c r="K41" s="107" t="s">
        <v>125</v>
      </c>
      <c r="L41" s="107" t="s">
        <v>126</v>
      </c>
      <c r="O41" s="98"/>
      <c r="Q41" s="103" t="s">
        <v>127</v>
      </c>
      <c r="R41" s="103">
        <v>551</v>
      </c>
      <c r="S41" s="103">
        <v>431</v>
      </c>
      <c r="T41" s="104">
        <f t="shared" si="28"/>
        <v>2.0690950056327449E-2</v>
      </c>
      <c r="U41" s="104">
        <f t="shared" si="29"/>
        <v>0.27842227378190265</v>
      </c>
    </row>
    <row r="42" spans="1:31" ht="13.8" x14ac:dyDescent="0.3">
      <c r="D42" s="106"/>
      <c r="E42" s="106"/>
      <c r="F42" s="106"/>
      <c r="G42" s="106"/>
      <c r="I42" s="108">
        <v>38.99</v>
      </c>
      <c r="J42" s="108">
        <v>41.31</v>
      </c>
      <c r="K42" s="108">
        <f>F38</f>
        <v>44.838499999999996</v>
      </c>
      <c r="L42" s="109">
        <f ca="1">K44/15</f>
        <v>6.2307317744051804</v>
      </c>
      <c r="N42" s="91"/>
      <c r="Q42" s="103" t="s">
        <v>96</v>
      </c>
      <c r="R42" s="105">
        <v>32</v>
      </c>
      <c r="S42" s="103">
        <v>30</v>
      </c>
      <c r="T42" s="104">
        <f t="shared" si="28"/>
        <v>1.2016522718738265E-3</v>
      </c>
      <c r="U42" s="104">
        <f t="shared" si="29"/>
        <v>6.6666666666666652E-2</v>
      </c>
      <c r="Y42" s="106"/>
      <c r="Z42" s="106"/>
      <c r="AA42" s="106"/>
      <c r="AB42" s="106"/>
      <c r="AC42" s="106"/>
      <c r="AD42" s="106"/>
      <c r="AE42" s="106"/>
    </row>
    <row r="43" spans="1:31" ht="14.4" x14ac:dyDescent="0.3">
      <c r="D43" s="106"/>
      <c r="E43" s="106"/>
      <c r="F43" s="106"/>
      <c r="G43" s="4"/>
      <c r="H43" s="106"/>
      <c r="I43" s="107" t="s">
        <v>128</v>
      </c>
      <c r="J43" s="107" t="s">
        <v>129</v>
      </c>
      <c r="K43" s="107" t="s">
        <v>130</v>
      </c>
      <c r="L43" s="110"/>
      <c r="M43" s="98"/>
      <c r="N43" s="98"/>
      <c r="Q43" s="103" t="s">
        <v>131</v>
      </c>
      <c r="R43" s="105">
        <v>400</v>
      </c>
      <c r="S43" s="103">
        <v>336</v>
      </c>
      <c r="T43" s="104">
        <f t="shared" si="28"/>
        <v>1.5020653398422831E-2</v>
      </c>
      <c r="U43" s="104">
        <f t="shared" si="29"/>
        <v>0.19047619047619047</v>
      </c>
      <c r="W43" s="4"/>
      <c r="Y43" s="106"/>
      <c r="Z43" s="106"/>
      <c r="AA43" s="106"/>
      <c r="AB43" s="106"/>
      <c r="AC43" s="106"/>
      <c r="AD43" s="106"/>
      <c r="AE43" s="106"/>
    </row>
    <row r="44" spans="1:31" ht="13.8" x14ac:dyDescent="0.3">
      <c r="D44" s="106"/>
      <c r="E44" s="106"/>
      <c r="F44" s="106"/>
      <c r="G44" s="4"/>
      <c r="I44" s="111">
        <f>C4/I42</f>
        <v>116.0553988202103</v>
      </c>
      <c r="J44" s="111">
        <f ca="1">C3/J42</f>
        <v>101.44396030016944</v>
      </c>
      <c r="K44" s="111">
        <f ca="1">C3/K42</f>
        <v>93.460976616077701</v>
      </c>
      <c r="L44" s="112"/>
      <c r="M44" s="4"/>
      <c r="N44" s="91"/>
      <c r="Q44" s="103" t="s">
        <v>132</v>
      </c>
      <c r="R44" s="103">
        <v>1481</v>
      </c>
      <c r="S44" s="103">
        <v>1184</v>
      </c>
      <c r="T44" s="104">
        <f t="shared" si="28"/>
        <v>5.5613969207660534E-2</v>
      </c>
      <c r="U44" s="104">
        <f t="shared" si="29"/>
        <v>0.25084459459459452</v>
      </c>
      <c r="W44" s="106"/>
    </row>
    <row r="45" spans="1:31" ht="13.8" x14ac:dyDescent="0.3">
      <c r="Q45" s="113"/>
      <c r="R45" s="113"/>
      <c r="S45" s="113"/>
      <c r="T45" s="114"/>
      <c r="U45" s="114"/>
      <c r="V45" s="4"/>
      <c r="W45" s="106"/>
    </row>
    <row r="46" spans="1:31" ht="14.4" x14ac:dyDescent="0.3">
      <c r="D46" s="4"/>
      <c r="E46" s="4"/>
      <c r="F46" s="4"/>
      <c r="G46" s="4"/>
      <c r="I46" s="60" t="s">
        <v>133</v>
      </c>
      <c r="J46" s="60" t="s">
        <v>134</v>
      </c>
      <c r="K46" s="60">
        <v>2022</v>
      </c>
      <c r="Q46" s="115" t="s">
        <v>25</v>
      </c>
      <c r="R46" s="115">
        <f t="shared" ref="R46:S46" si="31">SUM(R39:R45)</f>
        <v>26630</v>
      </c>
      <c r="S46" s="115">
        <f t="shared" si="31"/>
        <v>22816</v>
      </c>
      <c r="T46" s="116">
        <f>R46/$R$46</f>
        <v>1</v>
      </c>
      <c r="U46" s="117">
        <f>(R46/S46)^(1/1)-1</f>
        <v>0.16716339410939685</v>
      </c>
      <c r="V46" s="106"/>
      <c r="W46" s="106"/>
      <c r="X46" s="106"/>
    </row>
    <row r="47" spans="1:31" ht="14.4" x14ac:dyDescent="0.3">
      <c r="A47" s="4"/>
      <c r="B47" s="106"/>
      <c r="C47" s="4"/>
      <c r="D47" s="106"/>
      <c r="E47" s="106"/>
      <c r="F47" s="106"/>
      <c r="I47" s="4"/>
      <c r="J47" s="118" t="s">
        <v>135</v>
      </c>
      <c r="K47" s="119">
        <v>0.74990000000000001</v>
      </c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</row>
    <row r="48" spans="1:31" ht="14.4" x14ac:dyDescent="0.3">
      <c r="A48" s="4"/>
      <c r="C48" s="4"/>
      <c r="D48" s="106"/>
      <c r="E48" s="106"/>
      <c r="F48" s="106"/>
      <c r="I48" s="4"/>
      <c r="J48" s="118" t="s">
        <v>136</v>
      </c>
      <c r="K48" s="119">
        <f>6.25%+0.05%+0.02%+0.45%</f>
        <v>6.770000000000001E-2</v>
      </c>
    </row>
    <row r="49" spans="1:31" ht="14.4" x14ac:dyDescent="0.3">
      <c r="A49" s="4"/>
      <c r="I49" s="4"/>
      <c r="J49" s="118" t="s">
        <v>137</v>
      </c>
      <c r="K49" s="120">
        <v>8.8300000000000003E-2</v>
      </c>
      <c r="Q49" s="4"/>
      <c r="R49" s="4"/>
      <c r="V49" s="4"/>
    </row>
    <row r="50" spans="1:31" ht="14.4" x14ac:dyDescent="0.3">
      <c r="A50" s="4"/>
      <c r="B50" s="4"/>
      <c r="C50" s="4"/>
      <c r="D50" s="4"/>
      <c r="E50" s="4"/>
      <c r="F50" s="4"/>
      <c r="G50" s="4"/>
      <c r="H50" s="92"/>
      <c r="I50" s="4"/>
      <c r="J50" s="118" t="s">
        <v>138</v>
      </c>
      <c r="K50" s="120">
        <v>8.6999999999999994E-2</v>
      </c>
      <c r="L50" s="4"/>
      <c r="M50" s="4"/>
      <c r="N50" s="4"/>
      <c r="O50" s="4"/>
      <c r="P50" s="4"/>
      <c r="Q50" s="4"/>
      <c r="R50" s="4"/>
      <c r="S50" s="4"/>
      <c r="U50" s="4"/>
      <c r="V50" s="4"/>
      <c r="W50" s="4"/>
      <c r="X50" s="4"/>
      <c r="Y50" s="4"/>
      <c r="Z50" s="106"/>
      <c r="AA50" s="106"/>
      <c r="AB50" s="106"/>
      <c r="AC50" s="106"/>
      <c r="AD50" s="106"/>
      <c r="AE50" s="106"/>
    </row>
    <row r="51" spans="1:31" ht="13.8" x14ac:dyDescent="0.3">
      <c r="A51" s="4"/>
      <c r="B51" s="92"/>
      <c r="C51" s="4"/>
      <c r="D51" s="92"/>
      <c r="E51" s="92"/>
      <c r="F51" s="92"/>
      <c r="G51" s="91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06"/>
      <c r="U51" s="4"/>
      <c r="V51" s="4"/>
      <c r="W51" s="4"/>
      <c r="X51" s="106"/>
      <c r="Y51" s="106"/>
    </row>
    <row r="52" spans="1:31" ht="13.8" x14ac:dyDescent="0.3">
      <c r="A52" s="4"/>
      <c r="B52" s="92"/>
      <c r="C52" s="4"/>
      <c r="D52" s="92"/>
      <c r="E52" s="92"/>
      <c r="F52" s="92"/>
      <c r="G52" s="91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06"/>
      <c r="U52" s="4"/>
      <c r="V52" s="4"/>
      <c r="W52" s="4"/>
      <c r="X52" s="106"/>
      <c r="Y52" s="106"/>
    </row>
    <row r="53" spans="1:31" ht="13.8" x14ac:dyDescent="0.3">
      <c r="A53" s="4"/>
      <c r="B53" s="92"/>
      <c r="C53" s="4"/>
      <c r="D53" s="92"/>
      <c r="E53" s="92"/>
      <c r="F53" s="92"/>
      <c r="G53" s="9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06"/>
      <c r="U53" s="4"/>
      <c r="V53" s="4"/>
      <c r="W53" s="4"/>
      <c r="X53" s="106"/>
      <c r="Y53" s="106"/>
    </row>
    <row r="54" spans="1:31" ht="13.8" x14ac:dyDescent="0.3">
      <c r="A54" s="4"/>
      <c r="B54" s="92"/>
      <c r="C54" s="4"/>
      <c r="D54" s="92"/>
      <c r="E54" s="92"/>
      <c r="F54" s="92"/>
      <c r="G54" s="91"/>
      <c r="H54" s="92"/>
      <c r="I54" s="4"/>
      <c r="J54" s="91"/>
      <c r="K54" s="91"/>
      <c r="L54" s="4"/>
      <c r="M54" s="4"/>
      <c r="N54" s="4"/>
      <c r="O54" s="4"/>
      <c r="P54" s="4"/>
      <c r="Q54" s="4"/>
      <c r="R54" s="4"/>
      <c r="S54" s="106"/>
      <c r="U54" s="4"/>
      <c r="V54" s="4"/>
      <c r="W54" s="4"/>
      <c r="X54" s="106"/>
      <c r="Y54" s="106"/>
    </row>
    <row r="55" spans="1:31" ht="13.8" x14ac:dyDescent="0.3">
      <c r="A55" s="4"/>
      <c r="B55" s="4"/>
      <c r="C55" s="4"/>
      <c r="D55" s="92"/>
      <c r="E55" s="92"/>
      <c r="F55" s="92"/>
      <c r="G55" s="92"/>
      <c r="H55" s="92"/>
      <c r="I55" s="4"/>
      <c r="J55" s="4"/>
      <c r="K55" s="4"/>
      <c r="L55" s="4"/>
      <c r="M55" s="4"/>
      <c r="N55" s="4"/>
      <c r="O55" s="4"/>
      <c r="P55" s="4"/>
      <c r="Q55" s="4"/>
      <c r="R55" s="4"/>
      <c r="S55" s="106"/>
      <c r="U55" s="4"/>
      <c r="V55" s="4"/>
      <c r="W55" s="4"/>
      <c r="X55" s="106"/>
      <c r="Y55" s="106"/>
    </row>
    <row r="56" spans="1:31" ht="13.8" x14ac:dyDescent="0.3">
      <c r="A56" s="4"/>
      <c r="B56" s="4"/>
      <c r="C56" s="4"/>
      <c r="D56" s="92"/>
      <c r="E56" s="92"/>
      <c r="F56" s="92"/>
      <c r="G56" s="92"/>
      <c r="H56" s="92"/>
      <c r="I56" s="4"/>
      <c r="J56" s="4"/>
      <c r="K56" s="4"/>
      <c r="L56" s="4"/>
      <c r="M56" s="4"/>
      <c r="N56" s="4"/>
      <c r="O56" s="4"/>
      <c r="P56" s="4"/>
      <c r="Q56" s="91"/>
      <c r="R56" s="91"/>
      <c r="S56" s="106"/>
      <c r="U56" s="4"/>
      <c r="V56" s="91"/>
      <c r="W56" s="91"/>
      <c r="X56" s="106"/>
      <c r="Y56" s="106"/>
    </row>
    <row r="57" spans="1:31" ht="13.8" x14ac:dyDescent="0.3">
      <c r="A57" s="4"/>
      <c r="B57" s="4"/>
      <c r="C57" s="4"/>
      <c r="D57" s="92"/>
      <c r="E57" s="92"/>
      <c r="F57" s="92"/>
      <c r="G57" s="92"/>
      <c r="H57" s="92"/>
      <c r="I57" s="4"/>
      <c r="J57" s="4"/>
      <c r="K57" s="4"/>
      <c r="L57" s="4"/>
      <c r="M57" s="4"/>
      <c r="N57" s="4"/>
      <c r="O57" s="4"/>
      <c r="P57" s="4"/>
      <c r="Q57" s="106"/>
      <c r="R57" s="106"/>
      <c r="S57" s="106"/>
      <c r="U57" s="4"/>
      <c r="V57" s="106"/>
      <c r="W57" s="106"/>
      <c r="X57" s="106"/>
    </row>
    <row r="58" spans="1:31" ht="13.8" x14ac:dyDescent="0.3">
      <c r="A58" s="4"/>
      <c r="B58" s="4"/>
      <c r="C58" s="4"/>
      <c r="D58" s="92"/>
      <c r="E58" s="92"/>
      <c r="F58" s="92"/>
      <c r="G58" s="92"/>
      <c r="H58" s="9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U58" s="4"/>
      <c r="V58" s="4"/>
      <c r="W58" s="4"/>
      <c r="X58" s="106"/>
      <c r="Y58" s="106"/>
    </row>
    <row r="59" spans="1:31" ht="13.8" x14ac:dyDescent="0.3">
      <c r="A59" s="4"/>
      <c r="B59" s="4"/>
      <c r="C59" s="4"/>
      <c r="D59" s="92"/>
      <c r="E59" s="92"/>
      <c r="F59" s="92"/>
      <c r="G59" s="92"/>
      <c r="H59" s="92"/>
      <c r="I59" s="4"/>
      <c r="J59" s="91"/>
      <c r="K59" s="91"/>
      <c r="L59" s="4"/>
      <c r="M59" s="4"/>
      <c r="N59" s="4"/>
      <c r="O59" s="4"/>
      <c r="P59" s="4"/>
      <c r="U59" s="4"/>
      <c r="Y59" s="106"/>
      <c r="Z59" s="106"/>
      <c r="AA59" s="106"/>
      <c r="AB59" s="106"/>
      <c r="AC59" s="106"/>
      <c r="AD59" s="106"/>
      <c r="AE59" s="106"/>
    </row>
    <row r="60" spans="1:31" ht="13.8" x14ac:dyDescent="0.3">
      <c r="A60" s="4"/>
      <c r="B60" s="4"/>
      <c r="C60" s="4"/>
      <c r="D60" s="4"/>
      <c r="E60" s="4"/>
      <c r="F60" s="4"/>
      <c r="G60" s="4"/>
      <c r="H60" s="4"/>
      <c r="I60" s="4"/>
      <c r="J60" s="91"/>
      <c r="K60" s="91"/>
      <c r="L60" s="4"/>
      <c r="M60" s="4"/>
      <c r="N60" s="4"/>
      <c r="O60" s="4"/>
    </row>
    <row r="61" spans="1:31" ht="13.8" x14ac:dyDescent="0.3">
      <c r="B61" s="4"/>
      <c r="C61" s="4"/>
      <c r="D61" s="4"/>
      <c r="E61" s="4"/>
      <c r="F61" s="4"/>
      <c r="G61" s="4"/>
      <c r="H61" s="4"/>
      <c r="I61" s="4"/>
      <c r="J61" s="91"/>
      <c r="K61" s="91"/>
      <c r="L61" s="4"/>
      <c r="M61" s="4"/>
      <c r="N61" s="4"/>
      <c r="O61" s="4"/>
      <c r="P61" s="4"/>
      <c r="U61" s="4"/>
      <c r="Z61" s="4"/>
    </row>
    <row r="62" spans="1:31" ht="13.8" x14ac:dyDescent="0.3">
      <c r="B62" s="4"/>
      <c r="C62" s="4"/>
      <c r="D62" s="4"/>
      <c r="E62" s="4"/>
      <c r="F62" s="4"/>
      <c r="G62" s="4"/>
      <c r="H62" s="4"/>
      <c r="I62" s="4"/>
      <c r="J62" s="91"/>
      <c r="K62" s="91"/>
      <c r="L62" s="4"/>
      <c r="M62" s="4"/>
      <c r="N62" s="4"/>
      <c r="O62" s="4"/>
      <c r="P62" s="4"/>
      <c r="Q62" s="4"/>
      <c r="R62" s="4"/>
      <c r="S62" s="4"/>
      <c r="U62" s="4"/>
      <c r="V62" s="4"/>
      <c r="W62" s="4"/>
      <c r="X62" s="4"/>
      <c r="Z62" s="4"/>
      <c r="AA62" s="4"/>
      <c r="AB62" s="4"/>
      <c r="AC62" s="4"/>
      <c r="AD62" s="4"/>
      <c r="AE62" s="4"/>
    </row>
    <row r="63" spans="1:31" ht="13.8" x14ac:dyDescent="0.3">
      <c r="B63" s="4"/>
      <c r="C63" s="4"/>
      <c r="D63" s="4"/>
      <c r="E63" s="4"/>
      <c r="F63" s="4"/>
      <c r="G63" s="4"/>
      <c r="H63" s="4"/>
      <c r="I63" s="4"/>
      <c r="J63" s="91"/>
      <c r="K63" s="91"/>
      <c r="L63" s="4"/>
      <c r="M63" s="4"/>
      <c r="N63" s="4"/>
      <c r="O63" s="4"/>
      <c r="P63" s="4"/>
      <c r="Q63" s="4"/>
      <c r="R63" s="4"/>
      <c r="S63" s="106"/>
      <c r="U63" s="4"/>
      <c r="V63" s="4"/>
      <c r="W63" s="4"/>
      <c r="X63" s="106"/>
      <c r="Z63" s="4"/>
      <c r="AA63" s="4"/>
      <c r="AB63" s="4"/>
      <c r="AC63" s="106"/>
      <c r="AD63" s="106"/>
      <c r="AE63" s="106"/>
    </row>
    <row r="64" spans="1:31" ht="13.8" x14ac:dyDescent="0.3">
      <c r="B64" s="4"/>
      <c r="C64" s="4"/>
      <c r="D64" s="92"/>
      <c r="E64" s="4"/>
      <c r="F64" s="92"/>
      <c r="G64" s="4"/>
      <c r="H64" s="92"/>
      <c r="I64" s="4"/>
      <c r="J64" s="91"/>
      <c r="K64" s="91"/>
      <c r="L64" s="4"/>
      <c r="M64" s="4"/>
      <c r="N64" s="4"/>
      <c r="P64" s="4"/>
      <c r="Q64" s="4"/>
      <c r="R64" s="4"/>
      <c r="S64" s="106"/>
      <c r="U64" s="4"/>
      <c r="V64" s="4"/>
      <c r="W64" s="4"/>
      <c r="X64" s="106"/>
      <c r="Z64" s="4"/>
      <c r="AA64" s="4"/>
      <c r="AB64" s="4"/>
      <c r="AC64" s="106"/>
      <c r="AD64" s="106"/>
      <c r="AE64" s="106"/>
    </row>
    <row r="65" spans="16:31" ht="13.8" x14ac:dyDescent="0.3">
      <c r="P65" s="4"/>
      <c r="Q65" s="4"/>
      <c r="R65" s="4"/>
      <c r="S65" s="106"/>
      <c r="U65" s="4"/>
      <c r="V65" s="4"/>
      <c r="W65" s="4"/>
      <c r="X65" s="106"/>
      <c r="Z65" s="4"/>
      <c r="AA65" s="4"/>
      <c r="AB65" s="4"/>
      <c r="AC65" s="106"/>
      <c r="AD65" s="106"/>
      <c r="AE65" s="106"/>
    </row>
    <row r="66" spans="16:31" ht="13.8" x14ac:dyDescent="0.3">
      <c r="P66" s="4"/>
      <c r="Q66" s="4"/>
      <c r="R66" s="4"/>
      <c r="S66" s="106"/>
      <c r="U66" s="4"/>
      <c r="V66" s="4"/>
      <c r="W66" s="4"/>
      <c r="X66" s="106"/>
      <c r="Z66" s="4"/>
      <c r="AA66" s="4"/>
      <c r="AB66" s="4"/>
      <c r="AC66" s="106"/>
      <c r="AD66" s="106"/>
      <c r="AE66" s="106"/>
    </row>
    <row r="67" spans="16:31" ht="13.8" x14ac:dyDescent="0.3">
      <c r="P67" s="4"/>
      <c r="Q67" s="4"/>
      <c r="R67" s="4"/>
      <c r="S67" s="106"/>
      <c r="U67" s="4"/>
      <c r="V67" s="4"/>
      <c r="W67" s="4"/>
      <c r="X67" s="106"/>
      <c r="Z67" s="4"/>
      <c r="AA67" s="4"/>
      <c r="AB67" s="4"/>
      <c r="AC67" s="106"/>
      <c r="AD67" s="106"/>
      <c r="AE67" s="106"/>
    </row>
    <row r="68" spans="16:31" ht="13.8" x14ac:dyDescent="0.3">
      <c r="P68" s="4"/>
      <c r="Q68" s="91"/>
      <c r="R68" s="91"/>
      <c r="S68" s="106"/>
      <c r="U68" s="4"/>
      <c r="V68" s="91"/>
      <c r="W68" s="91"/>
      <c r="X68" s="106"/>
      <c r="Z68" s="4"/>
      <c r="AA68" s="91"/>
      <c r="AB68" s="91"/>
      <c r="AC68" s="106"/>
      <c r="AD68" s="106"/>
      <c r="AE68" s="106"/>
    </row>
    <row r="69" spans="16:31" ht="13.8" x14ac:dyDescent="0.3">
      <c r="P69" s="4"/>
      <c r="Q69" s="106"/>
      <c r="R69" s="106"/>
      <c r="S69" s="106"/>
      <c r="U69" s="4"/>
      <c r="V69" s="106"/>
      <c r="W69" s="106"/>
      <c r="X69" s="106"/>
      <c r="Z69" s="4"/>
      <c r="AA69" s="106"/>
      <c r="AB69" s="106"/>
      <c r="AC69" s="106"/>
      <c r="AD69" s="106"/>
      <c r="AE69" s="106"/>
    </row>
    <row r="70" spans="16:31" ht="13.8" x14ac:dyDescent="0.3">
      <c r="P70" s="4"/>
      <c r="Q70" s="4"/>
      <c r="R70" s="4"/>
      <c r="S70" s="4"/>
      <c r="U70" s="4"/>
      <c r="V70" s="4"/>
      <c r="W70" s="4"/>
      <c r="X70" s="4"/>
      <c r="Z70" s="4"/>
      <c r="AA70" s="4"/>
      <c r="AB70" s="4"/>
      <c r="AC70" s="4"/>
      <c r="AD70" s="4"/>
      <c r="AE70" s="4"/>
    </row>
    <row r="71" spans="16:31" ht="13.8" x14ac:dyDescent="0.3">
      <c r="P71" s="4"/>
      <c r="U71" s="4"/>
      <c r="Z71" s="4"/>
    </row>
    <row r="72" spans="16:31" ht="13.8" x14ac:dyDescent="0.3"/>
    <row r="73" spans="16:31" ht="13.8" x14ac:dyDescent="0.3"/>
    <row r="74" spans="16:31" ht="13.8" x14ac:dyDescent="0.3"/>
    <row r="75" spans="16:31" ht="13.8" x14ac:dyDescent="0.3"/>
    <row r="76" spans="16:31" ht="13.8" x14ac:dyDescent="0.3"/>
    <row r="77" spans="16:31" ht="13.8" x14ac:dyDescent="0.3"/>
    <row r="78" spans="16:31" ht="13.8" x14ac:dyDescent="0.3">
      <c r="P78" s="4"/>
      <c r="Q78" s="4"/>
    </row>
    <row r="79" spans="16:31" ht="13.8" x14ac:dyDescent="0.3">
      <c r="P79" s="4"/>
      <c r="Q79" s="91"/>
      <c r="R79" s="91"/>
    </row>
    <row r="80" spans="16:31" ht="13.8" x14ac:dyDescent="0.3"/>
    <row r="81" spans="2:16" ht="13.8" x14ac:dyDescent="0.3"/>
    <row r="82" spans="2:16" ht="13.8" x14ac:dyDescent="0.3">
      <c r="P82" s="91"/>
    </row>
    <row r="83" spans="2:16" ht="13.8" x14ac:dyDescent="0.3"/>
    <row r="84" spans="2:16" ht="13.8" x14ac:dyDescent="0.3"/>
    <row r="85" spans="2:16" ht="13.8" x14ac:dyDescent="0.3"/>
    <row r="86" spans="2:16" ht="13.8" x14ac:dyDescent="0.3"/>
    <row r="87" spans="2:16" ht="13.8" x14ac:dyDescent="0.3"/>
    <row r="88" spans="2:16" ht="13.8" x14ac:dyDescent="0.3"/>
    <row r="89" spans="2:16" ht="13.8" x14ac:dyDescent="0.3"/>
    <row r="90" spans="2:16" ht="13.8" x14ac:dyDescent="0.3"/>
    <row r="91" spans="2:16" ht="13.8" x14ac:dyDescent="0.3"/>
    <row r="92" spans="2:16" ht="13.8" x14ac:dyDescent="0.3"/>
    <row r="93" spans="2:16" ht="13.8" x14ac:dyDescent="0.3"/>
    <row r="94" spans="2:16" ht="13.8" x14ac:dyDescent="0.3"/>
    <row r="95" spans="2:16" ht="13.8" x14ac:dyDescent="0.3">
      <c r="B95" s="4"/>
      <c r="C95" s="91"/>
      <c r="D95" s="106"/>
    </row>
    <row r="96" spans="2:16" ht="13.8" x14ac:dyDescent="0.3">
      <c r="B96" s="4"/>
      <c r="C96" s="91"/>
      <c r="D96" s="106"/>
    </row>
    <row r="97" spans="2:4" ht="13.8" x14ac:dyDescent="0.3">
      <c r="B97" s="4"/>
      <c r="C97" s="91"/>
      <c r="D97" s="106"/>
    </row>
    <row r="98" spans="2:4" ht="13.8" x14ac:dyDescent="0.3">
      <c r="B98" s="4"/>
      <c r="C98" s="91"/>
      <c r="D98" s="106"/>
    </row>
    <row r="99" spans="2:4" ht="13.8" x14ac:dyDescent="0.3">
      <c r="B99" s="4"/>
      <c r="C99" s="91"/>
      <c r="D99" s="106"/>
    </row>
    <row r="100" spans="2:4" ht="13.8" x14ac:dyDescent="0.3">
      <c r="B100" s="4"/>
      <c r="C100" s="91"/>
      <c r="D100" s="106"/>
    </row>
    <row r="101" spans="2:4" ht="13.8" x14ac:dyDescent="0.3">
      <c r="B101" s="4"/>
      <c r="C101" s="91"/>
      <c r="D101" s="106"/>
    </row>
    <row r="102" spans="2:4" ht="13.8" x14ac:dyDescent="0.3">
      <c r="B102" s="4"/>
      <c r="C102" s="91"/>
      <c r="D102" s="106"/>
    </row>
    <row r="103" spans="2:4" ht="13.8" x14ac:dyDescent="0.3">
      <c r="B103" s="4"/>
      <c r="C103" s="91"/>
      <c r="D103" s="106"/>
    </row>
    <row r="104" spans="2:4" ht="13.8" x14ac:dyDescent="0.3">
      <c r="B104" s="4"/>
      <c r="C104" s="91"/>
      <c r="D104" s="106"/>
    </row>
    <row r="105" spans="2:4" ht="13.8" x14ac:dyDescent="0.3">
      <c r="B105" s="4"/>
      <c r="C105" s="91"/>
      <c r="D105" s="106"/>
    </row>
    <row r="106" spans="2:4" ht="13.8" x14ac:dyDescent="0.3">
      <c r="B106" s="4"/>
      <c r="C106" s="4"/>
      <c r="D106" s="106"/>
    </row>
    <row r="107" spans="2:4" ht="13.8" x14ac:dyDescent="0.3"/>
    <row r="108" spans="2:4" ht="13.8" x14ac:dyDescent="0.3"/>
    <row r="109" spans="2:4" ht="13.8" x14ac:dyDescent="0.3"/>
    <row r="110" spans="2:4" ht="13.8" x14ac:dyDescent="0.3"/>
    <row r="111" spans="2:4" ht="13.8" x14ac:dyDescent="0.3"/>
    <row r="112" spans="2:4" ht="13.8" x14ac:dyDescent="0.3"/>
    <row r="113" ht="13.8" x14ac:dyDescent="0.3"/>
    <row r="114" ht="13.8" x14ac:dyDescent="0.3"/>
    <row r="115" ht="13.8" x14ac:dyDescent="0.3"/>
    <row r="116" ht="13.8" x14ac:dyDescent="0.3"/>
    <row r="117" ht="13.8" x14ac:dyDescent="0.3"/>
    <row r="118" ht="13.8" x14ac:dyDescent="0.3"/>
    <row r="119" ht="13.8" x14ac:dyDescent="0.3"/>
    <row r="120" ht="13.8" x14ac:dyDescent="0.3"/>
    <row r="121" ht="13.8" x14ac:dyDescent="0.3"/>
    <row r="122" ht="13.8" x14ac:dyDescent="0.3"/>
    <row r="123" ht="13.8" x14ac:dyDescent="0.3"/>
    <row r="124" ht="13.8" x14ac:dyDescent="0.3"/>
    <row r="125" ht="13.8" x14ac:dyDescent="0.3"/>
    <row r="126" ht="13.8" x14ac:dyDescent="0.3"/>
    <row r="127" ht="13.8" x14ac:dyDescent="0.3"/>
    <row r="128" ht="13.8" x14ac:dyDescent="0.3"/>
    <row r="129" ht="13.8" x14ac:dyDescent="0.3"/>
    <row r="130" ht="13.8" x14ac:dyDescent="0.3"/>
    <row r="131" ht="13.8" x14ac:dyDescent="0.3"/>
    <row r="132" ht="13.8" x14ac:dyDescent="0.3"/>
    <row r="133" ht="13.8" x14ac:dyDescent="0.3"/>
    <row r="134" ht="13.8" x14ac:dyDescent="0.3"/>
    <row r="135" ht="13.8" x14ac:dyDescent="0.3"/>
    <row r="136" ht="13.8" x14ac:dyDescent="0.3"/>
    <row r="137" ht="13.8" x14ac:dyDescent="0.3"/>
    <row r="138" ht="13.8" x14ac:dyDescent="0.3"/>
    <row r="139" ht="13.8" x14ac:dyDescent="0.3"/>
    <row r="140" ht="13.8" x14ac:dyDescent="0.3"/>
    <row r="141" ht="13.8" x14ac:dyDescent="0.3"/>
    <row r="142" ht="13.8" x14ac:dyDescent="0.3"/>
    <row r="143" ht="13.8" x14ac:dyDescent="0.3"/>
    <row r="144" ht="13.8" x14ac:dyDescent="0.3"/>
    <row r="145" ht="13.8" x14ac:dyDescent="0.3"/>
    <row r="146" ht="13.8" x14ac:dyDescent="0.3"/>
    <row r="147" ht="13.8" x14ac:dyDescent="0.3"/>
    <row r="148" ht="13.8" x14ac:dyDescent="0.3"/>
    <row r="149" ht="13.8" x14ac:dyDescent="0.3"/>
    <row r="150" ht="13.8" x14ac:dyDescent="0.3"/>
    <row r="151" ht="13.8" x14ac:dyDescent="0.3"/>
    <row r="152" ht="13.8" x14ac:dyDescent="0.3"/>
    <row r="153" ht="13.8" x14ac:dyDescent="0.3"/>
    <row r="154" ht="13.8" x14ac:dyDescent="0.3"/>
    <row r="155" ht="13.8" x14ac:dyDescent="0.3"/>
    <row r="156" ht="13.8" x14ac:dyDescent="0.3"/>
    <row r="157" ht="13.8" x14ac:dyDescent="0.3"/>
    <row r="158" ht="13.8" x14ac:dyDescent="0.3"/>
    <row r="159" ht="13.8" x14ac:dyDescent="0.3"/>
    <row r="160" ht="13.8" x14ac:dyDescent="0.3"/>
    <row r="161" ht="13.8" x14ac:dyDescent="0.3"/>
    <row r="162" ht="13.8" x14ac:dyDescent="0.3"/>
    <row r="163" ht="13.8" x14ac:dyDescent="0.3"/>
    <row r="164" ht="13.8" x14ac:dyDescent="0.3"/>
    <row r="165" ht="13.8" x14ac:dyDescent="0.3"/>
    <row r="166" ht="13.8" x14ac:dyDescent="0.3"/>
    <row r="167" ht="13.8" x14ac:dyDescent="0.3"/>
    <row r="168" ht="13.8" x14ac:dyDescent="0.3"/>
    <row r="169" ht="13.8" x14ac:dyDescent="0.3"/>
    <row r="170" ht="13.8" x14ac:dyDescent="0.3"/>
    <row r="171" ht="13.8" x14ac:dyDescent="0.3"/>
    <row r="172" ht="13.8" x14ac:dyDescent="0.3"/>
    <row r="173" ht="13.8" x14ac:dyDescent="0.3"/>
    <row r="174" ht="13.8" x14ac:dyDescent="0.3"/>
    <row r="175" ht="13.8" x14ac:dyDescent="0.3"/>
    <row r="176" ht="13.8" x14ac:dyDescent="0.3"/>
    <row r="177" ht="13.8" x14ac:dyDescent="0.3"/>
    <row r="178" ht="13.8" x14ac:dyDescent="0.3"/>
    <row r="179" ht="13.8" x14ac:dyDescent="0.3"/>
    <row r="180" ht="13.8" x14ac:dyDescent="0.3"/>
    <row r="181" ht="13.8" x14ac:dyDescent="0.3"/>
    <row r="182" ht="13.8" x14ac:dyDescent="0.3"/>
    <row r="183" ht="13.8" x14ac:dyDescent="0.3"/>
    <row r="184" ht="13.8" x14ac:dyDescent="0.3"/>
    <row r="185" ht="13.8" x14ac:dyDescent="0.3"/>
    <row r="186" ht="13.8" x14ac:dyDescent="0.3"/>
    <row r="187" ht="13.8" x14ac:dyDescent="0.3"/>
    <row r="188" ht="13.8" x14ac:dyDescent="0.3"/>
    <row r="189" ht="13.8" x14ac:dyDescent="0.3"/>
    <row r="190" ht="13.8" x14ac:dyDescent="0.3"/>
    <row r="191" ht="13.8" x14ac:dyDescent="0.3"/>
    <row r="192" ht="13.8" x14ac:dyDescent="0.3"/>
    <row r="193" ht="13.8" x14ac:dyDescent="0.3"/>
    <row r="194" ht="13.8" x14ac:dyDescent="0.3"/>
    <row r="195" ht="13.8" x14ac:dyDescent="0.3"/>
    <row r="196" ht="13.8" x14ac:dyDescent="0.3"/>
    <row r="197" ht="13.8" x14ac:dyDescent="0.3"/>
    <row r="198" ht="13.8" x14ac:dyDescent="0.3"/>
    <row r="199" ht="13.8" x14ac:dyDescent="0.3"/>
    <row r="200" ht="13.8" x14ac:dyDescent="0.3"/>
    <row r="201" ht="13.8" x14ac:dyDescent="0.3"/>
    <row r="202" ht="13.8" x14ac:dyDescent="0.3"/>
    <row r="203" ht="13.8" x14ac:dyDescent="0.3"/>
    <row r="204" ht="13.8" x14ac:dyDescent="0.3"/>
    <row r="205" ht="13.8" x14ac:dyDescent="0.3"/>
    <row r="206" ht="13.8" x14ac:dyDescent="0.3"/>
    <row r="207" ht="13.8" x14ac:dyDescent="0.3"/>
    <row r="208" ht="13.8" x14ac:dyDescent="0.3"/>
    <row r="209" ht="13.8" x14ac:dyDescent="0.3"/>
    <row r="210" ht="13.8" x14ac:dyDescent="0.3"/>
    <row r="211" ht="13.8" x14ac:dyDescent="0.3"/>
    <row r="212" ht="13.8" x14ac:dyDescent="0.3"/>
    <row r="213" ht="13.8" x14ac:dyDescent="0.3"/>
    <row r="214" ht="13.8" x14ac:dyDescent="0.3"/>
    <row r="215" ht="13.8" x14ac:dyDescent="0.3"/>
    <row r="216" ht="13.8" x14ac:dyDescent="0.3"/>
    <row r="217" ht="13.8" x14ac:dyDescent="0.3"/>
    <row r="218" ht="13.8" x14ac:dyDescent="0.3"/>
    <row r="219" ht="13.8" x14ac:dyDescent="0.3"/>
    <row r="220" ht="13.8" x14ac:dyDescent="0.3"/>
    <row r="221" ht="13.8" x14ac:dyDescent="0.3"/>
    <row r="222" ht="13.8" x14ac:dyDescent="0.3"/>
    <row r="223" ht="13.8" x14ac:dyDescent="0.3"/>
    <row r="224" ht="13.8" x14ac:dyDescent="0.3"/>
    <row r="225" ht="13.8" x14ac:dyDescent="0.3"/>
    <row r="226" ht="13.8" x14ac:dyDescent="0.3"/>
    <row r="227" ht="13.8" x14ac:dyDescent="0.3"/>
    <row r="228" ht="13.8" x14ac:dyDescent="0.3"/>
    <row r="229" ht="13.8" x14ac:dyDescent="0.3"/>
    <row r="230" ht="13.8" x14ac:dyDescent="0.3"/>
    <row r="231" ht="13.8" x14ac:dyDescent="0.3"/>
    <row r="232" ht="13.8" x14ac:dyDescent="0.3"/>
    <row r="233" ht="13.8" x14ac:dyDescent="0.3"/>
    <row r="234" ht="13.8" x14ac:dyDescent="0.3"/>
    <row r="235" ht="13.8" x14ac:dyDescent="0.3"/>
    <row r="236" ht="13.8" x14ac:dyDescent="0.3"/>
    <row r="237" ht="13.8" x14ac:dyDescent="0.3"/>
    <row r="238" ht="13.8" x14ac:dyDescent="0.3"/>
    <row r="239" ht="13.8" x14ac:dyDescent="0.3"/>
    <row r="240" ht="13.8" x14ac:dyDescent="0.3"/>
    <row r="241" ht="13.8" x14ac:dyDescent="0.3"/>
    <row r="242" ht="13.8" x14ac:dyDescent="0.3"/>
    <row r="243" ht="13.8" x14ac:dyDescent="0.3"/>
    <row r="244" ht="13.8" x14ac:dyDescent="0.3"/>
    <row r="245" ht="13.8" x14ac:dyDescent="0.3"/>
    <row r="246" ht="13.8" x14ac:dyDescent="0.3"/>
    <row r="247" ht="13.8" x14ac:dyDescent="0.3"/>
    <row r="248" ht="13.8" x14ac:dyDescent="0.3"/>
    <row r="249" ht="13.8" x14ac:dyDescent="0.3"/>
    <row r="250" ht="13.8" x14ac:dyDescent="0.3"/>
    <row r="251" ht="13.8" x14ac:dyDescent="0.3"/>
    <row r="252" ht="13.8" x14ac:dyDescent="0.3"/>
    <row r="253" ht="13.8" x14ac:dyDescent="0.3"/>
    <row r="254" ht="13.8" x14ac:dyDescent="0.3"/>
    <row r="255" ht="13.8" x14ac:dyDescent="0.3"/>
    <row r="256" ht="13.8" x14ac:dyDescent="0.3"/>
    <row r="257" ht="13.8" x14ac:dyDescent="0.3"/>
    <row r="258" ht="13.8" x14ac:dyDescent="0.3"/>
    <row r="259" ht="13.8" x14ac:dyDescent="0.3"/>
    <row r="260" ht="13.8" x14ac:dyDescent="0.3"/>
    <row r="261" ht="13.8" x14ac:dyDescent="0.3"/>
    <row r="262" ht="13.8" x14ac:dyDescent="0.3"/>
    <row r="263" ht="13.8" x14ac:dyDescent="0.3"/>
    <row r="264" ht="13.8" x14ac:dyDescent="0.3"/>
    <row r="265" ht="13.8" x14ac:dyDescent="0.3"/>
    <row r="266" ht="13.8" x14ac:dyDescent="0.3"/>
    <row r="267" ht="13.8" x14ac:dyDescent="0.3"/>
    <row r="268" ht="13.8" x14ac:dyDescent="0.3"/>
    <row r="269" ht="13.8" x14ac:dyDescent="0.3"/>
    <row r="270" ht="13.8" x14ac:dyDescent="0.3"/>
    <row r="271" ht="13.8" x14ac:dyDescent="0.3"/>
    <row r="272" ht="13.8" x14ac:dyDescent="0.3"/>
    <row r="273" ht="13.8" x14ac:dyDescent="0.3"/>
    <row r="274" ht="13.8" x14ac:dyDescent="0.3"/>
    <row r="275" ht="13.8" x14ac:dyDescent="0.3"/>
    <row r="276" ht="13.8" x14ac:dyDescent="0.3"/>
    <row r="277" ht="13.8" x14ac:dyDescent="0.3"/>
    <row r="278" ht="13.8" x14ac:dyDescent="0.3"/>
    <row r="279" ht="13.8" x14ac:dyDescent="0.3"/>
    <row r="280" ht="13.8" x14ac:dyDescent="0.3"/>
    <row r="281" ht="13.8" x14ac:dyDescent="0.3"/>
    <row r="282" ht="13.8" x14ac:dyDescent="0.3"/>
    <row r="283" ht="13.8" x14ac:dyDescent="0.3"/>
    <row r="284" ht="13.8" x14ac:dyDescent="0.3"/>
    <row r="285" ht="13.8" x14ac:dyDescent="0.3"/>
    <row r="286" ht="13.8" x14ac:dyDescent="0.3"/>
    <row r="287" ht="13.8" x14ac:dyDescent="0.3"/>
    <row r="288" ht="13.8" x14ac:dyDescent="0.3"/>
    <row r="289" ht="13.8" x14ac:dyDescent="0.3"/>
    <row r="290" ht="13.8" x14ac:dyDescent="0.3"/>
    <row r="291" ht="13.8" x14ac:dyDescent="0.3"/>
    <row r="292" ht="13.8" x14ac:dyDescent="0.3"/>
    <row r="293" ht="13.8" x14ac:dyDescent="0.3"/>
    <row r="294" ht="13.8" x14ac:dyDescent="0.3"/>
    <row r="295" ht="13.8" x14ac:dyDescent="0.3"/>
    <row r="296" ht="13.8" x14ac:dyDescent="0.3"/>
    <row r="297" ht="13.8" x14ac:dyDescent="0.3"/>
    <row r="298" ht="13.8" x14ac:dyDescent="0.3"/>
    <row r="299" ht="13.8" x14ac:dyDescent="0.3"/>
    <row r="300" ht="13.8" x14ac:dyDescent="0.3"/>
    <row r="301" ht="13.8" x14ac:dyDescent="0.3"/>
    <row r="302" ht="13.8" x14ac:dyDescent="0.3"/>
    <row r="303" ht="13.8" x14ac:dyDescent="0.3"/>
    <row r="304" ht="13.8" x14ac:dyDescent="0.3"/>
    <row r="305" ht="13.8" x14ac:dyDescent="0.3"/>
    <row r="306" ht="13.8" x14ac:dyDescent="0.3"/>
    <row r="307" ht="13.8" x14ac:dyDescent="0.3"/>
    <row r="308" ht="13.8" x14ac:dyDescent="0.3"/>
    <row r="309" ht="13.8" x14ac:dyDescent="0.3"/>
    <row r="310" ht="13.8" x14ac:dyDescent="0.3"/>
    <row r="311" ht="13.8" x14ac:dyDescent="0.3"/>
    <row r="312" ht="13.8" x14ac:dyDescent="0.3"/>
    <row r="313" ht="13.8" x14ac:dyDescent="0.3"/>
    <row r="314" ht="13.8" x14ac:dyDescent="0.3"/>
    <row r="315" ht="13.8" x14ac:dyDescent="0.3"/>
    <row r="316" ht="13.8" x14ac:dyDescent="0.3"/>
    <row r="317" ht="13.8" x14ac:dyDescent="0.3"/>
    <row r="318" ht="13.8" x14ac:dyDescent="0.3"/>
    <row r="319" ht="13.8" x14ac:dyDescent="0.3"/>
    <row r="320" ht="13.8" x14ac:dyDescent="0.3"/>
    <row r="321" ht="13.8" x14ac:dyDescent="0.3"/>
    <row r="322" ht="13.8" x14ac:dyDescent="0.3"/>
    <row r="323" ht="13.8" x14ac:dyDescent="0.3"/>
    <row r="324" ht="13.8" x14ac:dyDescent="0.3"/>
    <row r="325" ht="13.8" x14ac:dyDescent="0.3"/>
    <row r="326" ht="13.8" x14ac:dyDescent="0.3"/>
    <row r="327" ht="13.8" x14ac:dyDescent="0.3"/>
    <row r="328" ht="13.8" x14ac:dyDescent="0.3"/>
    <row r="329" ht="13.8" x14ac:dyDescent="0.3"/>
    <row r="330" ht="13.8" x14ac:dyDescent="0.3"/>
    <row r="331" ht="13.8" x14ac:dyDescent="0.3"/>
    <row r="332" ht="13.8" x14ac:dyDescent="0.3"/>
    <row r="333" ht="13.8" x14ac:dyDescent="0.3"/>
    <row r="334" ht="13.8" x14ac:dyDescent="0.3"/>
    <row r="335" ht="13.8" x14ac:dyDescent="0.3"/>
    <row r="336" ht="13.8" x14ac:dyDescent="0.3"/>
    <row r="337" ht="13.8" x14ac:dyDescent="0.3"/>
    <row r="338" ht="13.8" x14ac:dyDescent="0.3"/>
    <row r="339" ht="13.8" x14ac:dyDescent="0.3"/>
    <row r="340" ht="13.8" x14ac:dyDescent="0.3"/>
    <row r="341" ht="13.8" x14ac:dyDescent="0.3"/>
    <row r="342" ht="13.8" x14ac:dyDescent="0.3"/>
    <row r="343" ht="13.8" x14ac:dyDescent="0.3"/>
    <row r="344" ht="13.8" x14ac:dyDescent="0.3"/>
    <row r="345" ht="13.8" x14ac:dyDescent="0.3"/>
    <row r="346" ht="13.8" x14ac:dyDescent="0.3"/>
    <row r="347" ht="13.8" x14ac:dyDescent="0.3"/>
    <row r="348" ht="13.8" x14ac:dyDescent="0.3"/>
    <row r="349" ht="13.8" x14ac:dyDescent="0.3"/>
    <row r="350" ht="13.8" x14ac:dyDescent="0.3"/>
    <row r="351" ht="13.8" x14ac:dyDescent="0.3"/>
    <row r="352" ht="13.8" x14ac:dyDescent="0.3"/>
    <row r="353" ht="13.8" x14ac:dyDescent="0.3"/>
    <row r="354" ht="13.8" x14ac:dyDescent="0.3"/>
    <row r="355" ht="13.8" x14ac:dyDescent="0.3"/>
    <row r="356" ht="13.8" x14ac:dyDescent="0.3"/>
    <row r="357" ht="13.8" x14ac:dyDescent="0.3"/>
    <row r="358" ht="13.8" x14ac:dyDescent="0.3"/>
    <row r="359" ht="13.8" x14ac:dyDescent="0.3"/>
    <row r="360" ht="13.8" x14ac:dyDescent="0.3"/>
    <row r="361" ht="13.8" x14ac:dyDescent="0.3"/>
    <row r="362" ht="13.8" x14ac:dyDescent="0.3"/>
    <row r="363" ht="13.8" x14ac:dyDescent="0.3"/>
    <row r="364" ht="13.8" x14ac:dyDescent="0.3"/>
    <row r="365" ht="13.8" x14ac:dyDescent="0.3"/>
    <row r="366" ht="13.8" x14ac:dyDescent="0.3"/>
    <row r="367" ht="13.8" x14ac:dyDescent="0.3"/>
    <row r="368" ht="13.8" x14ac:dyDescent="0.3"/>
    <row r="369" ht="13.8" x14ac:dyDescent="0.3"/>
    <row r="370" ht="13.8" x14ac:dyDescent="0.3"/>
    <row r="371" ht="13.8" x14ac:dyDescent="0.3"/>
    <row r="372" ht="13.8" x14ac:dyDescent="0.3"/>
    <row r="373" ht="13.8" x14ac:dyDescent="0.3"/>
    <row r="374" ht="13.8" x14ac:dyDescent="0.3"/>
    <row r="375" ht="13.8" x14ac:dyDescent="0.3"/>
    <row r="376" ht="13.8" x14ac:dyDescent="0.3"/>
    <row r="377" ht="13.8" x14ac:dyDescent="0.3"/>
    <row r="378" ht="13.8" x14ac:dyDescent="0.3"/>
    <row r="379" ht="13.8" x14ac:dyDescent="0.3"/>
    <row r="380" ht="13.8" x14ac:dyDescent="0.3"/>
    <row r="381" ht="13.8" x14ac:dyDescent="0.3"/>
    <row r="382" ht="13.8" x14ac:dyDescent="0.3"/>
    <row r="383" ht="13.8" x14ac:dyDescent="0.3"/>
    <row r="384" ht="13.8" x14ac:dyDescent="0.3"/>
    <row r="385" ht="13.8" x14ac:dyDescent="0.3"/>
    <row r="386" ht="13.8" x14ac:dyDescent="0.3"/>
    <row r="387" ht="13.8" x14ac:dyDescent="0.3"/>
    <row r="388" ht="13.8" x14ac:dyDescent="0.3"/>
    <row r="389" ht="13.8" x14ac:dyDescent="0.3"/>
    <row r="390" ht="13.8" x14ac:dyDescent="0.3"/>
    <row r="391" ht="13.8" x14ac:dyDescent="0.3"/>
    <row r="392" ht="13.8" x14ac:dyDescent="0.3"/>
    <row r="393" ht="13.8" x14ac:dyDescent="0.3"/>
    <row r="394" ht="13.8" x14ac:dyDescent="0.3"/>
    <row r="395" ht="13.8" x14ac:dyDescent="0.3"/>
    <row r="396" ht="13.8" x14ac:dyDescent="0.3"/>
    <row r="397" ht="13.8" x14ac:dyDescent="0.3"/>
    <row r="398" ht="13.8" x14ac:dyDescent="0.3"/>
    <row r="399" ht="13.8" x14ac:dyDescent="0.3"/>
    <row r="400" ht="13.8" x14ac:dyDescent="0.3"/>
    <row r="401" ht="13.8" x14ac:dyDescent="0.3"/>
    <row r="402" ht="13.8" x14ac:dyDescent="0.3"/>
    <row r="403" ht="13.8" x14ac:dyDescent="0.3"/>
    <row r="404" ht="13.8" x14ac:dyDescent="0.3"/>
    <row r="405" ht="13.8" x14ac:dyDescent="0.3"/>
    <row r="406" ht="13.8" x14ac:dyDescent="0.3"/>
    <row r="407" ht="13.8" x14ac:dyDescent="0.3"/>
    <row r="408" ht="13.8" x14ac:dyDescent="0.3"/>
    <row r="409" ht="13.8" x14ac:dyDescent="0.3"/>
    <row r="410" ht="13.8" x14ac:dyDescent="0.3"/>
    <row r="411" ht="13.8" x14ac:dyDescent="0.3"/>
    <row r="412" ht="13.8" x14ac:dyDescent="0.3"/>
    <row r="413" ht="13.8" x14ac:dyDescent="0.3"/>
    <row r="414" ht="13.8" x14ac:dyDescent="0.3"/>
    <row r="415" ht="13.8" x14ac:dyDescent="0.3"/>
    <row r="416" ht="13.8" x14ac:dyDescent="0.3"/>
    <row r="417" ht="13.8" x14ac:dyDescent="0.3"/>
    <row r="418" ht="13.8" x14ac:dyDescent="0.3"/>
    <row r="419" ht="13.8" x14ac:dyDescent="0.3"/>
    <row r="420" ht="13.8" x14ac:dyDescent="0.3"/>
    <row r="421" ht="13.8" x14ac:dyDescent="0.3"/>
    <row r="422" ht="13.8" x14ac:dyDescent="0.3"/>
    <row r="423" ht="13.8" x14ac:dyDescent="0.3"/>
    <row r="424" ht="13.8" x14ac:dyDescent="0.3"/>
    <row r="425" ht="13.8" x14ac:dyDescent="0.3"/>
    <row r="426" ht="13.8" x14ac:dyDescent="0.3"/>
    <row r="427" ht="13.8" x14ac:dyDescent="0.3"/>
    <row r="428" ht="13.8" x14ac:dyDescent="0.3"/>
    <row r="429" ht="13.8" x14ac:dyDescent="0.3"/>
    <row r="430" ht="13.8" x14ac:dyDescent="0.3"/>
    <row r="431" ht="13.8" x14ac:dyDescent="0.3"/>
    <row r="432" ht="13.8" x14ac:dyDescent="0.3"/>
    <row r="433" ht="13.8" x14ac:dyDescent="0.3"/>
    <row r="434" ht="13.8" x14ac:dyDescent="0.3"/>
    <row r="435" ht="13.8" x14ac:dyDescent="0.3"/>
    <row r="436" ht="13.8" x14ac:dyDescent="0.3"/>
    <row r="437" ht="13.8" x14ac:dyDescent="0.3"/>
    <row r="438" ht="13.8" x14ac:dyDescent="0.3"/>
    <row r="439" ht="13.8" x14ac:dyDescent="0.3"/>
    <row r="440" ht="13.8" x14ac:dyDescent="0.3"/>
    <row r="441" ht="13.8" x14ac:dyDescent="0.3"/>
    <row r="442" ht="13.8" x14ac:dyDescent="0.3"/>
    <row r="443" ht="13.8" x14ac:dyDescent="0.3"/>
    <row r="444" ht="13.8" x14ac:dyDescent="0.3"/>
    <row r="445" ht="13.8" x14ac:dyDescent="0.3"/>
    <row r="446" ht="13.8" x14ac:dyDescent="0.3"/>
    <row r="447" ht="13.8" x14ac:dyDescent="0.3"/>
    <row r="448" ht="13.8" x14ac:dyDescent="0.3"/>
    <row r="449" ht="13.8" x14ac:dyDescent="0.3"/>
    <row r="450" ht="13.8" x14ac:dyDescent="0.3"/>
    <row r="451" ht="13.8" x14ac:dyDescent="0.3"/>
    <row r="452" ht="13.8" x14ac:dyDescent="0.3"/>
    <row r="453" ht="13.8" x14ac:dyDescent="0.3"/>
    <row r="454" ht="13.8" x14ac:dyDescent="0.3"/>
    <row r="455" ht="13.8" x14ac:dyDescent="0.3"/>
    <row r="456" ht="13.8" x14ac:dyDescent="0.3"/>
    <row r="457" ht="13.8" x14ac:dyDescent="0.3"/>
    <row r="458" ht="13.8" x14ac:dyDescent="0.3"/>
    <row r="459" ht="13.8" x14ac:dyDescent="0.3"/>
    <row r="460" ht="13.8" x14ac:dyDescent="0.3"/>
    <row r="461" ht="13.8" x14ac:dyDescent="0.3"/>
    <row r="462" ht="13.8" x14ac:dyDescent="0.3"/>
    <row r="463" ht="13.8" x14ac:dyDescent="0.3"/>
    <row r="464" ht="13.8" x14ac:dyDescent="0.3"/>
    <row r="465" ht="13.8" x14ac:dyDescent="0.3"/>
    <row r="466" ht="13.8" x14ac:dyDescent="0.3"/>
    <row r="467" ht="13.8" x14ac:dyDescent="0.3"/>
    <row r="468" ht="13.8" x14ac:dyDescent="0.3"/>
    <row r="469" ht="13.8" x14ac:dyDescent="0.3"/>
    <row r="470" ht="13.8" x14ac:dyDescent="0.3"/>
    <row r="471" ht="13.8" x14ac:dyDescent="0.3"/>
    <row r="472" ht="13.8" x14ac:dyDescent="0.3"/>
    <row r="473" ht="13.8" x14ac:dyDescent="0.3"/>
    <row r="474" ht="13.8" x14ac:dyDescent="0.3"/>
    <row r="475" ht="13.8" x14ac:dyDescent="0.3"/>
    <row r="476" ht="13.8" x14ac:dyDescent="0.3"/>
    <row r="477" ht="13.8" x14ac:dyDescent="0.3"/>
    <row r="478" ht="13.8" x14ac:dyDescent="0.3"/>
    <row r="479" ht="13.8" x14ac:dyDescent="0.3"/>
    <row r="480" ht="13.8" x14ac:dyDescent="0.3"/>
    <row r="481" ht="13.8" x14ac:dyDescent="0.3"/>
    <row r="482" ht="13.8" x14ac:dyDescent="0.3"/>
    <row r="483" ht="13.8" x14ac:dyDescent="0.3"/>
    <row r="484" ht="13.8" x14ac:dyDescent="0.3"/>
    <row r="485" ht="13.8" x14ac:dyDescent="0.3"/>
    <row r="486" ht="13.8" x14ac:dyDescent="0.3"/>
    <row r="487" ht="13.8" x14ac:dyDescent="0.3"/>
    <row r="488" ht="13.8" x14ac:dyDescent="0.3"/>
    <row r="489" ht="13.8" x14ac:dyDescent="0.3"/>
    <row r="490" ht="13.8" x14ac:dyDescent="0.3"/>
    <row r="491" ht="13.8" x14ac:dyDescent="0.3"/>
    <row r="492" ht="13.8" x14ac:dyDescent="0.3"/>
    <row r="493" ht="13.8" x14ac:dyDescent="0.3"/>
    <row r="494" ht="13.8" x14ac:dyDescent="0.3"/>
    <row r="495" ht="13.8" x14ac:dyDescent="0.3"/>
    <row r="496" ht="13.8" x14ac:dyDescent="0.3"/>
    <row r="497" ht="13.8" x14ac:dyDescent="0.3"/>
    <row r="498" ht="13.8" x14ac:dyDescent="0.3"/>
    <row r="499" ht="13.8" x14ac:dyDescent="0.3"/>
    <row r="500" ht="13.8" x14ac:dyDescent="0.3"/>
    <row r="501" ht="13.8" x14ac:dyDescent="0.3"/>
    <row r="502" ht="13.8" x14ac:dyDescent="0.3"/>
    <row r="503" ht="13.8" x14ac:dyDescent="0.3"/>
    <row r="504" ht="13.8" x14ac:dyDescent="0.3"/>
    <row r="505" ht="13.8" x14ac:dyDescent="0.3"/>
    <row r="506" ht="13.8" x14ac:dyDescent="0.3"/>
    <row r="507" ht="13.8" x14ac:dyDescent="0.3"/>
    <row r="508" ht="13.8" x14ac:dyDescent="0.3"/>
    <row r="509" ht="13.8" x14ac:dyDescent="0.3"/>
    <row r="510" ht="13.8" x14ac:dyDescent="0.3"/>
    <row r="511" ht="13.8" x14ac:dyDescent="0.3"/>
    <row r="512" ht="13.8" x14ac:dyDescent="0.3"/>
    <row r="513" ht="13.8" x14ac:dyDescent="0.3"/>
    <row r="514" ht="13.8" x14ac:dyDescent="0.3"/>
    <row r="515" ht="13.8" x14ac:dyDescent="0.3"/>
    <row r="516" ht="13.8" x14ac:dyDescent="0.3"/>
    <row r="517" ht="13.8" x14ac:dyDescent="0.3"/>
    <row r="518" ht="13.8" x14ac:dyDescent="0.3"/>
    <row r="519" ht="13.8" x14ac:dyDescent="0.3"/>
    <row r="520" ht="13.8" x14ac:dyDescent="0.3"/>
    <row r="521" ht="13.8" x14ac:dyDescent="0.3"/>
    <row r="522" ht="13.8" x14ac:dyDescent="0.3"/>
    <row r="523" ht="13.8" x14ac:dyDescent="0.3"/>
    <row r="524" ht="13.8" x14ac:dyDescent="0.3"/>
    <row r="525" ht="13.8" x14ac:dyDescent="0.3"/>
    <row r="526" ht="13.8" x14ac:dyDescent="0.3"/>
    <row r="527" ht="13.8" x14ac:dyDescent="0.3"/>
    <row r="528" ht="13.8" x14ac:dyDescent="0.3"/>
    <row r="529" ht="13.8" x14ac:dyDescent="0.3"/>
    <row r="530" ht="13.8" x14ac:dyDescent="0.3"/>
    <row r="531" ht="13.8" x14ac:dyDescent="0.3"/>
    <row r="532" ht="13.8" x14ac:dyDescent="0.3"/>
    <row r="533" ht="13.8" x14ac:dyDescent="0.3"/>
    <row r="534" ht="13.8" x14ac:dyDescent="0.3"/>
    <row r="535" ht="13.8" x14ac:dyDescent="0.3"/>
    <row r="536" ht="13.8" x14ac:dyDescent="0.3"/>
    <row r="537" ht="13.8" x14ac:dyDescent="0.3"/>
    <row r="538" ht="13.8" x14ac:dyDescent="0.3"/>
    <row r="539" ht="13.8" x14ac:dyDescent="0.3"/>
    <row r="540" ht="13.8" x14ac:dyDescent="0.3"/>
    <row r="541" ht="13.8" x14ac:dyDescent="0.3"/>
    <row r="542" ht="13.8" x14ac:dyDescent="0.3"/>
    <row r="543" ht="13.8" x14ac:dyDescent="0.3"/>
    <row r="544" ht="13.8" x14ac:dyDescent="0.3"/>
    <row r="545" ht="13.8" x14ac:dyDescent="0.3"/>
    <row r="546" ht="13.8" x14ac:dyDescent="0.3"/>
    <row r="547" ht="13.8" x14ac:dyDescent="0.3"/>
    <row r="548" ht="13.8" x14ac:dyDescent="0.3"/>
    <row r="549" ht="13.8" x14ac:dyDescent="0.3"/>
    <row r="550" ht="13.8" x14ac:dyDescent="0.3"/>
    <row r="551" ht="13.8" x14ac:dyDescent="0.3"/>
    <row r="552" ht="13.8" x14ac:dyDescent="0.3"/>
    <row r="553" ht="13.8" x14ac:dyDescent="0.3"/>
    <row r="554" ht="13.8" x14ac:dyDescent="0.3"/>
    <row r="555" ht="13.8" x14ac:dyDescent="0.3"/>
    <row r="556" ht="13.8" x14ac:dyDescent="0.3"/>
    <row r="557" ht="13.8" x14ac:dyDescent="0.3"/>
    <row r="558" ht="13.8" x14ac:dyDescent="0.3"/>
    <row r="559" ht="13.8" x14ac:dyDescent="0.3"/>
    <row r="560" ht="13.8" x14ac:dyDescent="0.3"/>
    <row r="561" ht="13.8" x14ac:dyDescent="0.3"/>
    <row r="562" ht="13.8" x14ac:dyDescent="0.3"/>
    <row r="563" ht="13.8" x14ac:dyDescent="0.3"/>
    <row r="564" ht="13.8" x14ac:dyDescent="0.3"/>
    <row r="565" ht="13.8" x14ac:dyDescent="0.3"/>
    <row r="566" ht="13.8" x14ac:dyDescent="0.3"/>
    <row r="567" ht="13.8" x14ac:dyDescent="0.3"/>
    <row r="568" ht="13.8" x14ac:dyDescent="0.3"/>
    <row r="569" ht="13.8" x14ac:dyDescent="0.3"/>
    <row r="570" ht="13.8" x14ac:dyDescent="0.3"/>
    <row r="571" ht="13.8" x14ac:dyDescent="0.3"/>
    <row r="572" ht="13.8" x14ac:dyDescent="0.3"/>
    <row r="573" ht="13.8" x14ac:dyDescent="0.3"/>
    <row r="574" ht="13.8" x14ac:dyDescent="0.3"/>
    <row r="575" ht="13.8" x14ac:dyDescent="0.3"/>
    <row r="576" ht="13.8" x14ac:dyDescent="0.3"/>
    <row r="577" ht="13.8" x14ac:dyDescent="0.3"/>
    <row r="578" ht="13.8" x14ac:dyDescent="0.3"/>
    <row r="579" ht="13.8" x14ac:dyDescent="0.3"/>
    <row r="580" ht="13.8" x14ac:dyDescent="0.3"/>
    <row r="581" ht="13.8" x14ac:dyDescent="0.3"/>
    <row r="582" ht="13.8" x14ac:dyDescent="0.3"/>
    <row r="583" ht="13.8" x14ac:dyDescent="0.3"/>
    <row r="584" ht="13.8" x14ac:dyDescent="0.3"/>
    <row r="585" ht="13.8" x14ac:dyDescent="0.3"/>
    <row r="586" ht="13.8" x14ac:dyDescent="0.3"/>
    <row r="587" ht="13.8" x14ac:dyDescent="0.3"/>
    <row r="588" ht="13.8" x14ac:dyDescent="0.3"/>
    <row r="589" ht="13.8" x14ac:dyDescent="0.3"/>
    <row r="590" ht="13.8" x14ac:dyDescent="0.3"/>
    <row r="591" ht="13.8" x14ac:dyDescent="0.3"/>
    <row r="592" ht="13.8" x14ac:dyDescent="0.3"/>
    <row r="593" ht="13.8" x14ac:dyDescent="0.3"/>
    <row r="594" ht="13.8" x14ac:dyDescent="0.3"/>
    <row r="595" ht="13.8" x14ac:dyDescent="0.3"/>
    <row r="596" ht="13.8" x14ac:dyDescent="0.3"/>
    <row r="597" ht="13.8" x14ac:dyDescent="0.3"/>
    <row r="598" ht="13.8" x14ac:dyDescent="0.3"/>
    <row r="599" ht="13.8" x14ac:dyDescent="0.3"/>
    <row r="600" ht="13.8" x14ac:dyDescent="0.3"/>
    <row r="601" ht="13.8" x14ac:dyDescent="0.3"/>
    <row r="602" ht="13.8" x14ac:dyDescent="0.3"/>
    <row r="603" ht="13.8" x14ac:dyDescent="0.3"/>
    <row r="604" ht="13.8" x14ac:dyDescent="0.3"/>
    <row r="605" ht="13.8" x14ac:dyDescent="0.3"/>
    <row r="606" ht="13.8" x14ac:dyDescent="0.3"/>
    <row r="607" ht="13.8" x14ac:dyDescent="0.3"/>
    <row r="608" ht="13.8" x14ac:dyDescent="0.3"/>
    <row r="609" ht="13.8" x14ac:dyDescent="0.3"/>
    <row r="610" ht="13.8" x14ac:dyDescent="0.3"/>
    <row r="611" ht="13.8" x14ac:dyDescent="0.3"/>
    <row r="612" ht="13.8" x14ac:dyDescent="0.3"/>
    <row r="613" ht="13.8" x14ac:dyDescent="0.3"/>
    <row r="614" ht="13.8" x14ac:dyDescent="0.3"/>
    <row r="615" ht="13.8" x14ac:dyDescent="0.3"/>
    <row r="616" ht="13.8" x14ac:dyDescent="0.3"/>
    <row r="617" ht="13.8" x14ac:dyDescent="0.3"/>
    <row r="618" ht="13.8" x14ac:dyDescent="0.3"/>
    <row r="619" ht="13.8" x14ac:dyDescent="0.3"/>
    <row r="620" ht="13.8" x14ac:dyDescent="0.3"/>
    <row r="621" ht="13.8" x14ac:dyDescent="0.3"/>
    <row r="622" ht="13.8" x14ac:dyDescent="0.3"/>
    <row r="623" ht="13.8" x14ac:dyDescent="0.3"/>
    <row r="624" ht="13.8" x14ac:dyDescent="0.3"/>
    <row r="625" ht="13.8" x14ac:dyDescent="0.3"/>
    <row r="626" ht="13.8" x14ac:dyDescent="0.3"/>
    <row r="627" ht="13.8" x14ac:dyDescent="0.3"/>
    <row r="628" ht="13.8" x14ac:dyDescent="0.3"/>
    <row r="629" ht="13.8" x14ac:dyDescent="0.3"/>
    <row r="630" ht="13.8" x14ac:dyDescent="0.3"/>
    <row r="631" ht="13.8" x14ac:dyDescent="0.3"/>
    <row r="632" ht="13.8" x14ac:dyDescent="0.3"/>
    <row r="633" ht="13.8" x14ac:dyDescent="0.3"/>
    <row r="634" ht="13.8" x14ac:dyDescent="0.3"/>
    <row r="635" ht="13.8" x14ac:dyDescent="0.3"/>
    <row r="636" ht="13.8" x14ac:dyDescent="0.3"/>
    <row r="637" ht="13.8" x14ac:dyDescent="0.3"/>
    <row r="638" ht="13.8" x14ac:dyDescent="0.3"/>
    <row r="639" ht="13.8" x14ac:dyDescent="0.3"/>
    <row r="640" ht="13.8" x14ac:dyDescent="0.3"/>
    <row r="641" ht="13.8" x14ac:dyDescent="0.3"/>
    <row r="642" ht="13.8" x14ac:dyDescent="0.3"/>
    <row r="643" ht="13.8" x14ac:dyDescent="0.3"/>
    <row r="644" ht="13.8" x14ac:dyDescent="0.3"/>
    <row r="645" ht="13.8" x14ac:dyDescent="0.3"/>
    <row r="646" ht="13.8" x14ac:dyDescent="0.3"/>
    <row r="647" ht="13.8" x14ac:dyDescent="0.3"/>
    <row r="648" ht="13.8" x14ac:dyDescent="0.3"/>
    <row r="649" ht="13.8" x14ac:dyDescent="0.3"/>
    <row r="650" ht="13.8" x14ac:dyDescent="0.3"/>
    <row r="651" ht="13.8" x14ac:dyDescent="0.3"/>
    <row r="652" ht="13.8" x14ac:dyDescent="0.3"/>
    <row r="653" ht="13.8" x14ac:dyDescent="0.3"/>
    <row r="654" ht="13.8" x14ac:dyDescent="0.3"/>
    <row r="655" ht="13.8" x14ac:dyDescent="0.3"/>
    <row r="656" ht="13.8" x14ac:dyDescent="0.3"/>
    <row r="657" ht="13.8" x14ac:dyDescent="0.3"/>
    <row r="658" ht="13.8" x14ac:dyDescent="0.3"/>
    <row r="659" ht="13.8" x14ac:dyDescent="0.3"/>
    <row r="660" ht="13.8" x14ac:dyDescent="0.3"/>
    <row r="661" ht="13.8" x14ac:dyDescent="0.3"/>
    <row r="662" ht="13.8" x14ac:dyDescent="0.3"/>
    <row r="663" ht="13.8" x14ac:dyDescent="0.3"/>
    <row r="664" ht="13.8" x14ac:dyDescent="0.3"/>
    <row r="665" ht="13.8" x14ac:dyDescent="0.3"/>
    <row r="666" ht="13.8" x14ac:dyDescent="0.3"/>
    <row r="667" ht="13.8" x14ac:dyDescent="0.3"/>
    <row r="668" ht="13.8" x14ac:dyDescent="0.3"/>
    <row r="669" ht="13.8" x14ac:dyDescent="0.3"/>
    <row r="670" ht="13.8" x14ac:dyDescent="0.3"/>
    <row r="671" ht="13.8" x14ac:dyDescent="0.3"/>
    <row r="672" ht="13.8" x14ac:dyDescent="0.3"/>
    <row r="673" ht="13.8" x14ac:dyDescent="0.3"/>
    <row r="674" ht="13.8" x14ac:dyDescent="0.3"/>
    <row r="675" ht="13.8" x14ac:dyDescent="0.3"/>
    <row r="676" ht="13.8" x14ac:dyDescent="0.3"/>
    <row r="677" ht="13.8" x14ac:dyDescent="0.3"/>
    <row r="678" ht="13.8" x14ac:dyDescent="0.3"/>
    <row r="679" ht="13.8" x14ac:dyDescent="0.3"/>
    <row r="680" ht="13.8" x14ac:dyDescent="0.3"/>
    <row r="681" ht="13.8" x14ac:dyDescent="0.3"/>
    <row r="682" ht="13.8" x14ac:dyDescent="0.3"/>
    <row r="683" ht="13.8" x14ac:dyDescent="0.3"/>
    <row r="684" ht="13.8" x14ac:dyDescent="0.3"/>
    <row r="685" ht="13.8" x14ac:dyDescent="0.3"/>
    <row r="686" ht="13.8" x14ac:dyDescent="0.3"/>
    <row r="687" ht="13.8" x14ac:dyDescent="0.3"/>
    <row r="688" ht="13.8" x14ac:dyDescent="0.3"/>
    <row r="689" ht="13.8" x14ac:dyDescent="0.3"/>
    <row r="690" ht="13.8" x14ac:dyDescent="0.3"/>
    <row r="691" ht="13.8" x14ac:dyDescent="0.3"/>
    <row r="692" ht="13.8" x14ac:dyDescent="0.3"/>
    <row r="693" ht="13.8" x14ac:dyDescent="0.3"/>
    <row r="694" ht="13.8" x14ac:dyDescent="0.3"/>
    <row r="695" ht="13.8" x14ac:dyDescent="0.3"/>
    <row r="696" ht="13.8" x14ac:dyDescent="0.3"/>
    <row r="697" ht="13.8" x14ac:dyDescent="0.3"/>
    <row r="698" ht="13.8" x14ac:dyDescent="0.3"/>
    <row r="699" ht="13.8" x14ac:dyDescent="0.3"/>
    <row r="700" ht="13.8" x14ac:dyDescent="0.3"/>
    <row r="701" ht="13.8" x14ac:dyDescent="0.3"/>
    <row r="702" ht="13.8" x14ac:dyDescent="0.3"/>
    <row r="703" ht="13.8" x14ac:dyDescent="0.3"/>
    <row r="704" ht="13.8" x14ac:dyDescent="0.3"/>
    <row r="705" ht="13.8" x14ac:dyDescent="0.3"/>
    <row r="706" ht="13.8" x14ac:dyDescent="0.3"/>
    <row r="707" ht="13.8" x14ac:dyDescent="0.3"/>
    <row r="708" ht="13.8" x14ac:dyDescent="0.3"/>
    <row r="709" ht="13.8" x14ac:dyDescent="0.3"/>
    <row r="710" ht="13.8" x14ac:dyDescent="0.3"/>
    <row r="711" ht="13.8" x14ac:dyDescent="0.3"/>
    <row r="712" ht="13.8" x14ac:dyDescent="0.3"/>
    <row r="713" ht="13.8" x14ac:dyDescent="0.3"/>
    <row r="714" ht="13.8" x14ac:dyDescent="0.3"/>
    <row r="715" ht="13.8" x14ac:dyDescent="0.3"/>
    <row r="716" ht="13.8" x14ac:dyDescent="0.3"/>
    <row r="717" ht="13.8" x14ac:dyDescent="0.3"/>
    <row r="718" ht="13.8" x14ac:dyDescent="0.3"/>
    <row r="719" ht="13.8" x14ac:dyDescent="0.3"/>
    <row r="720" ht="13.8" x14ac:dyDescent="0.3"/>
    <row r="721" ht="13.8" x14ac:dyDescent="0.3"/>
    <row r="722" ht="13.8" x14ac:dyDescent="0.3"/>
    <row r="723" ht="13.8" x14ac:dyDescent="0.3"/>
    <row r="724" ht="13.8" x14ac:dyDescent="0.3"/>
    <row r="725" ht="13.8" x14ac:dyDescent="0.3"/>
    <row r="726" ht="13.8" x14ac:dyDescent="0.3"/>
    <row r="727" ht="13.8" x14ac:dyDescent="0.3"/>
    <row r="728" ht="13.8" x14ac:dyDescent="0.3"/>
    <row r="729" ht="13.8" x14ac:dyDescent="0.3"/>
    <row r="730" ht="13.8" x14ac:dyDescent="0.3"/>
    <row r="731" ht="13.8" x14ac:dyDescent="0.3"/>
    <row r="732" ht="13.8" x14ac:dyDescent="0.3"/>
    <row r="733" ht="13.8" x14ac:dyDescent="0.3"/>
    <row r="734" ht="13.8" x14ac:dyDescent="0.3"/>
    <row r="735" ht="13.8" x14ac:dyDescent="0.3"/>
    <row r="736" ht="13.8" x14ac:dyDescent="0.3"/>
    <row r="737" ht="13.8" x14ac:dyDescent="0.3"/>
    <row r="738" ht="13.8" x14ac:dyDescent="0.3"/>
    <row r="739" ht="13.8" x14ac:dyDescent="0.3"/>
    <row r="740" ht="13.8" x14ac:dyDescent="0.3"/>
    <row r="741" ht="13.8" x14ac:dyDescent="0.3"/>
    <row r="742" ht="13.8" x14ac:dyDescent="0.3"/>
    <row r="743" ht="13.8" x14ac:dyDescent="0.3"/>
    <row r="744" ht="13.8" x14ac:dyDescent="0.3"/>
    <row r="745" ht="13.8" x14ac:dyDescent="0.3"/>
    <row r="746" ht="13.8" x14ac:dyDescent="0.3"/>
    <row r="747" ht="13.8" x14ac:dyDescent="0.3"/>
    <row r="748" ht="13.8" x14ac:dyDescent="0.3"/>
    <row r="749" ht="13.8" x14ac:dyDescent="0.3"/>
    <row r="750" ht="13.8" x14ac:dyDescent="0.3"/>
    <row r="751" ht="13.8" x14ac:dyDescent="0.3"/>
    <row r="752" ht="13.8" x14ac:dyDescent="0.3"/>
    <row r="753" ht="13.8" x14ac:dyDescent="0.3"/>
    <row r="754" ht="13.8" x14ac:dyDescent="0.3"/>
    <row r="755" ht="13.8" x14ac:dyDescent="0.3"/>
    <row r="756" ht="13.8" x14ac:dyDescent="0.3"/>
    <row r="757" ht="13.8" x14ac:dyDescent="0.3"/>
    <row r="758" ht="13.8" x14ac:dyDescent="0.3"/>
    <row r="759" ht="13.8" x14ac:dyDescent="0.3"/>
    <row r="760" ht="13.8" x14ac:dyDescent="0.3"/>
    <row r="761" ht="13.8" x14ac:dyDescent="0.3"/>
    <row r="762" ht="13.8" x14ac:dyDescent="0.3"/>
    <row r="763" ht="13.8" x14ac:dyDescent="0.3"/>
    <row r="764" ht="13.8" x14ac:dyDescent="0.3"/>
    <row r="765" ht="13.8" x14ac:dyDescent="0.3"/>
    <row r="766" ht="13.8" x14ac:dyDescent="0.3"/>
    <row r="767" ht="13.8" x14ac:dyDescent="0.3"/>
    <row r="768" ht="13.8" x14ac:dyDescent="0.3"/>
    <row r="769" ht="13.8" x14ac:dyDescent="0.3"/>
    <row r="770" ht="13.8" x14ac:dyDescent="0.3"/>
    <row r="771" ht="13.8" x14ac:dyDescent="0.3"/>
    <row r="772" ht="13.8" x14ac:dyDescent="0.3"/>
    <row r="773" ht="13.8" x14ac:dyDescent="0.3"/>
    <row r="774" ht="13.8" x14ac:dyDescent="0.3"/>
    <row r="775" ht="13.8" x14ac:dyDescent="0.3"/>
    <row r="776" ht="13.8" x14ac:dyDescent="0.3"/>
    <row r="777" ht="13.8" x14ac:dyDescent="0.3"/>
    <row r="778" ht="13.8" x14ac:dyDescent="0.3"/>
    <row r="779" ht="13.8" x14ac:dyDescent="0.3"/>
    <row r="780" ht="13.8" x14ac:dyDescent="0.3"/>
    <row r="781" ht="13.8" x14ac:dyDescent="0.3"/>
    <row r="782" ht="13.8" x14ac:dyDescent="0.3"/>
    <row r="783" ht="13.8" x14ac:dyDescent="0.3"/>
    <row r="784" ht="13.8" x14ac:dyDescent="0.3"/>
    <row r="785" ht="13.8" x14ac:dyDescent="0.3"/>
    <row r="786" ht="13.8" x14ac:dyDescent="0.3"/>
    <row r="787" ht="13.8" x14ac:dyDescent="0.3"/>
    <row r="788" ht="13.8" x14ac:dyDescent="0.3"/>
    <row r="789" ht="13.8" x14ac:dyDescent="0.3"/>
    <row r="790" ht="13.8" x14ac:dyDescent="0.3"/>
    <row r="791" ht="13.8" x14ac:dyDescent="0.3"/>
    <row r="792" ht="13.8" x14ac:dyDescent="0.3"/>
    <row r="793" ht="13.8" x14ac:dyDescent="0.3"/>
    <row r="794" ht="13.8" x14ac:dyDescent="0.3"/>
    <row r="795" ht="13.8" x14ac:dyDescent="0.3"/>
    <row r="796" ht="13.8" x14ac:dyDescent="0.3"/>
    <row r="797" ht="13.8" x14ac:dyDescent="0.3"/>
    <row r="798" ht="13.8" x14ac:dyDescent="0.3"/>
    <row r="799" ht="13.8" x14ac:dyDescent="0.3"/>
    <row r="800" ht="13.8" x14ac:dyDescent="0.3"/>
    <row r="801" ht="13.8" x14ac:dyDescent="0.3"/>
    <row r="802" ht="13.8" x14ac:dyDescent="0.3"/>
    <row r="803" ht="13.8" x14ac:dyDescent="0.3"/>
    <row r="804" ht="13.8" x14ac:dyDescent="0.3"/>
    <row r="805" ht="13.8" x14ac:dyDescent="0.3"/>
    <row r="806" ht="13.8" x14ac:dyDescent="0.3"/>
    <row r="807" ht="13.8" x14ac:dyDescent="0.3"/>
    <row r="808" ht="13.8" x14ac:dyDescent="0.3"/>
    <row r="809" ht="13.8" x14ac:dyDescent="0.3"/>
    <row r="810" ht="13.8" x14ac:dyDescent="0.3"/>
    <row r="811" ht="13.8" x14ac:dyDescent="0.3"/>
    <row r="812" ht="13.8" x14ac:dyDescent="0.3"/>
    <row r="813" ht="13.8" x14ac:dyDescent="0.3"/>
    <row r="814" ht="13.8" x14ac:dyDescent="0.3"/>
    <row r="815" ht="13.8" x14ac:dyDescent="0.3"/>
    <row r="816" ht="13.8" x14ac:dyDescent="0.3"/>
    <row r="817" ht="13.8" x14ac:dyDescent="0.3"/>
    <row r="818" ht="13.8" x14ac:dyDescent="0.3"/>
    <row r="819" ht="13.8" x14ac:dyDescent="0.3"/>
    <row r="820" ht="13.8" x14ac:dyDescent="0.3"/>
    <row r="821" ht="13.8" x14ac:dyDescent="0.3"/>
    <row r="822" ht="13.8" x14ac:dyDescent="0.3"/>
    <row r="823" ht="13.8" x14ac:dyDescent="0.3"/>
    <row r="824" ht="13.8" x14ac:dyDescent="0.3"/>
    <row r="825" ht="13.8" x14ac:dyDescent="0.3"/>
    <row r="826" ht="13.8" x14ac:dyDescent="0.3"/>
    <row r="827" ht="13.8" x14ac:dyDescent="0.3"/>
    <row r="828" ht="13.8" x14ac:dyDescent="0.3"/>
    <row r="829" ht="13.8" x14ac:dyDescent="0.3"/>
    <row r="830" ht="13.8" x14ac:dyDescent="0.3"/>
    <row r="831" ht="13.8" x14ac:dyDescent="0.3"/>
    <row r="832" ht="13.8" x14ac:dyDescent="0.3"/>
    <row r="833" ht="13.8" x14ac:dyDescent="0.3"/>
    <row r="834" ht="13.8" x14ac:dyDescent="0.3"/>
    <row r="835" ht="13.8" x14ac:dyDescent="0.3"/>
    <row r="836" ht="13.8" x14ac:dyDescent="0.3"/>
    <row r="837" ht="13.8" x14ac:dyDescent="0.3"/>
    <row r="838" ht="13.8" x14ac:dyDescent="0.3"/>
    <row r="839" ht="13.8" x14ac:dyDescent="0.3"/>
    <row r="840" ht="13.8" x14ac:dyDescent="0.3"/>
    <row r="841" ht="13.8" x14ac:dyDescent="0.3"/>
    <row r="842" ht="13.8" x14ac:dyDescent="0.3"/>
    <row r="843" ht="13.8" x14ac:dyDescent="0.3"/>
    <row r="844" ht="13.8" x14ac:dyDescent="0.3"/>
    <row r="845" ht="13.8" x14ac:dyDescent="0.3"/>
    <row r="846" ht="13.8" x14ac:dyDescent="0.3"/>
    <row r="847" ht="13.8" x14ac:dyDescent="0.3"/>
    <row r="848" ht="13.8" x14ac:dyDescent="0.3"/>
    <row r="849" ht="13.8" x14ac:dyDescent="0.3"/>
    <row r="850" ht="13.8" x14ac:dyDescent="0.3"/>
    <row r="851" ht="13.8" x14ac:dyDescent="0.3"/>
    <row r="852" ht="13.8" x14ac:dyDescent="0.3"/>
    <row r="853" ht="13.8" x14ac:dyDescent="0.3"/>
    <row r="854" ht="13.8" x14ac:dyDescent="0.3"/>
    <row r="855" ht="13.8" x14ac:dyDescent="0.3"/>
    <row r="856" ht="13.8" x14ac:dyDescent="0.3"/>
    <row r="857" ht="13.8" x14ac:dyDescent="0.3"/>
    <row r="858" ht="13.8" x14ac:dyDescent="0.3"/>
    <row r="859" ht="13.8" x14ac:dyDescent="0.3"/>
    <row r="860" ht="13.8" x14ac:dyDescent="0.3"/>
    <row r="861" ht="13.8" x14ac:dyDescent="0.3"/>
    <row r="862" ht="13.8" x14ac:dyDescent="0.3"/>
    <row r="863" ht="13.8" x14ac:dyDescent="0.3"/>
    <row r="864" ht="13.8" x14ac:dyDescent="0.3"/>
    <row r="865" ht="13.8" x14ac:dyDescent="0.3"/>
    <row r="866" ht="13.8" x14ac:dyDescent="0.3"/>
    <row r="867" ht="13.8" x14ac:dyDescent="0.3"/>
    <row r="868" ht="13.8" x14ac:dyDescent="0.3"/>
    <row r="869" ht="13.8" x14ac:dyDescent="0.3"/>
    <row r="870" ht="13.8" x14ac:dyDescent="0.3"/>
    <row r="871" ht="13.8" x14ac:dyDescent="0.3"/>
    <row r="872" ht="13.8" x14ac:dyDescent="0.3"/>
    <row r="873" ht="13.8" x14ac:dyDescent="0.3"/>
    <row r="874" ht="13.8" x14ac:dyDescent="0.3"/>
    <row r="875" ht="13.8" x14ac:dyDescent="0.3"/>
    <row r="876" ht="13.8" x14ac:dyDescent="0.3"/>
    <row r="877" ht="13.8" x14ac:dyDescent="0.3"/>
    <row r="878" ht="13.8" x14ac:dyDescent="0.3"/>
    <row r="879" ht="13.8" x14ac:dyDescent="0.3"/>
    <row r="880" ht="13.8" x14ac:dyDescent="0.3"/>
    <row r="881" ht="13.8" x14ac:dyDescent="0.3"/>
    <row r="882" ht="13.8" x14ac:dyDescent="0.3"/>
    <row r="883" ht="13.8" x14ac:dyDescent="0.3"/>
    <row r="884" ht="13.8" x14ac:dyDescent="0.3"/>
    <row r="885" ht="13.8" x14ac:dyDescent="0.3"/>
    <row r="886" ht="13.8" x14ac:dyDescent="0.3"/>
    <row r="887" ht="13.8" x14ac:dyDescent="0.3"/>
    <row r="888" ht="13.8" x14ac:dyDescent="0.3"/>
    <row r="889" ht="13.8" x14ac:dyDescent="0.3"/>
    <row r="890" ht="13.8" x14ac:dyDescent="0.3"/>
    <row r="891" ht="13.8" x14ac:dyDescent="0.3"/>
    <row r="892" ht="13.8" x14ac:dyDescent="0.3"/>
    <row r="893" ht="13.8" x14ac:dyDescent="0.3"/>
    <row r="894" ht="13.8" x14ac:dyDescent="0.3"/>
    <row r="895" ht="13.8" x14ac:dyDescent="0.3"/>
    <row r="896" ht="13.8" x14ac:dyDescent="0.3"/>
    <row r="897" ht="13.8" x14ac:dyDescent="0.3"/>
    <row r="898" ht="13.8" x14ac:dyDescent="0.3"/>
    <row r="899" ht="13.8" x14ac:dyDescent="0.3"/>
    <row r="900" ht="13.8" x14ac:dyDescent="0.3"/>
    <row r="901" ht="13.8" x14ac:dyDescent="0.3"/>
    <row r="902" ht="13.8" x14ac:dyDescent="0.3"/>
    <row r="903" ht="13.8" x14ac:dyDescent="0.3"/>
    <row r="904" ht="13.8" x14ac:dyDescent="0.3"/>
    <row r="905" ht="13.8" x14ac:dyDescent="0.3"/>
    <row r="906" ht="13.8" x14ac:dyDescent="0.3"/>
    <row r="907" ht="13.8" x14ac:dyDescent="0.3"/>
    <row r="908" ht="13.8" x14ac:dyDescent="0.3"/>
    <row r="909" ht="13.8" x14ac:dyDescent="0.3"/>
    <row r="910" ht="13.8" x14ac:dyDescent="0.3"/>
    <row r="911" ht="13.8" x14ac:dyDescent="0.3"/>
    <row r="912" ht="13.8" x14ac:dyDescent="0.3"/>
    <row r="913" ht="13.8" x14ac:dyDescent="0.3"/>
    <row r="914" ht="13.8" x14ac:dyDescent="0.3"/>
    <row r="915" ht="13.8" x14ac:dyDescent="0.3"/>
    <row r="916" ht="13.8" x14ac:dyDescent="0.3"/>
    <row r="917" ht="13.8" x14ac:dyDescent="0.3"/>
    <row r="918" ht="13.8" x14ac:dyDescent="0.3"/>
    <row r="919" ht="13.8" x14ac:dyDescent="0.3"/>
    <row r="920" ht="13.8" x14ac:dyDescent="0.3"/>
    <row r="921" ht="13.8" x14ac:dyDescent="0.3"/>
    <row r="922" ht="13.8" x14ac:dyDescent="0.3"/>
    <row r="923" ht="13.8" x14ac:dyDescent="0.3"/>
    <row r="924" ht="13.8" x14ac:dyDescent="0.3"/>
    <row r="925" ht="13.8" x14ac:dyDescent="0.3"/>
    <row r="926" ht="13.8" x14ac:dyDescent="0.3"/>
    <row r="927" ht="13.8" x14ac:dyDescent="0.3"/>
    <row r="928" ht="13.8" x14ac:dyDescent="0.3"/>
    <row r="929" ht="13.8" x14ac:dyDescent="0.3"/>
    <row r="930" ht="13.8" x14ac:dyDescent="0.3"/>
    <row r="931" ht="13.8" x14ac:dyDescent="0.3"/>
    <row r="932" ht="13.8" x14ac:dyDescent="0.3"/>
    <row r="933" ht="13.8" x14ac:dyDescent="0.3"/>
    <row r="934" ht="13.8" x14ac:dyDescent="0.3"/>
    <row r="935" ht="13.8" x14ac:dyDescent="0.3"/>
    <row r="936" ht="13.8" x14ac:dyDescent="0.3"/>
    <row r="937" ht="13.8" x14ac:dyDescent="0.3"/>
    <row r="938" ht="13.8" x14ac:dyDescent="0.3"/>
    <row r="939" ht="13.8" x14ac:dyDescent="0.3"/>
    <row r="940" ht="13.8" x14ac:dyDescent="0.3"/>
    <row r="941" ht="13.8" x14ac:dyDescent="0.3"/>
    <row r="942" ht="13.8" x14ac:dyDescent="0.3"/>
    <row r="943" ht="13.8" x14ac:dyDescent="0.3"/>
    <row r="944" ht="13.8" x14ac:dyDescent="0.3"/>
    <row r="945" ht="13.8" x14ac:dyDescent="0.3"/>
    <row r="946" ht="13.8" x14ac:dyDescent="0.3"/>
    <row r="947" ht="13.8" x14ac:dyDescent="0.3"/>
    <row r="948" ht="13.8" x14ac:dyDescent="0.3"/>
    <row r="949" ht="13.8" x14ac:dyDescent="0.3"/>
    <row r="950" ht="13.8" x14ac:dyDescent="0.3"/>
    <row r="951" ht="13.8" x14ac:dyDescent="0.3"/>
    <row r="952" ht="13.8" x14ac:dyDescent="0.3"/>
    <row r="953" ht="13.8" x14ac:dyDescent="0.3"/>
    <row r="954" ht="13.8" x14ac:dyDescent="0.3"/>
    <row r="955" ht="13.8" x14ac:dyDescent="0.3"/>
    <row r="956" ht="13.8" x14ac:dyDescent="0.3"/>
    <row r="957" ht="13.8" x14ac:dyDescent="0.3"/>
    <row r="958" ht="13.8" x14ac:dyDescent="0.3"/>
    <row r="959" ht="13.8" x14ac:dyDescent="0.3"/>
    <row r="960" ht="13.8" x14ac:dyDescent="0.3"/>
    <row r="961" ht="13.8" x14ac:dyDescent="0.3"/>
    <row r="962" ht="13.8" x14ac:dyDescent="0.3"/>
    <row r="963" ht="13.8" x14ac:dyDescent="0.3"/>
    <row r="964" ht="13.8" x14ac:dyDescent="0.3"/>
    <row r="965" ht="13.8" x14ac:dyDescent="0.3"/>
    <row r="966" ht="13.8" x14ac:dyDescent="0.3"/>
    <row r="967" ht="13.8" x14ac:dyDescent="0.3"/>
    <row r="968" ht="13.8" x14ac:dyDescent="0.3"/>
    <row r="969" ht="13.8" x14ac:dyDescent="0.3"/>
    <row r="970" ht="13.8" x14ac:dyDescent="0.3"/>
    <row r="971" ht="13.8" x14ac:dyDescent="0.3"/>
    <row r="972" ht="13.8" x14ac:dyDescent="0.3"/>
    <row r="973" ht="13.8" x14ac:dyDescent="0.3"/>
    <row r="974" ht="13.8" x14ac:dyDescent="0.3"/>
    <row r="975" ht="13.8" x14ac:dyDescent="0.3"/>
    <row r="976" ht="13.8" x14ac:dyDescent="0.3"/>
    <row r="977" ht="13.8" x14ac:dyDescent="0.3"/>
    <row r="978" ht="13.8" x14ac:dyDescent="0.3"/>
    <row r="979" ht="13.8" x14ac:dyDescent="0.3"/>
    <row r="980" ht="13.8" x14ac:dyDescent="0.3"/>
    <row r="981" ht="13.8" x14ac:dyDescent="0.3"/>
    <row r="982" ht="13.8" x14ac:dyDescent="0.3"/>
    <row r="983" ht="13.8" x14ac:dyDescent="0.3"/>
    <row r="984" ht="13.8" x14ac:dyDescent="0.3"/>
    <row r="985" ht="13.8" x14ac:dyDescent="0.3"/>
    <row r="986" ht="13.8" x14ac:dyDescent="0.3"/>
  </sheetData>
  <mergeCells count="1">
    <mergeCell ref="L42:L44"/>
  </mergeCells>
  <conditionalFormatting sqref="B12:B26">
    <cfRule type="colorScale" priority="2">
      <colorScale>
        <cfvo type="min"/>
        <cfvo type="max"/>
        <color rgb="FFFFFFFF"/>
        <color rgb="FF57BB8A"/>
      </colorScale>
    </cfRule>
  </conditionalFormatting>
  <conditionalFormatting sqref="B28:B35">
    <cfRule type="colorScale" priority="26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D12:D26">
    <cfRule type="colorScale" priority="3">
      <colorScale>
        <cfvo type="min"/>
        <cfvo type="max"/>
        <color rgb="FFFFFFFF"/>
        <color rgb="FF57BB8A"/>
      </colorScale>
    </cfRule>
  </conditionalFormatting>
  <conditionalFormatting sqref="D33:E35 G33:G35">
    <cfRule type="colorScale" priority="23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D28:H31 J29:K31">
    <cfRule type="colorScale" priority="2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E12:E24">
    <cfRule type="colorScale" priority="4">
      <colorScale>
        <cfvo type="min"/>
        <cfvo type="max"/>
        <color rgb="FFE67C73"/>
        <color rgb="FFFFFFFF"/>
      </colorScale>
    </cfRule>
  </conditionalFormatting>
  <conditionalFormatting sqref="F12:F26 H26">
    <cfRule type="colorScale" priority="5">
      <colorScale>
        <cfvo type="min"/>
        <cfvo type="max"/>
        <color rgb="FFFFFFFF"/>
        <color rgb="FF57BB8A"/>
      </colorScale>
    </cfRule>
  </conditionalFormatting>
  <conditionalFormatting sqref="G13:G26">
    <cfRule type="colorScale" priority="6">
      <colorScale>
        <cfvo type="min"/>
        <cfvo type="max"/>
        <color rgb="FFFFFFFF"/>
        <color rgb="FF57BB8A"/>
      </colorScale>
    </cfRule>
  </conditionalFormatting>
  <conditionalFormatting sqref="H13:H26">
    <cfRule type="colorScale" priority="7">
      <colorScale>
        <cfvo type="min"/>
        <cfvo type="max"/>
        <color rgb="FFFFFFFF"/>
        <color rgb="FF57BB8A"/>
      </colorScale>
    </cfRule>
  </conditionalFormatting>
  <conditionalFormatting sqref="I13:I2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8:I31">
    <cfRule type="colorScale" priority="2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I42:K42">
    <cfRule type="colorScale" priority="13">
      <colorScale>
        <cfvo type="min"/>
        <cfvo type="max"/>
        <color rgb="FFFFFFFF"/>
        <color rgb="FF57BB8A"/>
      </colorScale>
    </cfRule>
  </conditionalFormatting>
  <conditionalFormatting sqref="I44:K44">
    <cfRule type="colorScale" priority="2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39:M3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9:J26">
    <cfRule type="colorScale" priority="9">
      <colorScale>
        <cfvo type="min"/>
        <cfvo type="max"/>
        <color rgb="FFFFFFFF"/>
        <color rgb="FF57BB8A"/>
      </colorScale>
    </cfRule>
  </conditionalFormatting>
  <conditionalFormatting sqref="J35:M35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6:M36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4:N3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9:K26">
    <cfRule type="colorScale" priority="10">
      <colorScale>
        <cfvo type="min"/>
        <cfvo type="max"/>
        <color rgb="FFFFFFFF"/>
        <color rgb="FF57BB8A"/>
      </colorScale>
    </cfRule>
  </conditionalFormatting>
  <conditionalFormatting sqref="L19:M26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29:N31">
    <cfRule type="colorScale" priority="2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19:N26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41">
    <cfRule type="colorScale" priority="2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T27:T36 Y27:Y36 AE27:AE3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8:T4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8:U4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27:Y3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Dmartintrinsic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2024-10-15T08:49:56Z</dcterms:created>
  <dcterms:modified xsi:type="dcterms:W3CDTF">2024-10-15T08:50:15Z</dcterms:modified>
</cp:coreProperties>
</file>