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fi\Desktop\Documents\Annual Result\Q1_fy25\"/>
    </mc:Choice>
  </mc:AlternateContent>
  <xr:revisionPtr revIDLastSave="0" documentId="8_{6FD9C0E4-FD86-4826-9A4D-F08F55CAAE87}" xr6:coauthVersionLast="47" xr6:coauthVersionMax="47" xr10:uidLastSave="{00000000-0000-0000-0000-000000000000}"/>
  <bookViews>
    <workbookView xWindow="-108" yWindow="-108" windowWidth="23256" windowHeight="12456" xr2:uid="{9361C2E6-9E89-4747-9CC2-1B5C4349B21E}"/>
  </bookViews>
  <sheets>
    <sheet name="PATANJALI" sheetId="1" r:id="rId1"/>
    <sheet name="EDIBLE OILS" sheetId="2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29" i="2" l="1"/>
  <c r="R104" i="2" s="1"/>
  <c r="Z129" i="2"/>
  <c r="Q104" i="2" s="1"/>
  <c r="Y129" i="2"/>
  <c r="P104" i="2" s="1"/>
  <c r="W129" i="2"/>
  <c r="V129" i="2"/>
  <c r="U129" i="2"/>
  <c r="T129" i="2"/>
  <c r="S129" i="2"/>
  <c r="J104" i="2" s="1"/>
  <c r="P129" i="2"/>
  <c r="O129" i="2"/>
  <c r="N129" i="2"/>
  <c r="X129" i="2" s="1"/>
  <c r="O104" i="2" s="1"/>
  <c r="M129" i="2"/>
  <c r="L129" i="2"/>
  <c r="K129" i="2"/>
  <c r="J129" i="2"/>
  <c r="I129" i="2"/>
  <c r="H129" i="2"/>
  <c r="G129" i="2"/>
  <c r="F127" i="2"/>
  <c r="D127" i="2"/>
  <c r="F126" i="2"/>
  <c r="D126" i="2"/>
  <c r="F125" i="2"/>
  <c r="D125" i="2"/>
  <c r="F124" i="2"/>
  <c r="D124" i="2"/>
  <c r="F123" i="2"/>
  <c r="D123" i="2"/>
  <c r="F122" i="2"/>
  <c r="D122" i="2"/>
  <c r="F121" i="2"/>
  <c r="D121" i="2"/>
  <c r="F120" i="2"/>
  <c r="D120" i="2"/>
  <c r="F119" i="2"/>
  <c r="D119" i="2"/>
  <c r="F118" i="2"/>
  <c r="D118" i="2"/>
  <c r="F117" i="2"/>
  <c r="D117" i="2"/>
  <c r="F116" i="2"/>
  <c r="D116" i="2"/>
  <c r="F115" i="2"/>
  <c r="D115" i="2"/>
  <c r="F114" i="2"/>
  <c r="D114" i="2"/>
  <c r="F113" i="2"/>
  <c r="D113" i="2"/>
  <c r="AA112" i="2"/>
  <c r="Z112" i="2"/>
  <c r="Y112" i="2"/>
  <c r="X112" i="2"/>
  <c r="W112" i="2"/>
  <c r="V112" i="2"/>
  <c r="U112" i="2"/>
  <c r="T112" i="2"/>
  <c r="S112" i="2"/>
  <c r="R112" i="2"/>
  <c r="F112" i="2"/>
  <c r="D112" i="2"/>
  <c r="AA111" i="2"/>
  <c r="Z111" i="2"/>
  <c r="Y111" i="2"/>
  <c r="X111" i="2"/>
  <c r="W111" i="2"/>
  <c r="V111" i="2"/>
  <c r="U111" i="2"/>
  <c r="T111" i="2"/>
  <c r="S111" i="2"/>
  <c r="R111" i="2"/>
  <c r="N111" i="2"/>
  <c r="F111" i="2"/>
  <c r="D111" i="2"/>
  <c r="AA110" i="2"/>
  <c r="Z110" i="2"/>
  <c r="Y110" i="2"/>
  <c r="X110" i="2"/>
  <c r="W110" i="2"/>
  <c r="V110" i="2"/>
  <c r="U110" i="2"/>
  <c r="T110" i="2"/>
  <c r="S110" i="2"/>
  <c r="R110" i="2"/>
  <c r="F110" i="2"/>
  <c r="D110" i="2"/>
  <c r="AA109" i="2"/>
  <c r="Z109" i="2"/>
  <c r="Y109" i="2"/>
  <c r="X109" i="2"/>
  <c r="W109" i="2"/>
  <c r="V109" i="2"/>
  <c r="U109" i="2"/>
  <c r="T109" i="2"/>
  <c r="S109" i="2"/>
  <c r="R109" i="2"/>
  <c r="F109" i="2"/>
  <c r="D109" i="2"/>
  <c r="AA108" i="2"/>
  <c r="Z108" i="2"/>
  <c r="Y108" i="2"/>
  <c r="X108" i="2"/>
  <c r="W108" i="2"/>
  <c r="V108" i="2"/>
  <c r="U108" i="2"/>
  <c r="T108" i="2"/>
  <c r="S108" i="2"/>
  <c r="R108" i="2"/>
  <c r="F108" i="2"/>
  <c r="D108" i="2"/>
  <c r="AA107" i="2"/>
  <c r="Z107" i="2"/>
  <c r="Y107" i="2"/>
  <c r="X107" i="2"/>
  <c r="W107" i="2"/>
  <c r="V107" i="2"/>
  <c r="U107" i="2"/>
  <c r="T107" i="2"/>
  <c r="S107" i="2"/>
  <c r="R107" i="2"/>
  <c r="F107" i="2"/>
  <c r="F129" i="2" s="1"/>
  <c r="E104" i="2" s="1"/>
  <c r="D107" i="2"/>
  <c r="N104" i="2"/>
  <c r="M104" i="2"/>
  <c r="L104" i="2"/>
  <c r="K104" i="2"/>
  <c r="I104" i="2"/>
  <c r="H104" i="2"/>
  <c r="G104" i="2"/>
  <c r="F104" i="2"/>
  <c r="K63" i="1"/>
  <c r="J63" i="1"/>
  <c r="T54" i="1"/>
  <c r="R54" i="1"/>
  <c r="Q54" i="1"/>
  <c r="P54" i="1"/>
  <c r="O54" i="1"/>
  <c r="T53" i="1"/>
  <c r="R53" i="1"/>
  <c r="Q53" i="1"/>
  <c r="P53" i="1"/>
  <c r="O53" i="1"/>
  <c r="T52" i="1"/>
  <c r="R52" i="1"/>
  <c r="Q52" i="1"/>
  <c r="P52" i="1"/>
  <c r="O52" i="1"/>
  <c r="T51" i="1"/>
  <c r="R51" i="1"/>
  <c r="Q51" i="1"/>
  <c r="P51" i="1"/>
  <c r="O51" i="1"/>
  <c r="T50" i="1"/>
  <c r="R50" i="1"/>
  <c r="Q50" i="1"/>
  <c r="P50" i="1"/>
  <c r="O50" i="1"/>
  <c r="T49" i="1"/>
  <c r="R49" i="1"/>
  <c r="Q49" i="1"/>
  <c r="P49" i="1"/>
  <c r="O49" i="1"/>
  <c r="T48" i="1"/>
  <c r="R48" i="1"/>
  <c r="Q48" i="1"/>
  <c r="P48" i="1"/>
  <c r="O48" i="1"/>
  <c r="T47" i="1"/>
  <c r="R47" i="1"/>
  <c r="Q47" i="1"/>
  <c r="P47" i="1"/>
  <c r="O47" i="1"/>
  <c r="T46" i="1"/>
  <c r="R46" i="1"/>
  <c r="Q46" i="1"/>
  <c r="P46" i="1"/>
  <c r="O46" i="1"/>
  <c r="T45" i="1"/>
  <c r="R45" i="1"/>
  <c r="Q45" i="1"/>
  <c r="P45" i="1"/>
  <c r="O45" i="1"/>
  <c r="T44" i="1"/>
  <c r="S44" i="1"/>
  <c r="R44" i="1"/>
  <c r="Q44" i="1"/>
  <c r="P44" i="1"/>
  <c r="O44" i="1"/>
  <c r="G44" i="1"/>
  <c r="F44" i="1"/>
  <c r="T43" i="1"/>
  <c r="S43" i="1"/>
  <c r="R43" i="1"/>
  <c r="Q43" i="1"/>
  <c r="P43" i="1"/>
  <c r="O43" i="1"/>
  <c r="G43" i="1"/>
  <c r="F43" i="1"/>
  <c r="X42" i="1"/>
  <c r="W42" i="1"/>
  <c r="Y40" i="1" s="1"/>
  <c r="T42" i="1"/>
  <c r="S42" i="1"/>
  <c r="Q42" i="1"/>
  <c r="P42" i="1"/>
  <c r="O42" i="1"/>
  <c r="H42" i="1"/>
  <c r="R42" i="1" s="1"/>
  <c r="G42" i="1"/>
  <c r="T41" i="1"/>
  <c r="S41" i="1"/>
  <c r="Q41" i="1"/>
  <c r="P41" i="1"/>
  <c r="O41" i="1"/>
  <c r="H41" i="1"/>
  <c r="R41" i="1" s="1"/>
  <c r="G41" i="1"/>
  <c r="Z40" i="1"/>
  <c r="T40" i="1"/>
  <c r="S40" i="1"/>
  <c r="R40" i="1"/>
  <c r="Q40" i="1"/>
  <c r="P40" i="1"/>
  <c r="O40" i="1"/>
  <c r="H40" i="1"/>
  <c r="G40" i="1"/>
  <c r="Z39" i="1"/>
  <c r="T39" i="1"/>
  <c r="S39" i="1"/>
  <c r="Q39" i="1"/>
  <c r="P39" i="1"/>
  <c r="O39" i="1"/>
  <c r="H39" i="1"/>
  <c r="R39" i="1" s="1"/>
  <c r="G39" i="1"/>
  <c r="AD38" i="1"/>
  <c r="AC38" i="1"/>
  <c r="AE35" i="1" s="1"/>
  <c r="Z38" i="1"/>
  <c r="T38" i="1"/>
  <c r="S38" i="1"/>
  <c r="R38" i="1"/>
  <c r="Q38" i="1"/>
  <c r="P38" i="1"/>
  <c r="O38" i="1"/>
  <c r="H38" i="1"/>
  <c r="G38" i="1"/>
  <c r="Z37" i="1"/>
  <c r="T37" i="1"/>
  <c r="S37" i="1"/>
  <c r="Q37" i="1"/>
  <c r="P37" i="1"/>
  <c r="O37" i="1"/>
  <c r="H37" i="1"/>
  <c r="R37" i="1" s="1"/>
  <c r="G37" i="1"/>
  <c r="AF36" i="1"/>
  <c r="Z36" i="1"/>
  <c r="Y36" i="1"/>
  <c r="T36" i="1"/>
  <c r="S36" i="1"/>
  <c r="Q36" i="1"/>
  <c r="P36" i="1"/>
  <c r="O36" i="1"/>
  <c r="H36" i="1"/>
  <c r="R36" i="1" s="1"/>
  <c r="G36" i="1"/>
  <c r="AF35" i="1"/>
  <c r="Z35" i="1"/>
  <c r="T35" i="1"/>
  <c r="S35" i="1"/>
  <c r="S24" i="1" s="1"/>
  <c r="Q35" i="1"/>
  <c r="Q24" i="1" s="1"/>
  <c r="P35" i="1"/>
  <c r="O35" i="1"/>
  <c r="H35" i="1"/>
  <c r="R35" i="1" s="1"/>
  <c r="G35" i="1"/>
  <c r="AF34" i="1"/>
  <c r="Z34" i="1"/>
  <c r="Y34" i="1"/>
  <c r="T34" i="1"/>
  <c r="S34" i="1"/>
  <c r="Q34" i="1"/>
  <c r="P34" i="1"/>
  <c r="O34" i="1"/>
  <c r="H34" i="1"/>
  <c r="R34" i="1" s="1"/>
  <c r="G34" i="1"/>
  <c r="G22" i="1" s="1"/>
  <c r="T33" i="1"/>
  <c r="S33" i="1"/>
  <c r="Q33" i="1"/>
  <c r="P33" i="1"/>
  <c r="O33" i="1"/>
  <c r="H33" i="1"/>
  <c r="R33" i="1" s="1"/>
  <c r="G33" i="1"/>
  <c r="T32" i="1"/>
  <c r="S32" i="1"/>
  <c r="Q32" i="1"/>
  <c r="P32" i="1"/>
  <c r="O32" i="1"/>
  <c r="O22" i="1" s="1"/>
  <c r="H32" i="1"/>
  <c r="R32" i="1" s="1"/>
  <c r="G32" i="1"/>
  <c r="X31" i="1"/>
  <c r="W31" i="1"/>
  <c r="Y31" i="1" s="1"/>
  <c r="T31" i="1"/>
  <c r="S31" i="1"/>
  <c r="R31" i="1"/>
  <c r="R22" i="1" s="1"/>
  <c r="Q31" i="1"/>
  <c r="P31" i="1"/>
  <c r="P22" i="1" s="1"/>
  <c r="O31" i="1"/>
  <c r="X30" i="1"/>
  <c r="W30" i="1"/>
  <c r="Y30" i="1" s="1"/>
  <c r="T30" i="1"/>
  <c r="S30" i="1"/>
  <c r="R30" i="1"/>
  <c r="Q30" i="1"/>
  <c r="Q22" i="1" s="1"/>
  <c r="P30" i="1"/>
  <c r="O30" i="1"/>
  <c r="AH29" i="1"/>
  <c r="AG29" i="1"/>
  <c r="AI29" i="1" s="1"/>
  <c r="AC29" i="1"/>
  <c r="AB29" i="1"/>
  <c r="AD29" i="1" s="1"/>
  <c r="Y29" i="1"/>
  <c r="T29" i="1"/>
  <c r="S29" i="1"/>
  <c r="R29" i="1"/>
  <c r="P29" i="1"/>
  <c r="O29" i="1"/>
  <c r="K29" i="1"/>
  <c r="Q29" i="1" s="1"/>
  <c r="J29" i="1"/>
  <c r="AH28" i="1"/>
  <c r="AG28" i="1"/>
  <c r="AI28" i="1" s="1"/>
  <c r="AC28" i="1"/>
  <c r="AD28" i="1" s="1"/>
  <c r="AB28" i="1"/>
  <c r="Y28" i="1"/>
  <c r="AI27" i="1"/>
  <c r="AD27" i="1"/>
  <c r="Y27" i="1"/>
  <c r="AI26" i="1"/>
  <c r="AD26" i="1"/>
  <c r="X26" i="1"/>
  <c r="W26" i="1"/>
  <c r="Y26" i="1" s="1"/>
  <c r="AI25" i="1"/>
  <c r="AD25" i="1"/>
  <c r="Y25" i="1"/>
  <c r="T25" i="1"/>
  <c r="N25" i="1"/>
  <c r="M25" i="1"/>
  <c r="K25" i="1"/>
  <c r="J25" i="1"/>
  <c r="H25" i="1"/>
  <c r="G25" i="1"/>
  <c r="F25" i="1"/>
  <c r="E25" i="1"/>
  <c r="D25" i="1"/>
  <c r="C25" i="1"/>
  <c r="B25" i="1"/>
  <c r="AI24" i="1"/>
  <c r="AD24" i="1"/>
  <c r="X24" i="1"/>
  <c r="Y24" i="1" s="1"/>
  <c r="W24" i="1"/>
  <c r="T24" i="1"/>
  <c r="N24" i="1"/>
  <c r="M24" i="1"/>
  <c r="K24" i="1"/>
  <c r="J24" i="1"/>
  <c r="H24" i="1"/>
  <c r="G24" i="1"/>
  <c r="F24" i="1"/>
  <c r="E24" i="1"/>
  <c r="D24" i="1"/>
  <c r="C24" i="1"/>
  <c r="B24" i="1"/>
  <c r="AI23" i="1"/>
  <c r="AD23" i="1"/>
  <c r="Y23" i="1"/>
  <c r="T23" i="1"/>
  <c r="N23" i="1"/>
  <c r="M23" i="1"/>
  <c r="K23" i="1"/>
  <c r="J23" i="1"/>
  <c r="C23" i="1"/>
  <c r="B23" i="1"/>
  <c r="AI22" i="1"/>
  <c r="AD22" i="1"/>
  <c r="Y22" i="1"/>
  <c r="T22" i="1"/>
  <c r="S22" i="1"/>
  <c r="N22" i="1"/>
  <c r="M22" i="1"/>
  <c r="L22" i="1"/>
  <c r="K22" i="1"/>
  <c r="J22" i="1"/>
  <c r="H22" i="1"/>
  <c r="F22" i="1"/>
  <c r="E22" i="1"/>
  <c r="D22" i="1"/>
  <c r="C22" i="1"/>
  <c r="B22" i="1"/>
  <c r="P14" i="1"/>
  <c r="E14" i="1"/>
  <c r="G3" i="1" s="1"/>
  <c r="C14" i="1"/>
  <c r="E3" i="1" s="1"/>
  <c r="N12" i="1"/>
  <c r="N9" i="1"/>
  <c r="H9" i="1"/>
  <c r="G9" i="1"/>
  <c r="F9" i="1"/>
  <c r="D9" i="1"/>
  <c r="C9" i="1"/>
  <c r="B9" i="1"/>
  <c r="Q5" i="1"/>
  <c r="P5" i="1"/>
  <c r="O5" i="1"/>
  <c r="N5" i="1"/>
  <c r="M5" i="1"/>
  <c r="L5" i="1"/>
  <c r="K5" i="1"/>
  <c r="J5" i="1"/>
  <c r="I5" i="1"/>
  <c r="H5" i="1"/>
  <c r="G4" i="1"/>
  <c r="F4" i="1"/>
  <c r="E4" i="1"/>
  <c r="D3" i="1"/>
  <c r="C3" i="1"/>
  <c r="R14" i="1" s="1"/>
  <c r="S12" i="1" s="1"/>
  <c r="D4" i="1" l="1"/>
  <c r="D5" i="1" s="1"/>
  <c r="E9" i="1"/>
  <c r="E5" i="1"/>
  <c r="L9" i="1"/>
  <c r="G5" i="1"/>
  <c r="R24" i="1"/>
  <c r="R23" i="1"/>
  <c r="R25" i="1"/>
  <c r="C5" i="1"/>
  <c r="K9" i="1"/>
  <c r="D14" i="1"/>
  <c r="Q25" i="1"/>
  <c r="M9" i="1"/>
  <c r="F14" i="1"/>
  <c r="Q23" i="1"/>
  <c r="S25" i="1"/>
  <c r="AF38" i="1"/>
  <c r="Z42" i="1"/>
  <c r="C13" i="1"/>
  <c r="Y35" i="1"/>
  <c r="Y37" i="1"/>
  <c r="Y39" i="1"/>
  <c r="O9" i="1"/>
  <c r="Q14" i="1"/>
  <c r="S23" i="1"/>
  <c r="AE34" i="1"/>
  <c r="AE36" i="1"/>
  <c r="AE38" i="1"/>
  <c r="Y42" i="1"/>
  <c r="Y38" i="1"/>
  <c r="C12" i="1" l="1"/>
  <c r="D13" i="1"/>
  <c r="D18" i="1"/>
  <c r="F3" i="1"/>
  <c r="I9" i="1" l="1"/>
  <c r="F5" i="1"/>
  <c r="J9" i="1"/>
  <c r="D12" i="1"/>
  <c r="E13" i="1"/>
  <c r="F13" i="1" l="1"/>
  <c r="E12" i="1"/>
  <c r="F12" i="1" s="1"/>
</calcChain>
</file>

<file path=xl/sharedStrings.xml><?xml version="1.0" encoding="utf-8"?>
<sst xmlns="http://schemas.openxmlformats.org/spreadsheetml/2006/main" count="387" uniqueCount="251">
  <si>
    <t xml:space="preserve">   </t>
  </si>
  <si>
    <t>DATA</t>
  </si>
  <si>
    <t>Company</t>
  </si>
  <si>
    <t>Price</t>
  </si>
  <si>
    <t>Marketcap</t>
  </si>
  <si>
    <t>Sales</t>
  </si>
  <si>
    <t>Profit</t>
  </si>
  <si>
    <t>F_EPS</t>
  </si>
  <si>
    <t>FV</t>
  </si>
  <si>
    <t>Equity</t>
  </si>
  <si>
    <t>TOTAL EQ</t>
  </si>
  <si>
    <t>DEBT</t>
  </si>
  <si>
    <t>LEASE</t>
  </si>
  <si>
    <t>CUR.ASSETS</t>
  </si>
  <si>
    <t>CUR.LIABILITIES</t>
  </si>
  <si>
    <t>ASSETS</t>
  </si>
  <si>
    <t>LIABILITIES</t>
  </si>
  <si>
    <t>TRADE REC</t>
  </si>
  <si>
    <t>PATANJALI</t>
  </si>
  <si>
    <t>LASTYEAR_24</t>
  </si>
  <si>
    <t>GROWTH</t>
  </si>
  <si>
    <t>RATIO</t>
  </si>
  <si>
    <t>LIQUIDITY</t>
  </si>
  <si>
    <t>SOLVENCY</t>
  </si>
  <si>
    <t>PROFITABILITY</t>
  </si>
  <si>
    <t>VALUATIONS</t>
  </si>
  <si>
    <t>SALES GROWTH</t>
  </si>
  <si>
    <t>P-MARGIN</t>
  </si>
  <si>
    <t>CUR.RATIO</t>
  </si>
  <si>
    <t>TRADE CYC DAYS</t>
  </si>
  <si>
    <t>DEBT2EQUITY</t>
  </si>
  <si>
    <t>DEBTRATIO</t>
  </si>
  <si>
    <t>ICR</t>
  </si>
  <si>
    <t>ROE</t>
  </si>
  <si>
    <t>ROA</t>
  </si>
  <si>
    <t>F_PE</t>
  </si>
  <si>
    <t>YIELD</t>
  </si>
  <si>
    <t>DIV_YIELD%</t>
  </si>
  <si>
    <t>BOOKVALUE</t>
  </si>
  <si>
    <t>PBV</t>
  </si>
  <si>
    <t>Estimates</t>
  </si>
  <si>
    <t>Year</t>
  </si>
  <si>
    <t>EPS</t>
  </si>
  <si>
    <t>FARIVALUE</t>
  </si>
  <si>
    <t>TRAILEPS</t>
  </si>
  <si>
    <t>H1_FY_24</t>
  </si>
  <si>
    <t>9M_FY_24</t>
  </si>
  <si>
    <t>FY_24</t>
  </si>
  <si>
    <t>Q1_FY25</t>
  </si>
  <si>
    <t>EST-2025</t>
  </si>
  <si>
    <t>EPS_24</t>
  </si>
  <si>
    <t>TRAIL_EPS</t>
  </si>
  <si>
    <t>EST_EPS_25</t>
  </si>
  <si>
    <t>PEG</t>
  </si>
  <si>
    <t>FY_2035</t>
  </si>
  <si>
    <t>FY_2030</t>
  </si>
  <si>
    <t>PE_24</t>
  </si>
  <si>
    <t>TRAIL_PE</t>
  </si>
  <si>
    <t>EST_PE_25</t>
  </si>
  <si>
    <t>FY_2025</t>
  </si>
  <si>
    <t>TREND</t>
  </si>
  <si>
    <t>H1_FY24</t>
  </si>
  <si>
    <t>9M_FY24</t>
  </si>
  <si>
    <t>FY24</t>
  </si>
  <si>
    <t>SALES</t>
  </si>
  <si>
    <t>ESTIMATE</t>
  </si>
  <si>
    <t>Revenue</t>
  </si>
  <si>
    <t>PAT</t>
  </si>
  <si>
    <t>MARGIN</t>
  </si>
  <si>
    <t>FAIR_PE</t>
  </si>
  <si>
    <t>PROFIT</t>
  </si>
  <si>
    <t>LongTerm</t>
  </si>
  <si>
    <t>CYear</t>
  </si>
  <si>
    <t>volume</t>
  </si>
  <si>
    <t>EQUITY</t>
  </si>
  <si>
    <t>BORROWING</t>
  </si>
  <si>
    <t>YEAR</t>
  </si>
  <si>
    <t>PRICE_HIGH</t>
  </si>
  <si>
    <t>PRICE_LOW</t>
  </si>
  <si>
    <t>PE_HIGH</t>
  </si>
  <si>
    <t>PE_Low</t>
  </si>
  <si>
    <t>D2E</t>
  </si>
  <si>
    <t>Q1_FY_25</t>
  </si>
  <si>
    <t>Q1_FY_24</t>
  </si>
  <si>
    <t>Growth</t>
  </si>
  <si>
    <t>Q4_FY_24</t>
  </si>
  <si>
    <t>Q4_FY_23</t>
  </si>
  <si>
    <t>FY_23</t>
  </si>
  <si>
    <t>POST-PATANJALI</t>
  </si>
  <si>
    <t>4Y_POST_IBC</t>
  </si>
  <si>
    <t>RUCHI SOYA ERA</t>
  </si>
  <si>
    <t>19Y_PRE_IBC</t>
  </si>
  <si>
    <t>Exp</t>
  </si>
  <si>
    <t>9Y_PRE_IBC</t>
  </si>
  <si>
    <t>EBITDA</t>
  </si>
  <si>
    <t>Fin</t>
  </si>
  <si>
    <t>5Y_PRE_IBC</t>
  </si>
  <si>
    <t>PBT</t>
  </si>
  <si>
    <t>BALANCE</t>
  </si>
  <si>
    <t>SHEET</t>
  </si>
  <si>
    <t>INCOME</t>
  </si>
  <si>
    <t>STATEMENT</t>
  </si>
  <si>
    <t>Eps</t>
  </si>
  <si>
    <t>HISTORY</t>
  </si>
  <si>
    <t>Margin</t>
  </si>
  <si>
    <t>Trail_FY25</t>
  </si>
  <si>
    <t>FY_2024</t>
  </si>
  <si>
    <t>FY_2023</t>
  </si>
  <si>
    <t>FY_2022</t>
  </si>
  <si>
    <t>FY_2021</t>
  </si>
  <si>
    <t>Majorcost</t>
  </si>
  <si>
    <t>SHARE</t>
  </si>
  <si>
    <t>SEGMENT</t>
  </si>
  <si>
    <t>Share</t>
  </si>
  <si>
    <t>DETAIL</t>
  </si>
  <si>
    <t>FY_2020</t>
  </si>
  <si>
    <t>MATERIAL</t>
  </si>
  <si>
    <t>OILS &amp; VANASPATI</t>
  </si>
  <si>
    <t>CRUDE OIL, REFINED OIL, VANASPATI</t>
  </si>
  <si>
    <t>FY_2019</t>
  </si>
  <si>
    <t>STOCK</t>
  </si>
  <si>
    <t>FOOD PRODUCTS</t>
  </si>
  <si>
    <t>TEXTURED SOYA PROTIEN, SOYA FLOUR</t>
  </si>
  <si>
    <t>FY_2018</t>
  </si>
  <si>
    <t>OTHER COST</t>
  </si>
  <si>
    <t>WIND TURBINE</t>
  </si>
  <si>
    <t>WINDMILLS</t>
  </si>
  <si>
    <t>BANKRUPT</t>
  </si>
  <si>
    <t>F7_2017</t>
  </si>
  <si>
    <t>FINANCE</t>
  </si>
  <si>
    <t>FY_2016</t>
  </si>
  <si>
    <t>Employee</t>
  </si>
  <si>
    <t>TOTAL COST</t>
  </si>
  <si>
    <t>FY_2015</t>
  </si>
  <si>
    <t>D&amp;A</t>
  </si>
  <si>
    <t>FY_2014</t>
  </si>
  <si>
    <t>inventory</t>
  </si>
  <si>
    <t>FY_2013</t>
  </si>
  <si>
    <t>`</t>
  </si>
  <si>
    <t>FY_2012</t>
  </si>
  <si>
    <t>FY_2011</t>
  </si>
  <si>
    <t>FY_2010</t>
  </si>
  <si>
    <t>FY_2009</t>
  </si>
  <si>
    <t>SPLIT10_2</t>
  </si>
  <si>
    <t>FY_2008</t>
  </si>
  <si>
    <t>FY_2007</t>
  </si>
  <si>
    <t>FY_2006</t>
  </si>
  <si>
    <t>FY_2005</t>
  </si>
  <si>
    <t>FY_2004</t>
  </si>
  <si>
    <t>FY_2003</t>
  </si>
  <si>
    <t>FY_2002</t>
  </si>
  <si>
    <t>FY_2001</t>
  </si>
  <si>
    <t>FY_2000</t>
  </si>
  <si>
    <t>FY_1999</t>
  </si>
  <si>
    <t>FY_1998</t>
  </si>
  <si>
    <t>FY_1997</t>
  </si>
  <si>
    <t>PEERGROUP</t>
  </si>
  <si>
    <t>COMPANY</t>
  </si>
  <si>
    <t>SALES_21</t>
  </si>
  <si>
    <t>RONW_21</t>
  </si>
  <si>
    <t>ITC</t>
  </si>
  <si>
    <t>ADANI WILMAR</t>
  </si>
  <si>
    <t>RUCHISOYA</t>
  </si>
  <si>
    <t>NESTLE</t>
  </si>
  <si>
    <t>BRITANNIA</t>
  </si>
  <si>
    <t>DABUR</t>
  </si>
  <si>
    <t>MARICO</t>
  </si>
  <si>
    <t>ZYDUS</t>
  </si>
  <si>
    <t>GODREJ AGRO</t>
  </si>
  <si>
    <t>AGROTECH</t>
  </si>
  <si>
    <t>PACKAGEDFOODS</t>
  </si>
  <si>
    <t>EDIBLE_OILS</t>
  </si>
  <si>
    <t xml:space="preserve"> Soya Chunk</t>
  </si>
  <si>
    <t>Oleochemicals</t>
  </si>
  <si>
    <t>HONEY</t>
  </si>
  <si>
    <t>WHEAT FLOUR</t>
  </si>
  <si>
    <t>INDIAN BISCUIT</t>
  </si>
  <si>
    <t>BREAKFAST CEREALS</t>
  </si>
  <si>
    <t>NOODLES &amp; PASTA</t>
  </si>
  <si>
    <t>OIL_SEED_CRUSH</t>
  </si>
  <si>
    <t>Nutraceuticals</t>
  </si>
  <si>
    <t>PALM PLANTATION</t>
  </si>
  <si>
    <t>ALLIGATIONS</t>
  </si>
  <si>
    <t>EDIBLE OILS</t>
  </si>
  <si>
    <t>Edible Oil Availability in India (Volume)</t>
  </si>
  <si>
    <t>Value Segments and Key Brands</t>
  </si>
  <si>
    <t>Market share of key players in branded edible oil market (FY2020)</t>
  </si>
  <si>
    <t>MARKET</t>
  </si>
  <si>
    <t>AWL</t>
  </si>
  <si>
    <t>PROFIT MARGIN</t>
  </si>
  <si>
    <t>CR</t>
  </si>
  <si>
    <t>TD</t>
  </si>
  <si>
    <t>DEBT 2 EQUITY</t>
  </si>
  <si>
    <t>NONE</t>
  </si>
  <si>
    <t>ATFL</t>
  </si>
  <si>
    <t>RETURN</t>
  </si>
  <si>
    <t>ROPE</t>
  </si>
  <si>
    <t>GOKULAGRO</t>
  </si>
  <si>
    <t>BCLIL</t>
  </si>
  <si>
    <t>CONCLUSION: PATANJALI &amp; MARICO IS BEST AMONG ALL COMPANIES IN MARKET SHARE &amp; QUALITY PARAMETERS</t>
  </si>
  <si>
    <t>INDUSTRY</t>
  </si>
  <si>
    <t>FRONTRUNNER</t>
  </si>
  <si>
    <t>MARKETCAP CR</t>
  </si>
  <si>
    <t>SALES CR</t>
  </si>
  <si>
    <t>PROFIT CR</t>
  </si>
  <si>
    <t>TOTAL EQUITY</t>
  </si>
  <si>
    <t>NPM %</t>
  </si>
  <si>
    <t>Current Ratio</t>
  </si>
  <si>
    <t>TRADE REC. DAYS</t>
  </si>
  <si>
    <t>ROPEX</t>
  </si>
  <si>
    <t>ROE%</t>
  </si>
  <si>
    <t>CODE</t>
  </si>
  <si>
    <t>COMPANIES</t>
  </si>
  <si>
    <t>LTP</t>
  </si>
  <si>
    <t>UPDATE DATE</t>
  </si>
  <si>
    <t>Market Cap</t>
  </si>
  <si>
    <t>Total Equity</t>
  </si>
  <si>
    <t>Current Assets</t>
  </si>
  <si>
    <t>Current Liabilities</t>
  </si>
  <si>
    <t>Total Assets</t>
  </si>
  <si>
    <t>Total Liabilities</t>
  </si>
  <si>
    <t>Trade Receivable</t>
  </si>
  <si>
    <t>BorrowingS</t>
  </si>
  <si>
    <t>Face Value</t>
  </si>
  <si>
    <t>Shares</t>
  </si>
  <si>
    <t>22 Dec 2022 | 1:15 PM</t>
  </si>
  <si>
    <t>KRITINUT</t>
  </si>
  <si>
    <t>GOKUL</t>
  </si>
  <si>
    <t>VIJSOLX</t>
  </si>
  <si>
    <t>22 Dec 2022 | 1:13 PM</t>
  </si>
  <si>
    <t>AJANTSOY</t>
  </si>
  <si>
    <t>EVEXIA</t>
  </si>
  <si>
    <t>SVRL</t>
  </si>
  <si>
    <t>22 Dec 2022 | 12:46 PM</t>
  </si>
  <si>
    <t>CIANAGRO</t>
  </si>
  <si>
    <t>22 Dec 2022 | 12:34 PM</t>
  </si>
  <si>
    <t>SURJIND</t>
  </si>
  <si>
    <t>SIEL</t>
  </si>
  <si>
    <t>22 Dec 2022 | 12:55 PM</t>
  </si>
  <si>
    <t>RAJOIL</t>
  </si>
  <si>
    <t>22 Dec 2022 | 1:04 PM</t>
  </si>
  <si>
    <t>DILIGENT</t>
  </si>
  <si>
    <t>22 Dec 2022 | 1:14 PM</t>
  </si>
  <si>
    <t>POONADAL</t>
  </si>
  <si>
    <t>22 Dec 2022 | 1:06 PM</t>
  </si>
  <si>
    <t>NKIND</t>
  </si>
  <si>
    <t>20 Dec 2022 | 4:00 PM</t>
  </si>
  <si>
    <t>NATRAJPR</t>
  </si>
  <si>
    <t>22 Dec 2022 | 12:58 PM</t>
  </si>
  <si>
    <t>PIONAGR</t>
  </si>
  <si>
    <t>02 Dec 2022 | 4:00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</si>
</sst>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"/>
    <numFmt numFmtId="166" formatCode="0.0"/>
    <numFmt numFmtId="167" formatCode="mmm\ \-\ d"/>
  </numFmts>
  <fonts count="20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b/>
      <sz val="11"/>
      <color theme="1"/>
      <name val="Calibri"/>
    </font>
    <font>
      <sz val="11"/>
      <color theme="1"/>
      <name val="Arial"/>
    </font>
    <font>
      <b/>
      <i/>
      <sz val="11"/>
      <color theme="1"/>
      <name val="Calibri"/>
    </font>
    <font>
      <sz val="9"/>
      <color theme="1"/>
      <name val="Arial"/>
    </font>
    <font>
      <sz val="19"/>
      <color theme="1"/>
      <name val="Calibri"/>
    </font>
    <font>
      <sz val="11"/>
      <name val="Calibri"/>
    </font>
    <font>
      <sz val="14"/>
      <color theme="1"/>
      <name val="Calibri"/>
    </font>
    <font>
      <b/>
      <sz val="14"/>
      <color theme="1"/>
      <name val="Calibri"/>
    </font>
    <font>
      <sz val="11"/>
      <color rgb="FF000000"/>
      <name val="Calibri"/>
    </font>
    <font>
      <sz val="11"/>
      <color rgb="FF000000"/>
      <name val="Arial"/>
    </font>
    <font>
      <sz val="11"/>
      <color rgb="FFFFFFFF"/>
      <name val="Inconsolata"/>
    </font>
    <font>
      <sz val="11"/>
      <color theme="1"/>
      <name val="Inconsolata"/>
    </font>
    <font>
      <sz val="11"/>
      <color rgb="FFFFFFFF"/>
      <name val="Arial"/>
    </font>
    <font>
      <sz val="11"/>
      <color rgb="FF7E3794"/>
      <name val="Inconsolata"/>
    </font>
    <font>
      <b/>
      <i/>
      <sz val="11"/>
      <color theme="1"/>
      <name val="Arial"/>
    </font>
    <font>
      <b/>
      <sz val="11"/>
      <color theme="1"/>
      <name val="Arial"/>
    </font>
    <font>
      <b/>
      <sz val="11"/>
      <color rgb="FF7E3794"/>
      <name val="Inconsolata"/>
    </font>
  </fonts>
  <fills count="2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  <fill>
      <patternFill patternType="solid">
        <fgColor rgb="FF999999"/>
        <bgColor rgb="FF999999"/>
      </patternFill>
    </fill>
    <fill>
      <patternFill patternType="solid">
        <fgColor rgb="FFB7B7B7"/>
        <bgColor rgb="FFB7B7B7"/>
      </patternFill>
    </fill>
    <fill>
      <patternFill patternType="solid">
        <fgColor theme="7"/>
        <bgColor theme="7"/>
      </patternFill>
    </fill>
    <fill>
      <patternFill patternType="solid">
        <fgColor rgb="FFC5E0B3"/>
        <bgColor rgb="FFC5E0B3"/>
      </patternFill>
    </fill>
    <fill>
      <patternFill patternType="solid">
        <fgColor rgb="FF4C1130"/>
        <bgColor rgb="FF4C1130"/>
      </patternFill>
    </fill>
    <fill>
      <patternFill patternType="solid">
        <fgColor rgb="FF7ECBA5"/>
        <bgColor rgb="FF7ECBA5"/>
      </patternFill>
    </fill>
    <fill>
      <patternFill patternType="solid">
        <fgColor rgb="FFE9F6F0"/>
        <bgColor rgb="FFE9F6F0"/>
      </patternFill>
    </fill>
    <fill>
      <patternFill patternType="solid">
        <fgColor rgb="FFEFF9F4"/>
        <bgColor rgb="FFEFF9F4"/>
      </patternFill>
    </fill>
    <fill>
      <patternFill patternType="solid">
        <fgColor rgb="FFF8FCFA"/>
        <bgColor rgb="FFF8FCFA"/>
      </patternFill>
    </fill>
    <fill>
      <patternFill patternType="solid">
        <fgColor rgb="FFE7F6EE"/>
        <bgColor rgb="FFE7F6EE"/>
      </patternFill>
    </fill>
    <fill>
      <patternFill patternType="solid">
        <fgColor rgb="FFF5FBF8"/>
        <bgColor rgb="FFF5FBF8"/>
      </patternFill>
    </fill>
    <fill>
      <patternFill patternType="solid">
        <fgColor rgb="FF57BB8A"/>
        <bgColor rgb="FF57BB8A"/>
      </patternFill>
    </fill>
    <fill>
      <patternFill patternType="solid">
        <fgColor rgb="FFF7FCF9"/>
        <bgColor rgb="FFF7FCF9"/>
      </patternFill>
    </fill>
    <fill>
      <patternFill patternType="solid">
        <fgColor rgb="FFF7FCFA"/>
        <bgColor rgb="FFF7FCFA"/>
      </patternFill>
    </fill>
    <fill>
      <patternFill patternType="solid">
        <fgColor rgb="FFA7DCC2"/>
        <bgColor rgb="FFA7DCC2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980000"/>
      </bottom>
      <diagonal/>
    </border>
    <border>
      <left/>
      <right style="thin">
        <color rgb="FF98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980000"/>
      </right>
      <top/>
      <bottom style="thin">
        <color rgb="FF980000"/>
      </bottom>
      <diagonal/>
    </border>
    <border>
      <left/>
      <right style="thin">
        <color rgb="FF98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98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980000"/>
      </right>
      <top style="thin">
        <color rgb="FF000000"/>
      </top>
      <bottom style="thin">
        <color rgb="FF980000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3" fillId="3" borderId="1" xfId="0" applyFont="1" applyFill="1" applyBorder="1"/>
    <xf numFmtId="0" fontId="2" fillId="3" borderId="1" xfId="0" applyFont="1" applyFill="1" applyBorder="1"/>
    <xf numFmtId="1" fontId="2" fillId="3" borderId="1" xfId="0" applyNumberFormat="1" applyFont="1" applyFill="1" applyBorder="1"/>
    <xf numFmtId="0" fontId="2" fillId="0" borderId="1" xfId="0" applyFont="1" applyBorder="1"/>
    <xf numFmtId="1" fontId="4" fillId="4" borderId="1" xfId="0" applyNumberFormat="1" applyFont="1" applyFill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2" borderId="1" xfId="0" applyFont="1" applyFill="1" applyBorder="1"/>
    <xf numFmtId="1" fontId="2" fillId="2" borderId="1" xfId="0" applyNumberFormat="1" applyFont="1" applyFill="1" applyBorder="1"/>
    <xf numFmtId="0" fontId="5" fillId="5" borderId="1" xfId="0" applyFont="1" applyFill="1" applyBorder="1"/>
    <xf numFmtId="164" fontId="5" fillId="5" borderId="1" xfId="0" applyNumberFormat="1" applyFont="1" applyFill="1" applyBorder="1"/>
    <xf numFmtId="1" fontId="2" fillId="0" borderId="1" xfId="0" applyNumberFormat="1" applyFont="1" applyBorder="1"/>
    <xf numFmtId="9" fontId="2" fillId="6" borderId="1" xfId="0" applyNumberFormat="1" applyFont="1" applyFill="1" applyBorder="1"/>
    <xf numFmtId="0" fontId="2" fillId="6" borderId="1" xfId="0" applyFont="1" applyFill="1" applyBorder="1"/>
    <xf numFmtId="3" fontId="2" fillId="6" borderId="1" xfId="0" applyNumberFormat="1" applyFont="1" applyFill="1" applyBorder="1"/>
    <xf numFmtId="9" fontId="2" fillId="6" borderId="1" xfId="0" applyNumberFormat="1" applyFont="1" applyFill="1" applyBorder="1" applyAlignment="1">
      <alignment horizontal="right"/>
    </xf>
    <xf numFmtId="164" fontId="2" fillId="6" borderId="1" xfId="0" applyNumberFormat="1" applyFont="1" applyFill="1" applyBorder="1" applyAlignment="1">
      <alignment horizontal="right"/>
    </xf>
    <xf numFmtId="165" fontId="2" fillId="6" borderId="1" xfId="0" applyNumberFormat="1" applyFont="1" applyFill="1" applyBorder="1" applyAlignment="1">
      <alignment horizontal="right"/>
    </xf>
    <xf numFmtId="3" fontId="2" fillId="6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66" fontId="2" fillId="6" borderId="1" xfId="0" applyNumberFormat="1" applyFont="1" applyFill="1" applyBorder="1" applyAlignment="1">
      <alignment horizontal="right"/>
    </xf>
    <xf numFmtId="0" fontId="1" fillId="0" borderId="0" xfId="0" applyFont="1"/>
    <xf numFmtId="0" fontId="2" fillId="3" borderId="1" xfId="0" applyFont="1" applyFill="1" applyBorder="1" applyAlignment="1">
      <alignment horizontal="right"/>
    </xf>
    <xf numFmtId="0" fontId="2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left" wrapText="1"/>
    </xf>
    <xf numFmtId="164" fontId="1" fillId="0" borderId="0" xfId="0" applyNumberFormat="1" applyFont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center"/>
    </xf>
    <xf numFmtId="166" fontId="7" fillId="5" borderId="0" xfId="0" applyNumberFormat="1" applyFont="1" applyFill="1" applyAlignment="1">
      <alignment horizontal="center" vertical="center"/>
    </xf>
    <xf numFmtId="166" fontId="2" fillId="2" borderId="1" xfId="0" applyNumberFormat="1" applyFont="1" applyFill="1" applyBorder="1"/>
    <xf numFmtId="0" fontId="8" fillId="0" borderId="0" xfId="0" applyFont="1"/>
    <xf numFmtId="0" fontId="2" fillId="0" borderId="0" xfId="0" applyFont="1"/>
    <xf numFmtId="1" fontId="2" fillId="2" borderId="0" xfId="0" applyNumberFormat="1" applyFont="1" applyFill="1"/>
    <xf numFmtId="9" fontId="2" fillId="2" borderId="0" xfId="0" applyNumberFormat="1" applyFont="1" applyFill="1"/>
    <xf numFmtId="1" fontId="2" fillId="0" borderId="0" xfId="0" applyNumberFormat="1" applyFont="1"/>
    <xf numFmtId="9" fontId="2" fillId="0" borderId="1" xfId="0" applyNumberFormat="1" applyFont="1" applyBorder="1" applyAlignment="1">
      <alignment horizontal="right"/>
    </xf>
    <xf numFmtId="0" fontId="2" fillId="3" borderId="0" xfId="0" applyFont="1" applyFill="1" applyAlignment="1">
      <alignment horizontal="left"/>
    </xf>
    <xf numFmtId="0" fontId="2" fillId="3" borderId="1" xfId="0" applyFont="1" applyFill="1" applyBorder="1" applyAlignment="1">
      <alignment horizontal="left"/>
    </xf>
    <xf numFmtId="164" fontId="2" fillId="0" borderId="1" xfId="0" applyNumberFormat="1" applyFont="1" applyBorder="1"/>
    <xf numFmtId="164" fontId="2" fillId="2" borderId="1" xfId="0" applyNumberFormat="1" applyFont="1" applyFill="1" applyBorder="1"/>
    <xf numFmtId="9" fontId="2" fillId="2" borderId="1" xfId="0" applyNumberFormat="1" applyFont="1" applyFill="1" applyBorder="1"/>
    <xf numFmtId="0" fontId="9" fillId="3" borderId="0" xfId="0" applyFont="1" applyFill="1"/>
    <xf numFmtId="9" fontId="1" fillId="0" borderId="0" xfId="0" applyNumberFormat="1" applyFont="1"/>
    <xf numFmtId="0" fontId="10" fillId="3" borderId="0" xfId="0" applyFont="1" applyFill="1"/>
    <xf numFmtId="0" fontId="10" fillId="3" borderId="0" xfId="0" applyFont="1" applyFill="1" applyAlignment="1">
      <alignment horizontal="left"/>
    </xf>
    <xf numFmtId="0" fontId="3" fillId="3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165" fontId="2" fillId="2" borderId="1" xfId="0" applyNumberFormat="1" applyFont="1" applyFill="1" applyBorder="1"/>
    <xf numFmtId="0" fontId="11" fillId="2" borderId="1" xfId="0" applyFont="1" applyFill="1" applyBorder="1" applyAlignment="1">
      <alignment horizontal="right"/>
    </xf>
    <xf numFmtId="9" fontId="2" fillId="2" borderId="1" xfId="0" applyNumberFormat="1" applyFont="1" applyFill="1" applyBorder="1" applyAlignment="1">
      <alignment horizontal="right"/>
    </xf>
    <xf numFmtId="164" fontId="2" fillId="2" borderId="0" xfId="0" applyNumberFormat="1" applyFont="1" applyFill="1"/>
    <xf numFmtId="1" fontId="11" fillId="2" borderId="1" xfId="0" applyNumberFormat="1" applyFont="1" applyFill="1" applyBorder="1" applyAlignment="1">
      <alignment horizontal="right"/>
    </xf>
    <xf numFmtId="166" fontId="2" fillId="2" borderId="0" xfId="0" applyNumberFormat="1" applyFont="1" applyFill="1"/>
    <xf numFmtId="0" fontId="9" fillId="2" borderId="0" xfId="0" applyFont="1" applyFill="1"/>
    <xf numFmtId="9" fontId="9" fillId="2" borderId="0" xfId="0" applyNumberFormat="1" applyFont="1" applyFill="1"/>
    <xf numFmtId="0" fontId="9" fillId="2" borderId="0" xfId="0" applyFont="1" applyFill="1" applyAlignment="1">
      <alignment horizontal="left"/>
    </xf>
    <xf numFmtId="0" fontId="10" fillId="3" borderId="1" xfId="0" applyFont="1" applyFill="1" applyBorder="1"/>
    <xf numFmtId="0" fontId="10" fillId="3" borderId="1" xfId="0" applyFont="1" applyFill="1" applyBorder="1" applyAlignment="1">
      <alignment horizontal="left"/>
    </xf>
    <xf numFmtId="164" fontId="12" fillId="2" borderId="1" xfId="0" applyNumberFormat="1" applyFont="1" applyFill="1" applyBorder="1" applyAlignment="1">
      <alignment horizontal="right" wrapText="1"/>
    </xf>
    <xf numFmtId="10" fontId="2" fillId="2" borderId="1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0" fontId="1" fillId="0" borderId="1" xfId="0" applyFont="1" applyBorder="1"/>
    <xf numFmtId="166" fontId="1" fillId="0" borderId="1" xfId="0" applyNumberFormat="1" applyFont="1" applyBorder="1"/>
    <xf numFmtId="166" fontId="12" fillId="2" borderId="1" xfId="0" applyNumberFormat="1" applyFont="1" applyFill="1" applyBorder="1" applyAlignment="1">
      <alignment horizontal="right" wrapText="1"/>
    </xf>
    <xf numFmtId="165" fontId="2" fillId="2" borderId="1" xfId="0" applyNumberFormat="1" applyFont="1" applyFill="1" applyBorder="1" applyAlignment="1">
      <alignment horizontal="right"/>
    </xf>
    <xf numFmtId="0" fontId="3" fillId="3" borderId="2" xfId="0" applyFont="1" applyFill="1" applyBorder="1" applyAlignment="1">
      <alignment horizontal="left"/>
    </xf>
    <xf numFmtId="0" fontId="8" fillId="0" borderId="3" xfId="0" applyFont="1" applyBorder="1"/>
    <xf numFmtId="0" fontId="8" fillId="0" borderId="4" xfId="0" applyFont="1" applyBorder="1"/>
    <xf numFmtId="1" fontId="2" fillId="2" borderId="1" xfId="0" applyNumberFormat="1" applyFont="1" applyFill="1" applyBorder="1" applyAlignment="1">
      <alignment horizontal="right"/>
    </xf>
    <xf numFmtId="9" fontId="2" fillId="0" borderId="1" xfId="0" applyNumberFormat="1" applyFont="1" applyBorder="1"/>
    <xf numFmtId="0" fontId="2" fillId="2" borderId="1" xfId="0" applyFont="1" applyFill="1" applyBorder="1" applyAlignment="1">
      <alignment horizontal="right"/>
    </xf>
    <xf numFmtId="49" fontId="1" fillId="0" borderId="2" xfId="0" applyNumberFormat="1" applyFont="1" applyBorder="1"/>
    <xf numFmtId="0" fontId="2" fillId="8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right" wrapText="1"/>
    </xf>
    <xf numFmtId="49" fontId="1" fillId="0" borderId="0" xfId="0" applyNumberFormat="1" applyFont="1"/>
    <xf numFmtId="0" fontId="3" fillId="2" borderId="1" xfId="0" applyFont="1" applyFill="1" applyBorder="1"/>
    <xf numFmtId="0" fontId="3" fillId="3" borderId="0" xfId="0" applyFont="1" applyFill="1"/>
    <xf numFmtId="0" fontId="4" fillId="0" borderId="0" xfId="0" applyFont="1"/>
    <xf numFmtId="0" fontId="4" fillId="0" borderId="5" xfId="0" applyFont="1" applyBorder="1"/>
    <xf numFmtId="0" fontId="4" fillId="0" borderId="6" xfId="0" applyFont="1" applyBorder="1"/>
    <xf numFmtId="0" fontId="13" fillId="9" borderId="7" xfId="0" applyFont="1" applyFill="1" applyBorder="1" applyAlignment="1">
      <alignment horizontal="center"/>
    </xf>
    <xf numFmtId="0" fontId="8" fillId="0" borderId="7" xfId="0" applyFont="1" applyBorder="1"/>
    <xf numFmtId="0" fontId="8" fillId="0" borderId="8" xfId="0" applyFont="1" applyBorder="1"/>
    <xf numFmtId="1" fontId="4" fillId="0" borderId="0" xfId="0" applyNumberFormat="1" applyFont="1"/>
    <xf numFmtId="1" fontId="4" fillId="0" borderId="5" xfId="0" applyNumberFormat="1" applyFont="1" applyBorder="1"/>
    <xf numFmtId="0" fontId="13" fillId="9" borderId="8" xfId="0" applyFont="1" applyFill="1" applyBorder="1"/>
    <xf numFmtId="0" fontId="13" fillId="9" borderId="7" xfId="0" applyFont="1" applyFill="1" applyBorder="1"/>
    <xf numFmtId="0" fontId="14" fillId="4" borderId="9" xfId="0" applyFont="1" applyFill="1" applyBorder="1"/>
    <xf numFmtId="4" fontId="4" fillId="0" borderId="0" xfId="0" applyNumberFormat="1" applyFont="1"/>
    <xf numFmtId="167" fontId="4" fillId="0" borderId="0" xfId="0" applyNumberFormat="1" applyFont="1"/>
    <xf numFmtId="0" fontId="15" fillId="9" borderId="8" xfId="0" applyFont="1" applyFill="1" applyBorder="1"/>
    <xf numFmtId="0" fontId="15" fillId="9" borderId="10" xfId="0" applyFont="1" applyFill="1" applyBorder="1"/>
    <xf numFmtId="0" fontId="14" fillId="4" borderId="11" xfId="0" applyFont="1" applyFill="1" applyBorder="1"/>
    <xf numFmtId="0" fontId="4" fillId="0" borderId="11" xfId="0" applyFont="1" applyBorder="1"/>
    <xf numFmtId="1" fontId="4" fillId="0" borderId="11" xfId="0" applyNumberFormat="1" applyFont="1" applyBorder="1" applyAlignment="1">
      <alignment horizontal="right"/>
    </xf>
    <xf numFmtId="9" fontId="4" fillId="0" borderId="11" xfId="0" applyNumberFormat="1" applyFont="1" applyBorder="1" applyAlignment="1">
      <alignment horizontal="right"/>
    </xf>
    <xf numFmtId="3" fontId="4" fillId="0" borderId="11" xfId="0" applyNumberFormat="1" applyFont="1" applyBorder="1" applyAlignment="1">
      <alignment horizontal="right"/>
    </xf>
    <xf numFmtId="0" fontId="13" fillId="9" borderId="9" xfId="0" applyFont="1" applyFill="1" applyBorder="1"/>
    <xf numFmtId="9" fontId="13" fillId="9" borderId="9" xfId="0" applyNumberFormat="1" applyFont="1" applyFill="1" applyBorder="1"/>
    <xf numFmtId="0" fontId="14" fillId="4" borderId="9" xfId="0" applyFont="1" applyFill="1" applyBorder="1" applyAlignment="1">
      <alignment horizontal="right"/>
    </xf>
    <xf numFmtId="1" fontId="14" fillId="4" borderId="9" xfId="0" applyNumberFormat="1" applyFont="1" applyFill="1" applyBorder="1" applyAlignment="1">
      <alignment horizontal="right"/>
    </xf>
    <xf numFmtId="9" fontId="4" fillId="10" borderId="9" xfId="0" applyNumberFormat="1" applyFont="1" applyFill="1" applyBorder="1" applyAlignment="1">
      <alignment horizontal="right"/>
    </xf>
    <xf numFmtId="9" fontId="16" fillId="11" borderId="9" xfId="0" applyNumberFormat="1" applyFont="1" applyFill="1" applyBorder="1" applyAlignment="1">
      <alignment horizontal="right"/>
    </xf>
    <xf numFmtId="1" fontId="4" fillId="12" borderId="9" xfId="0" applyNumberFormat="1" applyFont="1" applyFill="1" applyBorder="1" applyAlignment="1">
      <alignment horizontal="right"/>
    </xf>
    <xf numFmtId="9" fontId="16" fillId="13" borderId="9" xfId="0" applyNumberFormat="1" applyFont="1" applyFill="1" applyBorder="1" applyAlignment="1">
      <alignment horizontal="right"/>
    </xf>
    <xf numFmtId="1" fontId="4" fillId="14" borderId="9" xfId="0" applyNumberFormat="1" applyFont="1" applyFill="1" applyBorder="1" applyAlignment="1">
      <alignment horizontal="right"/>
    </xf>
    <xf numFmtId="9" fontId="16" fillId="15" borderId="9" xfId="0" applyNumberFormat="1" applyFont="1" applyFill="1" applyBorder="1" applyAlignment="1">
      <alignment horizontal="right"/>
    </xf>
    <xf numFmtId="1" fontId="16" fillId="16" borderId="9" xfId="0" applyNumberFormat="1" applyFont="1" applyFill="1" applyBorder="1" applyAlignment="1">
      <alignment horizontal="right"/>
    </xf>
    <xf numFmtId="9" fontId="16" fillId="17" borderId="9" xfId="0" applyNumberFormat="1" applyFont="1" applyFill="1" applyBorder="1" applyAlignment="1">
      <alignment horizontal="right"/>
    </xf>
    <xf numFmtId="9" fontId="16" fillId="18" borderId="9" xfId="0" applyNumberFormat="1" applyFont="1" applyFill="1" applyBorder="1" applyAlignment="1">
      <alignment horizontal="right"/>
    </xf>
    <xf numFmtId="2" fontId="4" fillId="0" borderId="0" xfId="0" applyNumberFormat="1" applyFont="1"/>
    <xf numFmtId="1" fontId="4" fillId="0" borderId="1" xfId="0" applyNumberFormat="1" applyFont="1" applyBorder="1" applyAlignment="1">
      <alignment horizontal="right"/>
    </xf>
    <xf numFmtId="1" fontId="4" fillId="0" borderId="4" xfId="0" applyNumberFormat="1" applyFont="1" applyBorder="1" applyAlignment="1">
      <alignment horizontal="right"/>
    </xf>
    <xf numFmtId="1" fontId="4" fillId="0" borderId="12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1" fontId="1" fillId="0" borderId="0" xfId="0" applyNumberFormat="1" applyFont="1"/>
    <xf numFmtId="0" fontId="17" fillId="0" borderId="13" xfId="0" applyFont="1" applyBorder="1"/>
    <xf numFmtId="0" fontId="18" fillId="0" borderId="13" xfId="0" applyFont="1" applyBorder="1"/>
    <xf numFmtId="1" fontId="17" fillId="0" borderId="13" xfId="0" applyNumberFormat="1" applyFont="1" applyBorder="1" applyAlignment="1">
      <alignment horizontal="right"/>
    </xf>
    <xf numFmtId="9" fontId="17" fillId="19" borderId="13" xfId="0" applyNumberFormat="1" applyFont="1" applyFill="1" applyBorder="1" applyAlignment="1">
      <alignment horizontal="right"/>
    </xf>
    <xf numFmtId="9" fontId="18" fillId="10" borderId="13" xfId="0" applyNumberFormat="1" applyFont="1" applyFill="1" applyBorder="1" applyAlignment="1">
      <alignment horizontal="right"/>
    </xf>
    <xf numFmtId="9" fontId="19" fillId="11" borderId="13" xfId="0" applyNumberFormat="1" applyFont="1" applyFill="1" applyBorder="1" applyAlignment="1">
      <alignment horizontal="right"/>
    </xf>
    <xf numFmtId="1" fontId="18" fillId="12" borderId="13" xfId="0" applyNumberFormat="1" applyFont="1" applyFill="1" applyBorder="1" applyAlignment="1">
      <alignment horizontal="right"/>
    </xf>
    <xf numFmtId="9" fontId="19" fillId="13" borderId="13" xfId="0" applyNumberFormat="1" applyFont="1" applyFill="1" applyBorder="1" applyAlignment="1">
      <alignment horizontal="right"/>
    </xf>
    <xf numFmtId="1" fontId="18" fillId="14" borderId="13" xfId="0" applyNumberFormat="1" applyFont="1" applyFill="1" applyBorder="1" applyAlignment="1">
      <alignment horizontal="right"/>
    </xf>
    <xf numFmtId="9" fontId="19" fillId="15" borderId="13" xfId="0" applyNumberFormat="1" applyFont="1" applyFill="1" applyBorder="1" applyAlignment="1">
      <alignment horizontal="right"/>
    </xf>
    <xf numFmtId="1" fontId="19" fillId="16" borderId="13" xfId="0" applyNumberFormat="1" applyFont="1" applyFill="1" applyBorder="1" applyAlignment="1">
      <alignment horizontal="right"/>
    </xf>
    <xf numFmtId="9" fontId="19" fillId="17" borderId="13" xfId="0" applyNumberFormat="1" applyFont="1" applyFill="1" applyBorder="1" applyAlignment="1">
      <alignment horizontal="right"/>
    </xf>
    <xf numFmtId="9" fontId="19" fillId="18" borderId="13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'EDIBLE OILS'!$S$106</c:f>
              <c:strCache>
                <c:ptCount val="1"/>
                <c:pt idx="0">
                  <c:v>NPM %</c:v>
                </c:pt>
              </c:strCache>
            </c:strRef>
          </c:tx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7C92-43E8-9B49-D7EE46920C9C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7C92-43E8-9B49-D7EE46920C9C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7C92-43E8-9B49-D7EE46920C9C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7C92-43E8-9B49-D7EE46920C9C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7C92-43E8-9B49-D7EE46920C9C}"/>
              </c:ext>
            </c:extLst>
          </c:dPt>
          <c:dPt>
            <c:idx val="5"/>
            <c:bubble3D val="0"/>
            <c:spPr>
              <a:solidFill>
                <a:srgbClr val="70AD47"/>
              </a:solidFill>
            </c:spPr>
            <c:extLst>
              <c:ext xmlns:c16="http://schemas.microsoft.com/office/drawing/2014/chart" uri="{C3380CC4-5D6E-409C-BE32-E72D297353CC}">
                <c16:uniqueId val="{0000000B-7C92-43E8-9B49-D7EE46920C9C}"/>
              </c:ext>
            </c:extLst>
          </c:dPt>
          <c:dPt>
            <c:idx val="6"/>
            <c:bubble3D val="0"/>
            <c:spPr>
              <a:solidFill>
                <a:srgbClr val="7C9CD6"/>
              </a:solidFill>
            </c:spPr>
            <c:extLst>
              <c:ext xmlns:c16="http://schemas.microsoft.com/office/drawing/2014/chart" uri="{C3380CC4-5D6E-409C-BE32-E72D297353CC}">
                <c16:uniqueId val="{0000000D-7C92-43E8-9B49-D7EE46920C9C}"/>
              </c:ext>
            </c:extLst>
          </c:dPt>
          <c:dPt>
            <c:idx val="7"/>
            <c:bubble3D val="0"/>
            <c:spPr>
              <a:solidFill>
                <a:srgbClr val="F2A46F"/>
              </a:solidFill>
            </c:spPr>
            <c:extLst>
              <c:ext xmlns:c16="http://schemas.microsoft.com/office/drawing/2014/chart" uri="{C3380CC4-5D6E-409C-BE32-E72D297353CC}">
                <c16:uniqueId val="{0000000F-7C92-43E8-9B49-D7EE46920C9C}"/>
              </c:ext>
            </c:extLst>
          </c:dPt>
          <c:dPt>
            <c:idx val="8"/>
            <c:bubble3D val="0"/>
            <c:spPr>
              <a:solidFill>
                <a:srgbClr val="C0C0C0"/>
              </a:solidFill>
            </c:spPr>
            <c:extLst>
              <c:ext xmlns:c16="http://schemas.microsoft.com/office/drawing/2014/chart" uri="{C3380CC4-5D6E-409C-BE32-E72D297353CC}">
                <c16:uniqueId val="{00000011-7C92-43E8-9B49-D7EE46920C9C}"/>
              </c:ext>
            </c:extLst>
          </c:dPt>
          <c:dPt>
            <c:idx val="9"/>
            <c:bubble3D val="0"/>
            <c:spPr>
              <a:solidFill>
                <a:srgbClr val="FFD34D"/>
              </a:solidFill>
            </c:spPr>
            <c:extLst>
              <c:ext xmlns:c16="http://schemas.microsoft.com/office/drawing/2014/chart" uri="{C3380CC4-5D6E-409C-BE32-E72D297353CC}">
                <c16:uniqueId val="{00000013-7C92-43E8-9B49-D7EE46920C9C}"/>
              </c:ext>
            </c:extLst>
          </c:dPt>
          <c:dPt>
            <c:idx val="10"/>
            <c:bubble3D val="0"/>
            <c:spPr>
              <a:solidFill>
                <a:srgbClr val="8CB9E2"/>
              </a:solidFill>
            </c:spPr>
            <c:extLst>
              <c:ext xmlns:c16="http://schemas.microsoft.com/office/drawing/2014/chart" uri="{C3380CC4-5D6E-409C-BE32-E72D297353CC}">
                <c16:uniqueId val="{00000015-7C92-43E8-9B49-D7EE46920C9C}"/>
              </c:ext>
            </c:extLst>
          </c:dPt>
          <c:dPt>
            <c:idx val="11"/>
            <c:bubble3D val="0"/>
            <c:spPr>
              <a:solidFill>
                <a:srgbClr val="9BC67E"/>
              </a:solidFill>
            </c:spPr>
            <c:extLst>
              <c:ext xmlns:c16="http://schemas.microsoft.com/office/drawing/2014/chart" uri="{C3380CC4-5D6E-409C-BE32-E72D297353CC}">
                <c16:uniqueId val="{00000017-7C92-43E8-9B49-D7EE46920C9C}"/>
              </c:ext>
            </c:extLst>
          </c:dPt>
          <c:dPt>
            <c:idx val="12"/>
            <c:bubble3D val="0"/>
            <c:spPr>
              <a:solidFill>
                <a:srgbClr val="B4C7E7"/>
              </a:solidFill>
            </c:spPr>
            <c:extLst>
              <c:ext xmlns:c16="http://schemas.microsoft.com/office/drawing/2014/chart" uri="{C3380CC4-5D6E-409C-BE32-E72D297353CC}">
                <c16:uniqueId val="{00000019-7C92-43E8-9B49-D7EE46920C9C}"/>
              </c:ext>
            </c:extLst>
          </c:dPt>
          <c:dPt>
            <c:idx val="13"/>
            <c:bubble3D val="0"/>
            <c:spPr>
              <a:solidFill>
                <a:srgbClr val="F8CBAD"/>
              </a:solidFill>
            </c:spPr>
            <c:extLst>
              <c:ext xmlns:c16="http://schemas.microsoft.com/office/drawing/2014/chart" uri="{C3380CC4-5D6E-409C-BE32-E72D297353CC}">
                <c16:uniqueId val="{0000001B-7C92-43E8-9B49-D7EE46920C9C}"/>
              </c:ext>
            </c:extLst>
          </c:dPt>
          <c:dPt>
            <c:idx val="14"/>
            <c:bubble3D val="0"/>
            <c:spPr>
              <a:solidFill>
                <a:srgbClr val="DBDBDB"/>
              </a:solidFill>
            </c:spPr>
            <c:extLst>
              <c:ext xmlns:c16="http://schemas.microsoft.com/office/drawing/2014/chart" uri="{C3380CC4-5D6E-409C-BE32-E72D297353CC}">
                <c16:uniqueId val="{0000001D-7C92-43E8-9B49-D7EE46920C9C}"/>
              </c:ext>
            </c:extLst>
          </c:dPt>
          <c:dPt>
            <c:idx val="15"/>
            <c:bubble3D val="0"/>
            <c:spPr>
              <a:solidFill>
                <a:srgbClr val="FFE699"/>
              </a:solidFill>
            </c:spPr>
            <c:extLst>
              <c:ext xmlns:c16="http://schemas.microsoft.com/office/drawing/2014/chart" uri="{C3380CC4-5D6E-409C-BE32-E72D297353CC}">
                <c16:uniqueId val="{0000001F-7C92-43E8-9B49-D7EE46920C9C}"/>
              </c:ext>
            </c:extLst>
          </c:dPt>
          <c:dPt>
            <c:idx val="16"/>
            <c:bubble3D val="0"/>
            <c:spPr>
              <a:solidFill>
                <a:srgbClr val="BDD7EE"/>
              </a:solidFill>
            </c:spPr>
            <c:extLst>
              <c:ext xmlns:c16="http://schemas.microsoft.com/office/drawing/2014/chart" uri="{C3380CC4-5D6E-409C-BE32-E72D297353CC}">
                <c16:uniqueId val="{00000021-7C92-43E8-9B49-D7EE46920C9C}"/>
              </c:ext>
            </c:extLst>
          </c:dPt>
          <c:dPt>
            <c:idx val="17"/>
            <c:bubble3D val="0"/>
            <c:spPr>
              <a:solidFill>
                <a:srgbClr val="C6DEB5"/>
              </a:solidFill>
            </c:spPr>
            <c:extLst>
              <c:ext xmlns:c16="http://schemas.microsoft.com/office/drawing/2014/chart" uri="{C3380CC4-5D6E-409C-BE32-E72D297353CC}">
                <c16:uniqueId val="{00000023-7C92-43E8-9B49-D7EE46920C9C}"/>
              </c:ext>
            </c:extLst>
          </c:dPt>
          <c:dPt>
            <c:idx val="18"/>
            <c:bubble3D val="0"/>
            <c:spPr>
              <a:solidFill>
                <a:srgbClr val="ECF1F9"/>
              </a:solidFill>
            </c:spPr>
            <c:extLst>
              <c:ext xmlns:c16="http://schemas.microsoft.com/office/drawing/2014/chart" uri="{C3380CC4-5D6E-409C-BE32-E72D297353CC}">
                <c16:uniqueId val="{00000025-7C92-43E8-9B49-D7EE46920C9C}"/>
              </c:ext>
            </c:extLst>
          </c:dPt>
          <c:dPt>
            <c:idx val="19"/>
            <c:bubble3D val="0"/>
            <c:spPr>
              <a:solidFill>
                <a:srgbClr val="FDF2EA"/>
              </a:solidFill>
            </c:spPr>
            <c:extLst>
              <c:ext xmlns:c16="http://schemas.microsoft.com/office/drawing/2014/chart" uri="{C3380CC4-5D6E-409C-BE32-E72D297353CC}">
                <c16:uniqueId val="{00000027-7C92-43E8-9B49-D7EE46920C9C}"/>
              </c:ext>
            </c:extLst>
          </c:dPt>
          <c:dPt>
            <c:idx val="20"/>
            <c:bubble3D val="0"/>
            <c:spPr>
              <a:solidFill>
                <a:srgbClr val="F6F6F6"/>
              </a:solidFill>
            </c:spPr>
            <c:extLst>
              <c:ext xmlns:c16="http://schemas.microsoft.com/office/drawing/2014/chart" uri="{C3380CC4-5D6E-409C-BE32-E72D297353CC}">
                <c16:uniqueId val="{00000029-7C92-43E8-9B49-D7EE46920C9C}"/>
              </c:ext>
            </c:extLst>
          </c:dPt>
          <c:cat>
            <c:strRef>
              <c:f>'EDIBLE OILS'!$C$107:$C$127</c:f>
              <c:strCache>
                <c:ptCount val="21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  <c:pt idx="6">
                  <c:v>KRITINUT</c:v>
                </c:pt>
                <c:pt idx="7">
                  <c:v>GOKUL</c:v>
                </c:pt>
                <c:pt idx="8">
                  <c:v>VIJSOLX</c:v>
                </c:pt>
                <c:pt idx="9">
                  <c:v>AJANTSOY</c:v>
                </c:pt>
                <c:pt idx="10">
                  <c:v>EVEXIA</c:v>
                </c:pt>
                <c:pt idx="11">
                  <c:v>SVRL</c:v>
                </c:pt>
                <c:pt idx="12">
                  <c:v>CIANAGRO</c:v>
                </c:pt>
                <c:pt idx="13">
                  <c:v>SURJIND</c:v>
                </c:pt>
                <c:pt idx="14">
                  <c:v>SIEL</c:v>
                </c:pt>
                <c:pt idx="15">
                  <c:v>RAJOIL</c:v>
                </c:pt>
                <c:pt idx="16">
                  <c:v>DILIGENT</c:v>
                </c:pt>
                <c:pt idx="17">
                  <c:v>POONADAL</c:v>
                </c:pt>
                <c:pt idx="18">
                  <c:v>NKIND</c:v>
                </c:pt>
                <c:pt idx="19">
                  <c:v>NATRAJPR</c:v>
                </c:pt>
                <c:pt idx="20">
                  <c:v>PIONAGR</c:v>
                </c:pt>
              </c:strCache>
            </c:strRef>
          </c:cat>
          <c:val>
            <c:numRef>
              <c:f>'EDIBLE OILS'!$S$107:$S$127</c:f>
              <c:numCache>
                <c:formatCode>0%</c:formatCode>
                <c:ptCount val="21"/>
                <c:pt idx="0">
                  <c:v>0.13539532978287588</c:v>
                </c:pt>
                <c:pt idx="1">
                  <c:v>2.8104678826328312E-2</c:v>
                </c:pt>
                <c:pt idx="2">
                  <c:v>1.0002577984016499E-2</c:v>
                </c:pt>
                <c:pt idx="3">
                  <c:v>1.7816091954022988E-2</c:v>
                </c:pt>
                <c:pt idx="4">
                  <c:v>1.0260897231944002E-2</c:v>
                </c:pt>
                <c:pt idx="5">
                  <c:v>4.6254399195575668E-2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C92-43E8-9B49-D7EE46920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'EDIBLE OILS'!$Z$106</c:f>
              <c:strCache>
                <c:ptCount val="1"/>
                <c:pt idx="0">
                  <c:v>ROE%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1C4587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E6D-4951-AAAD-4332100CECC2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E6D-4951-AAAD-4332100CECC2}"/>
              </c:ext>
            </c:extLst>
          </c:dPt>
          <c:dPt>
            <c:idx val="3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E6D-4951-AAAD-4332100CECC2}"/>
              </c:ext>
            </c:extLst>
          </c:dPt>
          <c:dPt>
            <c:idx val="4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E6D-4951-AAAD-4332100CE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OILS'!$Z$107:$Z$112</c:f>
              <c:numCache>
                <c:formatCode>0%</c:formatCode>
                <c:ptCount val="6"/>
                <c:pt idx="0">
                  <c:v>0.28707926167209558</c:v>
                </c:pt>
                <c:pt idx="1">
                  <c:v>8.6828694629557043E-2</c:v>
                </c:pt>
                <c:pt idx="2">
                  <c:v>7.3097211755840247E-2</c:v>
                </c:pt>
                <c:pt idx="3">
                  <c:v>3.0392156862745098E-2</c:v>
                </c:pt>
                <c:pt idx="4">
                  <c:v>0.24157303370786518</c:v>
                </c:pt>
                <c:pt idx="5">
                  <c:v>0.233502538071066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FE6D-4951-AAAD-4332100CE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674026"/>
        <c:axId val="1482315819"/>
      </c:barChart>
      <c:catAx>
        <c:axId val="20406740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IN" b="0">
                    <a:solidFill>
                      <a:srgbClr val="000000"/>
                    </a:solidFill>
                    <a:latin typeface="+mn-lt"/>
                  </a:rPr>
                  <a:t>DEBT TO EQUITY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2315819"/>
        <c:crosses val="autoZero"/>
        <c:auto val="1"/>
        <c:lblAlgn val="ctr"/>
        <c:lblOffset val="100"/>
        <c:noMultiLvlLbl val="1"/>
      </c:catAx>
      <c:valAx>
        <c:axId val="14823158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IN"/>
              </a:p>
            </c:rich>
          </c:tx>
          <c:overlay val="0"/>
        </c:title>
        <c:numFmt formatCode="0%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4067402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'EDIBLE OILS'!$Y$106</c:f>
              <c:strCache>
                <c:ptCount val="1"/>
                <c:pt idx="0">
                  <c:v>ROPEX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5C5-46B2-9919-B9A5C9A50549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65C5-46B2-9919-B9A5C9A50549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65C5-46B2-9919-B9A5C9A50549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65C5-46B2-9919-B9A5C9A505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OILS'!$Y$107:$Y$112</c:f>
              <c:numCache>
                <c:formatCode>0</c:formatCode>
                <c:ptCount val="6"/>
                <c:pt idx="0">
                  <c:v>10.248062015503876</c:v>
                </c:pt>
                <c:pt idx="1">
                  <c:v>12.305555555555555</c:v>
                </c:pt>
                <c:pt idx="2">
                  <c:v>4.476923076923077</c:v>
                </c:pt>
                <c:pt idx="3">
                  <c:v>0.58124999999999993</c:v>
                </c:pt>
                <c:pt idx="4">
                  <c:v>4.4482758620689653</c:v>
                </c:pt>
                <c:pt idx="5">
                  <c:v>3.8333333333333335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65C5-46B2-9919-B9A5C9A50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172775"/>
        <c:axId val="472398520"/>
      </c:barChart>
      <c:catAx>
        <c:axId val="1151727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IN" b="0">
                    <a:solidFill>
                      <a:srgbClr val="000000"/>
                    </a:solidFill>
                    <a:latin typeface="+mn-lt"/>
                  </a:rPr>
                  <a:t>DEBT TO EQUITY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72398520"/>
        <c:crosses val="autoZero"/>
        <c:auto val="1"/>
        <c:lblAlgn val="ctr"/>
        <c:lblOffset val="100"/>
        <c:noMultiLvlLbl val="1"/>
      </c:catAx>
      <c:valAx>
        <c:axId val="4723985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IN"/>
              </a:p>
            </c:rich>
          </c:tx>
          <c:overlay val="0"/>
        </c:title>
        <c:numFmt formatCode="0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7277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'EDIBLE OILS'!$Y$106</c:f>
              <c:strCache>
                <c:ptCount val="1"/>
                <c:pt idx="0">
                  <c:v>ROPEX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841-4AC5-A012-E6C96F9C42B8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841-4AC5-A012-E6C96F9C42B8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841-4AC5-A012-E6C96F9C42B8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841-4AC5-A012-E6C96F9C42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OILS'!$Y$107:$Y$112</c:f>
              <c:numCache>
                <c:formatCode>0</c:formatCode>
                <c:ptCount val="6"/>
                <c:pt idx="0">
                  <c:v>10.248062015503876</c:v>
                </c:pt>
                <c:pt idx="1">
                  <c:v>12.305555555555555</c:v>
                </c:pt>
                <c:pt idx="2">
                  <c:v>4.476923076923077</c:v>
                </c:pt>
                <c:pt idx="3">
                  <c:v>0.58124999999999993</c:v>
                </c:pt>
                <c:pt idx="4">
                  <c:v>4.4482758620689653</c:v>
                </c:pt>
                <c:pt idx="5">
                  <c:v>3.8333333333333335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D841-4AC5-A012-E6C96F9C4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119515"/>
        <c:axId val="1255093046"/>
      </c:barChart>
      <c:catAx>
        <c:axId val="20801195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IN" b="0">
                    <a:solidFill>
                      <a:srgbClr val="000000"/>
                    </a:solidFill>
                    <a:latin typeface="+mn-lt"/>
                  </a:rPr>
                  <a:t>DEBT TO EQUITY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5093046"/>
        <c:crosses val="autoZero"/>
        <c:auto val="1"/>
        <c:lblAlgn val="ctr"/>
        <c:lblOffset val="100"/>
        <c:noMultiLvlLbl val="1"/>
      </c:catAx>
      <c:valAx>
        <c:axId val="125509304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IN"/>
              </a:p>
            </c:rich>
          </c:tx>
          <c:overlay val="0"/>
        </c:title>
        <c:numFmt formatCode="0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8011951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'EDIBLE OILS'!$G$106</c:f>
              <c:strCache>
                <c:ptCount val="1"/>
                <c:pt idx="0">
                  <c:v>Sales</c:v>
                </c:pt>
              </c:strCache>
            </c:strRef>
          </c:tx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EF17-4D5D-B30C-6B44B6EDC531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EF17-4D5D-B30C-6B44B6EDC531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EF17-4D5D-B30C-6B44B6EDC531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EF17-4D5D-B30C-6B44B6EDC531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EF17-4D5D-B30C-6B44B6EDC531}"/>
              </c:ext>
            </c:extLst>
          </c:dPt>
          <c:dPt>
            <c:idx val="5"/>
            <c:bubble3D val="0"/>
            <c:spPr>
              <a:solidFill>
                <a:srgbClr val="70AD47"/>
              </a:solidFill>
            </c:spPr>
            <c:extLst>
              <c:ext xmlns:c16="http://schemas.microsoft.com/office/drawing/2014/chart" uri="{C3380CC4-5D6E-409C-BE32-E72D297353CC}">
                <c16:uniqueId val="{0000000B-EF17-4D5D-B30C-6B44B6EDC53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OILS'!$G$107:$G$112</c:f>
              <c:numCache>
                <c:formatCode>0</c:formatCode>
                <c:ptCount val="6"/>
                <c:pt idx="0">
                  <c:v>9764</c:v>
                </c:pt>
                <c:pt idx="1">
                  <c:v>31525</c:v>
                </c:pt>
                <c:pt idx="2">
                  <c:v>58185</c:v>
                </c:pt>
                <c:pt idx="3">
                  <c:v>783</c:v>
                </c:pt>
                <c:pt idx="4">
                  <c:v>12572</c:v>
                </c:pt>
                <c:pt idx="5">
                  <c:v>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17-4D5D-B30C-6B44B6EDC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'EDIBLE OILS'!$H$106</c:f>
              <c:strCache>
                <c:ptCount val="1"/>
                <c:pt idx="0">
                  <c:v>PAT</c:v>
                </c:pt>
              </c:strCache>
            </c:strRef>
          </c:tx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818E-4EE1-926D-772E715D0384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818E-4EE1-926D-772E715D0384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</c:spPr>
            <c:extLst>
              <c:ext xmlns:c16="http://schemas.microsoft.com/office/drawing/2014/chart" uri="{C3380CC4-5D6E-409C-BE32-E72D297353CC}">
                <c16:uniqueId val="{00000005-818E-4EE1-926D-772E715D0384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818E-4EE1-926D-772E715D0384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818E-4EE1-926D-772E715D0384}"/>
              </c:ext>
            </c:extLst>
          </c:dPt>
          <c:dPt>
            <c:idx val="5"/>
            <c:bubble3D val="0"/>
            <c:spPr>
              <a:solidFill>
                <a:srgbClr val="70AD47"/>
              </a:solidFill>
            </c:spPr>
            <c:extLst>
              <c:ext xmlns:c16="http://schemas.microsoft.com/office/drawing/2014/chart" uri="{C3380CC4-5D6E-409C-BE32-E72D297353CC}">
                <c16:uniqueId val="{0000000B-818E-4EE1-926D-772E715D038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OILS'!$H$107:$H$112</c:f>
              <c:numCache>
                <c:formatCode>0</c:formatCode>
                <c:ptCount val="6"/>
                <c:pt idx="0">
                  <c:v>1322</c:v>
                </c:pt>
                <c:pt idx="1">
                  <c:v>886</c:v>
                </c:pt>
                <c:pt idx="2">
                  <c:v>582</c:v>
                </c:pt>
                <c:pt idx="3">
                  <c:v>13.95</c:v>
                </c:pt>
                <c:pt idx="4">
                  <c:v>129</c:v>
                </c:pt>
                <c:pt idx="5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8E-4EE1-926D-772E715D0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'EDIBLE OILS'!$S$106</c:f>
              <c:strCache>
                <c:ptCount val="1"/>
                <c:pt idx="0">
                  <c:v>NPM %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883-405C-9F9B-63CE9DC92693}"/>
              </c:ext>
            </c:extLst>
          </c:dPt>
          <c:dPt>
            <c:idx val="1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883-405C-9F9B-63CE9DC92693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883-405C-9F9B-63CE9DC92693}"/>
              </c:ext>
            </c:extLst>
          </c:dPt>
          <c:dPt>
            <c:idx val="4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883-405C-9F9B-63CE9DC926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OILS'!$S$107:$S$112</c:f>
              <c:numCache>
                <c:formatCode>0%</c:formatCode>
                <c:ptCount val="6"/>
                <c:pt idx="0">
                  <c:v>0.13539532978287588</c:v>
                </c:pt>
                <c:pt idx="1">
                  <c:v>2.8104678826328312E-2</c:v>
                </c:pt>
                <c:pt idx="2">
                  <c:v>1.0002577984016499E-2</c:v>
                </c:pt>
                <c:pt idx="3">
                  <c:v>1.7816091954022988E-2</c:v>
                </c:pt>
                <c:pt idx="4">
                  <c:v>1.0260897231944002E-2</c:v>
                </c:pt>
                <c:pt idx="5">
                  <c:v>4.6254399195575668E-2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E883-405C-9F9B-63CE9DC92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12864"/>
        <c:axId val="85258729"/>
      </c:barChart>
      <c:catAx>
        <c:axId val="193531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IN" b="0">
                    <a:solidFill>
                      <a:srgbClr val="000000"/>
                    </a:solidFill>
                    <a:latin typeface="+mn-lt"/>
                  </a:rPr>
                  <a:t>NET PROFIT MARGIN%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5258729"/>
        <c:crosses val="autoZero"/>
        <c:auto val="1"/>
        <c:lblAlgn val="ctr"/>
        <c:lblOffset val="100"/>
        <c:noMultiLvlLbl val="1"/>
      </c:catAx>
      <c:valAx>
        <c:axId val="8525872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IN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53128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'EDIBLE OILS'!$T$106</c:f>
              <c:strCache>
                <c:ptCount val="1"/>
                <c:pt idx="0">
                  <c:v>Current Ratio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74BA-4988-B20C-31A226D7DB16}"/>
              </c:ext>
            </c:extLst>
          </c:dPt>
          <c:dPt>
            <c:idx val="2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74BA-4988-B20C-31A226D7DB16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74BA-4988-B20C-31A226D7DB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OILS'!$T$107:$T$112</c:f>
              <c:numCache>
                <c:formatCode>0%</c:formatCode>
                <c:ptCount val="6"/>
                <c:pt idx="0">
                  <c:v>1.7946181242580135</c:v>
                </c:pt>
                <c:pt idx="1">
                  <c:v>2.4431588082152156</c:v>
                </c:pt>
                <c:pt idx="2">
                  <c:v>1.1869167030091583</c:v>
                </c:pt>
                <c:pt idx="3">
                  <c:v>1.9763779527559056</c:v>
                </c:pt>
                <c:pt idx="4">
                  <c:v>1.2237871674491392</c:v>
                </c:pt>
                <c:pt idx="5">
                  <c:v>1.0045454545454546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74BA-4988-B20C-31A226D7D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733517"/>
        <c:axId val="1050119445"/>
      </c:barChart>
      <c:catAx>
        <c:axId val="82573351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IN" b="0">
                    <a:solidFill>
                      <a:srgbClr val="000000"/>
                    </a:solidFill>
                    <a:latin typeface="+mn-lt"/>
                  </a:rPr>
                  <a:t>CURRENT RATIO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50119445"/>
        <c:crosses val="autoZero"/>
        <c:auto val="1"/>
        <c:lblAlgn val="ctr"/>
        <c:lblOffset val="100"/>
        <c:noMultiLvlLbl val="1"/>
      </c:catAx>
      <c:valAx>
        <c:axId val="105011944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IN"/>
              </a:p>
            </c:rich>
          </c:tx>
          <c:overlay val="0"/>
        </c:title>
        <c:numFmt formatCode="0%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2573351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'EDIBLE OILS'!$U$106</c:f>
              <c:strCache>
                <c:ptCount val="1"/>
                <c:pt idx="0">
                  <c:v>TRADE REC. DAYS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F8-48DE-B0CF-54B6BBD3AE0F}"/>
              </c:ext>
            </c:extLst>
          </c:dPt>
          <c:dPt>
            <c:idx val="2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0F8-48DE-B0CF-54B6BBD3AE0F}"/>
              </c:ext>
            </c:extLst>
          </c:dPt>
          <c:dPt>
            <c:idx val="3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0F8-48DE-B0CF-54B6BBD3AE0F}"/>
              </c:ext>
            </c:extLst>
          </c:dPt>
          <c:dPt>
            <c:idx val="4"/>
            <c:invertIfNegative val="1"/>
            <c:bubble3D val="0"/>
            <c:spPr>
              <a:solidFill>
                <a:srgbClr val="1C4587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0F8-48DE-B0CF-54B6BBD3AE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OILS'!$U$107:$U$112</c:f>
              <c:numCache>
                <c:formatCode>0</c:formatCode>
                <c:ptCount val="6"/>
                <c:pt idx="0">
                  <c:v>43.587668988119624</c:v>
                </c:pt>
                <c:pt idx="1">
                  <c:v>11.392862807295797</c:v>
                </c:pt>
                <c:pt idx="2">
                  <c:v>11.9941565695626</c:v>
                </c:pt>
                <c:pt idx="3">
                  <c:v>36.360153256704976</c:v>
                </c:pt>
                <c:pt idx="4">
                  <c:v>6.3581769010499531</c:v>
                </c:pt>
                <c:pt idx="5">
                  <c:v>23.489190548014076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40F8-48DE-B0CF-54B6BBD3A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593997"/>
        <c:axId val="1645693341"/>
      </c:barChart>
      <c:catAx>
        <c:axId val="9835939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IN" b="0">
                    <a:solidFill>
                      <a:srgbClr val="000000"/>
                    </a:solidFill>
                    <a:latin typeface="+mn-lt"/>
                  </a:rPr>
                  <a:t>CURRENT RATIO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45693341"/>
        <c:crosses val="autoZero"/>
        <c:auto val="1"/>
        <c:lblAlgn val="ctr"/>
        <c:lblOffset val="100"/>
        <c:noMultiLvlLbl val="1"/>
      </c:catAx>
      <c:valAx>
        <c:axId val="16456933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IN"/>
              </a:p>
            </c:rich>
          </c:tx>
          <c:overlay val="0"/>
        </c:title>
        <c:numFmt formatCode="0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8359399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'EDIBLE OILS'!$V$106</c:f>
              <c:strCache>
                <c:ptCount val="1"/>
                <c:pt idx="0">
                  <c:v>D2E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B42-463C-8F3C-0DCB02416600}"/>
              </c:ext>
            </c:extLst>
          </c:dPt>
          <c:dPt>
            <c:idx val="2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B42-463C-8F3C-0DCB02416600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EB42-463C-8F3C-0DCB02416600}"/>
              </c:ext>
            </c:extLst>
          </c:dPt>
          <c:dPt>
            <c:idx val="4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EB42-463C-8F3C-0DCB024166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OILS'!$V$107:$V$112</c:f>
              <c:numCache>
                <c:formatCode>0%</c:formatCode>
                <c:ptCount val="6"/>
                <c:pt idx="0">
                  <c:v>7.4701411509229099E-2</c:v>
                </c:pt>
                <c:pt idx="1">
                  <c:v>0.12357898863190905</c:v>
                </c:pt>
                <c:pt idx="2">
                  <c:v>0.45754835468475258</c:v>
                </c:pt>
                <c:pt idx="3">
                  <c:v>5.2287581699346407E-2</c:v>
                </c:pt>
                <c:pt idx="4">
                  <c:v>0.85767790262172283</c:v>
                </c:pt>
                <c:pt idx="5">
                  <c:v>1.2918781725888324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EB42-463C-8F3C-0DCB02416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107333"/>
        <c:axId val="938227341"/>
      </c:barChart>
      <c:catAx>
        <c:axId val="38110733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IN" b="0">
                    <a:solidFill>
                      <a:srgbClr val="000000"/>
                    </a:solidFill>
                    <a:latin typeface="+mn-lt"/>
                  </a:rPr>
                  <a:t>DEBT TO EQUITY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8227341"/>
        <c:crosses val="autoZero"/>
        <c:auto val="1"/>
        <c:lblAlgn val="ctr"/>
        <c:lblOffset val="100"/>
        <c:noMultiLvlLbl val="1"/>
      </c:catAx>
      <c:valAx>
        <c:axId val="9382273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IN"/>
              </a:p>
            </c:rich>
          </c:tx>
          <c:overlay val="0"/>
        </c:title>
        <c:numFmt formatCode="0%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81107333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'EDIBLE OILS'!$W$106</c:f>
              <c:strCache>
                <c:ptCount val="1"/>
                <c:pt idx="0">
                  <c:v>ICR</c:v>
                </c:pt>
              </c:strCache>
            </c:strRef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1F67-46CB-A33A-4A13EE5268D3}"/>
              </c:ext>
            </c:extLst>
          </c:dPt>
          <c:dPt>
            <c:idx val="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F67-46CB-A33A-4A13EE5268D3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F67-46CB-A33A-4A13EE5268D3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1F67-46CB-A33A-4A13EE5268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OILS'!$W$107:$W$112</c:f>
              <c:numCache>
                <c:formatCode>0</c:formatCode>
                <c:ptCount val="6"/>
                <c:pt idx="0">
                  <c:v>2.6122448979591835</c:v>
                </c:pt>
                <c:pt idx="1">
                  <c:v>2.6122448979591835</c:v>
                </c:pt>
                <c:pt idx="2">
                  <c:v>1.6645367412140575</c:v>
                </c:pt>
                <c:pt idx="3">
                  <c:v>3</c:v>
                </c:pt>
                <c:pt idx="4">
                  <c:v>2.8536585365853657</c:v>
                </c:pt>
                <c:pt idx="5">
                  <c:v>3.5714285714285716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1F67-46CB-A33A-4A13EE526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032191"/>
        <c:axId val="109831900"/>
      </c:barChart>
      <c:catAx>
        <c:axId val="12950321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IN" b="0">
                    <a:solidFill>
                      <a:srgbClr val="000000"/>
                    </a:solidFill>
                    <a:latin typeface="+mn-lt"/>
                  </a:rPr>
                  <a:t>DEBT TO EQUITY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9831900"/>
        <c:crosses val="autoZero"/>
        <c:auto val="1"/>
        <c:lblAlgn val="ctr"/>
        <c:lblOffset val="100"/>
        <c:noMultiLvlLbl val="1"/>
      </c:catAx>
      <c:valAx>
        <c:axId val="1098319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IN"/>
              </a:p>
            </c:rich>
          </c:tx>
          <c:overlay val="0"/>
        </c:title>
        <c:numFmt formatCode="0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9503219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tx>
            <c:strRef>
              <c:f>'EDIBLE OILS'!$X$106</c:f>
              <c:strCache>
                <c:ptCount val="1"/>
                <c:pt idx="0">
                  <c:v>DEBTRATIO</c:v>
                </c:pt>
              </c:strCache>
            </c:strRef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1C4587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040-49B4-A41A-A7147C031E92}"/>
              </c:ext>
            </c:extLst>
          </c:dPt>
          <c:dPt>
            <c:idx val="1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040-49B4-A41A-A7147C031E92}"/>
              </c:ext>
            </c:extLst>
          </c:dPt>
          <c:dPt>
            <c:idx val="2"/>
            <c:invertIfNegative val="1"/>
            <c:bubble3D val="0"/>
            <c:spPr>
              <a:solidFill>
                <a:srgbClr val="274E1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040-49B4-A41A-A7147C031E92}"/>
              </c:ext>
            </c:extLst>
          </c:dPt>
          <c:dPt>
            <c:idx val="3"/>
            <c:invertIfNegative val="1"/>
            <c:bubble3D val="0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040-49B4-A41A-A7147C031E92}"/>
              </c:ext>
            </c:extLst>
          </c:dPt>
          <c:dPt>
            <c:idx val="4"/>
            <c:invertIfNegative val="1"/>
            <c:bubble3D val="0"/>
            <c:spPr>
              <a:solidFill>
                <a:srgbClr val="1C4587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040-49B4-A41A-A7147C031E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'EDIBLE OILS'!$C$107:$C$112</c:f>
              <c:strCache>
                <c:ptCount val="6"/>
                <c:pt idx="0">
                  <c:v>MARICO</c:v>
                </c:pt>
                <c:pt idx="1">
                  <c:v>PATANJALI</c:v>
                </c:pt>
                <c:pt idx="2">
                  <c:v>AWL</c:v>
                </c:pt>
                <c:pt idx="3">
                  <c:v>ATFL</c:v>
                </c:pt>
                <c:pt idx="4">
                  <c:v>GOKULAGRO</c:v>
                </c:pt>
                <c:pt idx="5">
                  <c:v>BCLIL</c:v>
                </c:pt>
              </c:strCache>
            </c:strRef>
          </c:cat>
          <c:val>
            <c:numRef>
              <c:f>'EDIBLE OILS'!$X$107:$X$112</c:f>
              <c:numCache>
                <c:formatCode>0%</c:formatCode>
                <c:ptCount val="6"/>
                <c:pt idx="0">
                  <c:v>0.43593826555609994</c:v>
                </c:pt>
                <c:pt idx="1">
                  <c:v>0.26313889691019349</c:v>
                </c:pt>
                <c:pt idx="2">
                  <c:v>0.61219619112561496</c:v>
                </c:pt>
                <c:pt idx="3">
                  <c:v>0.25040916530278234</c:v>
                </c:pt>
                <c:pt idx="4">
                  <c:v>0.73782587309394987</c:v>
                </c:pt>
                <c:pt idx="5">
                  <c:v>0.56892778993435444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3040-49B4-A41A-A7147C031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6735072"/>
        <c:axId val="1619874813"/>
      </c:barChart>
      <c:catAx>
        <c:axId val="14067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IN" b="0">
                    <a:solidFill>
                      <a:srgbClr val="000000"/>
                    </a:solidFill>
                    <a:latin typeface="+mn-lt"/>
                  </a:rPr>
                  <a:t>DEBT TO EQUITY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19874813"/>
        <c:crosses val="autoZero"/>
        <c:auto val="1"/>
        <c:lblAlgn val="ctr"/>
        <c:lblOffset val="100"/>
        <c:noMultiLvlLbl val="1"/>
      </c:catAx>
      <c:valAx>
        <c:axId val="161987481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IN"/>
              </a:p>
            </c:rich>
          </c:tx>
          <c:overlay val="0"/>
        </c:title>
        <c:numFmt formatCode="0%" sourceLinked="1"/>
        <c:majorTickMark val="cross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0673507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4.png"/><Relationship Id="rId18" Type="http://schemas.openxmlformats.org/officeDocument/2006/relationships/image" Target="../media/image15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image" Target="../media/image3.png"/><Relationship Id="rId2" Type="http://schemas.openxmlformats.org/officeDocument/2006/relationships/chart" Target="../charts/chart2.xml"/><Relationship Id="rId16" Type="http://schemas.openxmlformats.org/officeDocument/2006/relationships/image" Target="../media/image2.png"/><Relationship Id="rId20" Type="http://schemas.openxmlformats.org/officeDocument/2006/relationships/image" Target="../media/image21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image" Target="../media/image9.png"/><Relationship Id="rId10" Type="http://schemas.openxmlformats.org/officeDocument/2006/relationships/chart" Target="../charts/chart10.xml"/><Relationship Id="rId19" Type="http://schemas.openxmlformats.org/officeDocument/2006/relationships/image" Target="../media/image16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70</xdr:row>
      <xdr:rowOff>0</xdr:rowOff>
    </xdr:from>
    <xdr:ext cx="3267075" cy="2066925"/>
    <xdr:pic>
      <xdr:nvPicPr>
        <xdr:cNvPr id="2" name="image16.png">
          <a:extLst>
            <a:ext uri="{FF2B5EF4-FFF2-40B4-BE49-F238E27FC236}">
              <a16:creationId xmlns:a16="http://schemas.microsoft.com/office/drawing/2014/main" id="{D0CACBEC-E169-4F81-A818-5BD1F404518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5840" y="12268200"/>
          <a:ext cx="3267075" cy="20669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695325</xdr:colOff>
      <xdr:row>71</xdr:row>
      <xdr:rowOff>28575</xdr:rowOff>
    </xdr:from>
    <xdr:ext cx="5648325" cy="1666875"/>
    <xdr:pic>
      <xdr:nvPicPr>
        <xdr:cNvPr id="3" name="image2.png">
          <a:extLst>
            <a:ext uri="{FF2B5EF4-FFF2-40B4-BE49-F238E27FC236}">
              <a16:creationId xmlns:a16="http://schemas.microsoft.com/office/drawing/2014/main" id="{1FC8D487-969C-4E30-A263-557A855B1D2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98645" y="12472035"/>
          <a:ext cx="5648325" cy="16668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82</xdr:row>
      <xdr:rowOff>104775</xdr:rowOff>
    </xdr:from>
    <xdr:ext cx="5667375" cy="2381250"/>
    <xdr:pic>
      <xdr:nvPicPr>
        <xdr:cNvPr id="4" name="image4.png" title="Image">
          <a:extLst>
            <a:ext uri="{FF2B5EF4-FFF2-40B4-BE49-F238E27FC236}">
              <a16:creationId xmlns:a16="http://schemas.microsoft.com/office/drawing/2014/main" id="{D6EF8480-9156-421D-8926-A05D7624F353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82040" y="14476095"/>
          <a:ext cx="5667375" cy="2381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96</xdr:row>
      <xdr:rowOff>38100</xdr:rowOff>
    </xdr:from>
    <xdr:ext cx="4791075" cy="2447925"/>
    <xdr:pic>
      <xdr:nvPicPr>
        <xdr:cNvPr id="5" name="image3.png">
          <a:extLst>
            <a:ext uri="{FF2B5EF4-FFF2-40B4-BE49-F238E27FC236}">
              <a16:creationId xmlns:a16="http://schemas.microsoft.com/office/drawing/2014/main" id="{82F27A64-38D4-433E-945B-73CA6882749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2040" y="16863060"/>
          <a:ext cx="4791075" cy="24479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110</xdr:row>
      <xdr:rowOff>0</xdr:rowOff>
    </xdr:from>
    <xdr:ext cx="5676900" cy="1962150"/>
    <xdr:pic>
      <xdr:nvPicPr>
        <xdr:cNvPr id="6" name="image21.png">
          <a:extLst>
            <a:ext uri="{FF2B5EF4-FFF2-40B4-BE49-F238E27FC236}">
              <a16:creationId xmlns:a16="http://schemas.microsoft.com/office/drawing/2014/main" id="{17A9C3D0-5C0D-45F4-8D6B-B62EF2DFA73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3940" y="19278600"/>
          <a:ext cx="5676900" cy="19621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485775</xdr:colOff>
      <xdr:row>96</xdr:row>
      <xdr:rowOff>133350</xdr:rowOff>
    </xdr:from>
    <xdr:ext cx="5133975" cy="2181225"/>
    <xdr:pic>
      <xdr:nvPicPr>
        <xdr:cNvPr id="7" name="image23.png">
          <a:extLst>
            <a:ext uri="{FF2B5EF4-FFF2-40B4-BE49-F238E27FC236}">
              <a16:creationId xmlns:a16="http://schemas.microsoft.com/office/drawing/2014/main" id="{159C2EAA-0C3A-4598-96F3-73DE940D680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76975" y="16958310"/>
          <a:ext cx="5133975" cy="21812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109</xdr:row>
      <xdr:rowOff>161925</xdr:rowOff>
    </xdr:from>
    <xdr:ext cx="5543550" cy="1857375"/>
    <xdr:pic>
      <xdr:nvPicPr>
        <xdr:cNvPr id="8" name="image11.png">
          <a:extLst>
            <a:ext uri="{FF2B5EF4-FFF2-40B4-BE49-F238E27FC236}">
              <a16:creationId xmlns:a16="http://schemas.microsoft.com/office/drawing/2014/main" id="{23763DD7-9192-4F8E-AF6A-AC9D30C9350B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61810" y="19265265"/>
          <a:ext cx="554355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657225</xdr:colOff>
      <xdr:row>96</xdr:row>
      <xdr:rowOff>95250</xdr:rowOff>
    </xdr:from>
    <xdr:ext cx="4924425" cy="2657475"/>
    <xdr:pic>
      <xdr:nvPicPr>
        <xdr:cNvPr id="9" name="image6.png">
          <a:extLst>
            <a:ext uri="{FF2B5EF4-FFF2-40B4-BE49-F238E27FC236}">
              <a16:creationId xmlns:a16="http://schemas.microsoft.com/office/drawing/2014/main" id="{1B746979-EC1E-48B3-8E62-F92F09B25703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872085" y="16920210"/>
          <a:ext cx="4924425" cy="2657475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600075</xdr:colOff>
      <xdr:row>111</xdr:row>
      <xdr:rowOff>114300</xdr:rowOff>
    </xdr:from>
    <xdr:ext cx="4857750" cy="2819400"/>
    <xdr:pic>
      <xdr:nvPicPr>
        <xdr:cNvPr id="10" name="image5.png">
          <a:extLst>
            <a:ext uri="{FF2B5EF4-FFF2-40B4-BE49-F238E27FC236}">
              <a16:creationId xmlns:a16="http://schemas.microsoft.com/office/drawing/2014/main" id="{8302A52E-8777-482B-9254-C60796002807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814935" y="19568160"/>
          <a:ext cx="4857750" cy="28194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121</xdr:row>
      <xdr:rowOff>161925</xdr:rowOff>
    </xdr:from>
    <xdr:ext cx="3648075" cy="2819400"/>
    <xdr:pic>
      <xdr:nvPicPr>
        <xdr:cNvPr id="11" name="image18.png">
          <a:extLst>
            <a:ext uri="{FF2B5EF4-FFF2-40B4-BE49-F238E27FC236}">
              <a16:creationId xmlns:a16="http://schemas.microsoft.com/office/drawing/2014/main" id="{450FE9F4-650A-48A5-B768-E778D14A34EC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3940" y="21368385"/>
          <a:ext cx="3648075" cy="28194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122</xdr:row>
      <xdr:rowOff>0</xdr:rowOff>
    </xdr:from>
    <xdr:ext cx="4000500" cy="2733675"/>
    <xdr:pic>
      <xdr:nvPicPr>
        <xdr:cNvPr id="12" name="image26.png">
          <a:extLst>
            <a:ext uri="{FF2B5EF4-FFF2-40B4-BE49-F238E27FC236}">
              <a16:creationId xmlns:a16="http://schemas.microsoft.com/office/drawing/2014/main" id="{84D3718F-66E2-487A-9749-B276074C724C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930140" y="21381720"/>
          <a:ext cx="4000500" cy="27336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139</xdr:row>
      <xdr:rowOff>161925</xdr:rowOff>
    </xdr:from>
    <xdr:ext cx="4371975" cy="1971675"/>
    <xdr:pic>
      <xdr:nvPicPr>
        <xdr:cNvPr id="13" name="image9.png">
          <a:extLst>
            <a:ext uri="{FF2B5EF4-FFF2-40B4-BE49-F238E27FC236}">
              <a16:creationId xmlns:a16="http://schemas.microsoft.com/office/drawing/2014/main" id="{DF2125A7-60CF-4A40-A437-6991C4BE5529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24890" y="24523065"/>
          <a:ext cx="4371975" cy="19716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609600</xdr:colOff>
      <xdr:row>140</xdr:row>
      <xdr:rowOff>114300</xdr:rowOff>
    </xdr:from>
    <xdr:ext cx="4895850" cy="1743075"/>
    <xdr:pic>
      <xdr:nvPicPr>
        <xdr:cNvPr id="14" name="image12.png">
          <a:extLst>
            <a:ext uri="{FF2B5EF4-FFF2-40B4-BE49-F238E27FC236}">
              <a16:creationId xmlns:a16="http://schemas.microsoft.com/office/drawing/2014/main" id="{B5EEF82A-0FF0-4397-B88C-277CCFD0864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539740" y="24650700"/>
          <a:ext cx="4895850" cy="1743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962025</xdr:colOff>
      <xdr:row>153</xdr:row>
      <xdr:rowOff>66675</xdr:rowOff>
    </xdr:from>
    <xdr:ext cx="4238625" cy="2219325"/>
    <xdr:pic>
      <xdr:nvPicPr>
        <xdr:cNvPr id="15" name="image25.png">
          <a:extLst>
            <a:ext uri="{FF2B5EF4-FFF2-40B4-BE49-F238E27FC236}">
              <a16:creationId xmlns:a16="http://schemas.microsoft.com/office/drawing/2014/main" id="{686A93D4-6E4C-4846-9ED9-F1148F6CD25F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62025" y="26881455"/>
          <a:ext cx="4238625" cy="22193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476250</xdr:colOff>
      <xdr:row>153</xdr:row>
      <xdr:rowOff>66675</xdr:rowOff>
    </xdr:from>
    <xdr:ext cx="4962525" cy="2800350"/>
    <xdr:pic>
      <xdr:nvPicPr>
        <xdr:cNvPr id="16" name="image8.png">
          <a:extLst>
            <a:ext uri="{FF2B5EF4-FFF2-40B4-BE49-F238E27FC236}">
              <a16:creationId xmlns:a16="http://schemas.microsoft.com/office/drawing/2014/main" id="{DAE3D743-62F5-44F4-91BF-F3DD5F04F9C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06390" y="26881455"/>
          <a:ext cx="4962525" cy="28003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533400</xdr:colOff>
      <xdr:row>170</xdr:row>
      <xdr:rowOff>142875</xdr:rowOff>
    </xdr:from>
    <xdr:ext cx="5600700" cy="2114550"/>
    <xdr:pic>
      <xdr:nvPicPr>
        <xdr:cNvPr id="17" name="image1.png">
          <a:extLst>
            <a:ext uri="{FF2B5EF4-FFF2-40B4-BE49-F238E27FC236}">
              <a16:creationId xmlns:a16="http://schemas.microsoft.com/office/drawing/2014/main" id="{C730E643-1BD8-4C7D-92E3-BB2382461209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63540" y="29937075"/>
          <a:ext cx="5600700" cy="2114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</xdr:row>
      <xdr:rowOff>0</xdr:rowOff>
    </xdr:from>
    <xdr:ext cx="4381500" cy="1647825"/>
    <xdr:pic>
      <xdr:nvPicPr>
        <xdr:cNvPr id="18" name="image10.png">
          <a:extLst>
            <a:ext uri="{FF2B5EF4-FFF2-40B4-BE49-F238E27FC236}">
              <a16:creationId xmlns:a16="http://schemas.microsoft.com/office/drawing/2014/main" id="{042D9A7F-7558-4C98-8C26-ADD4B43E593B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05840" y="29969460"/>
          <a:ext cx="4381500" cy="1647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</xdr:row>
      <xdr:rowOff>0</xdr:rowOff>
    </xdr:from>
    <xdr:ext cx="4400550" cy="1476375"/>
    <xdr:pic>
      <xdr:nvPicPr>
        <xdr:cNvPr id="19" name="image29.png">
          <a:extLst>
            <a:ext uri="{FF2B5EF4-FFF2-40B4-BE49-F238E27FC236}">
              <a16:creationId xmlns:a16="http://schemas.microsoft.com/office/drawing/2014/main" id="{D4B00E9B-CAD7-4BC4-93DE-048F9D27DA9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05840" y="31722060"/>
          <a:ext cx="4400550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191</xdr:row>
      <xdr:rowOff>19050</xdr:rowOff>
    </xdr:from>
    <xdr:ext cx="4238625" cy="2286000"/>
    <xdr:pic>
      <xdr:nvPicPr>
        <xdr:cNvPr id="20" name="image13.png">
          <a:extLst>
            <a:ext uri="{FF2B5EF4-FFF2-40B4-BE49-F238E27FC236}">
              <a16:creationId xmlns:a16="http://schemas.microsoft.com/office/drawing/2014/main" id="{4916D8C7-A8C9-4F27-8399-C2310C91E6C6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62990" y="33493710"/>
          <a:ext cx="4238625" cy="2286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4381500" cy="2238375"/>
    <xdr:pic>
      <xdr:nvPicPr>
        <xdr:cNvPr id="21" name="image15.png">
          <a:extLst>
            <a:ext uri="{FF2B5EF4-FFF2-40B4-BE49-F238E27FC236}">
              <a16:creationId xmlns:a16="http://schemas.microsoft.com/office/drawing/2014/main" id="{84F52E7F-6AEA-4BB2-8789-6E3B07FD4AB5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05840" y="35928300"/>
          <a:ext cx="4381500" cy="2238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191</xdr:row>
      <xdr:rowOff>0</xdr:rowOff>
    </xdr:from>
    <xdr:ext cx="4838700" cy="2343150"/>
    <xdr:pic>
      <xdr:nvPicPr>
        <xdr:cNvPr id="22" name="image7.png">
          <a:extLst>
            <a:ext uri="{FF2B5EF4-FFF2-40B4-BE49-F238E27FC236}">
              <a16:creationId xmlns:a16="http://schemas.microsoft.com/office/drawing/2014/main" id="{4C694548-69CF-4E48-8BF0-1E97E3D573CB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791200" y="33474660"/>
          <a:ext cx="4838700" cy="2343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219</xdr:row>
      <xdr:rowOff>0</xdr:rowOff>
    </xdr:from>
    <xdr:ext cx="4314825" cy="2143125"/>
    <xdr:pic>
      <xdr:nvPicPr>
        <xdr:cNvPr id="23" name="image24.png">
          <a:extLst>
            <a:ext uri="{FF2B5EF4-FFF2-40B4-BE49-F238E27FC236}">
              <a16:creationId xmlns:a16="http://schemas.microsoft.com/office/drawing/2014/main" id="{DBB32EEF-76ED-4428-A1AC-6E76E3ABA22A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20140" y="38381940"/>
          <a:ext cx="4314825" cy="21431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685800</xdr:colOff>
      <xdr:row>218</xdr:row>
      <xdr:rowOff>47625</xdr:rowOff>
    </xdr:from>
    <xdr:ext cx="5781675" cy="2505075"/>
    <xdr:pic>
      <xdr:nvPicPr>
        <xdr:cNvPr id="24" name="image27.png">
          <a:extLst>
            <a:ext uri="{FF2B5EF4-FFF2-40B4-BE49-F238E27FC236}">
              <a16:creationId xmlns:a16="http://schemas.microsoft.com/office/drawing/2014/main" id="{BBD9E9D6-D425-4AB7-9CFF-72CE6E3BDAAF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615940" y="38254305"/>
          <a:ext cx="5781675" cy="2505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233</xdr:row>
      <xdr:rowOff>76200</xdr:rowOff>
    </xdr:from>
    <xdr:ext cx="4352925" cy="1524000"/>
    <xdr:pic>
      <xdr:nvPicPr>
        <xdr:cNvPr id="25" name="image17.png">
          <a:extLst>
            <a:ext uri="{FF2B5EF4-FFF2-40B4-BE49-F238E27FC236}">
              <a16:creationId xmlns:a16="http://schemas.microsoft.com/office/drawing/2014/main" id="{4587EA0C-C71A-4F0B-952D-B971ADDDD13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20140" y="40911780"/>
          <a:ext cx="4352925" cy="15240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762000</xdr:colOff>
      <xdr:row>234</xdr:row>
      <xdr:rowOff>0</xdr:rowOff>
    </xdr:from>
    <xdr:ext cx="5629275" cy="3219450"/>
    <xdr:pic>
      <xdr:nvPicPr>
        <xdr:cNvPr id="26" name="image20.png">
          <a:extLst>
            <a:ext uri="{FF2B5EF4-FFF2-40B4-BE49-F238E27FC236}">
              <a16:creationId xmlns:a16="http://schemas.microsoft.com/office/drawing/2014/main" id="{178035AD-8E34-4CDB-B19C-2B89361946CF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692140" y="41010840"/>
          <a:ext cx="5629275" cy="32194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254</xdr:row>
      <xdr:rowOff>0</xdr:rowOff>
    </xdr:from>
    <xdr:ext cx="4419600" cy="2476500"/>
    <xdr:pic>
      <xdr:nvPicPr>
        <xdr:cNvPr id="27" name="image19.png">
          <a:extLst>
            <a:ext uri="{FF2B5EF4-FFF2-40B4-BE49-F238E27FC236}">
              <a16:creationId xmlns:a16="http://schemas.microsoft.com/office/drawing/2014/main" id="{CFB61444-3F68-4857-970B-00A2D0BB47AF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05840" y="44516040"/>
          <a:ext cx="4419600" cy="2476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270</xdr:row>
      <xdr:rowOff>0</xdr:rowOff>
    </xdr:from>
    <xdr:ext cx="4391025" cy="2181225"/>
    <xdr:pic>
      <xdr:nvPicPr>
        <xdr:cNvPr id="28" name="image28.png">
          <a:extLst>
            <a:ext uri="{FF2B5EF4-FFF2-40B4-BE49-F238E27FC236}">
              <a16:creationId xmlns:a16="http://schemas.microsoft.com/office/drawing/2014/main" id="{1A6300E9-2CAF-40C3-BD6C-EC30B2843B98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05840" y="47320200"/>
          <a:ext cx="4391025" cy="21812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647700</xdr:colOff>
      <xdr:row>269</xdr:row>
      <xdr:rowOff>152400</xdr:rowOff>
    </xdr:from>
    <xdr:ext cx="5438775" cy="3638550"/>
    <xdr:pic>
      <xdr:nvPicPr>
        <xdr:cNvPr id="29" name="image30.png">
          <a:extLst>
            <a:ext uri="{FF2B5EF4-FFF2-40B4-BE49-F238E27FC236}">
              <a16:creationId xmlns:a16="http://schemas.microsoft.com/office/drawing/2014/main" id="{A8203A61-2AAB-4563-A484-29D72AEED347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577840" y="47297340"/>
          <a:ext cx="5438775" cy="3638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292</xdr:row>
      <xdr:rowOff>0</xdr:rowOff>
    </xdr:from>
    <xdr:ext cx="5676900" cy="2733675"/>
    <xdr:pic>
      <xdr:nvPicPr>
        <xdr:cNvPr id="30" name="image14.png">
          <a:extLst>
            <a:ext uri="{FF2B5EF4-FFF2-40B4-BE49-F238E27FC236}">
              <a16:creationId xmlns:a16="http://schemas.microsoft.com/office/drawing/2014/main" id="{17CF0A11-DBB8-4ECD-9DCF-90D0934F3951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05840" y="51175920"/>
          <a:ext cx="5676900" cy="27336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310</xdr:row>
      <xdr:rowOff>0</xdr:rowOff>
    </xdr:from>
    <xdr:ext cx="5076825" cy="6048375"/>
    <xdr:pic>
      <xdr:nvPicPr>
        <xdr:cNvPr id="31" name="image31.png">
          <a:extLst>
            <a:ext uri="{FF2B5EF4-FFF2-40B4-BE49-F238E27FC236}">
              <a16:creationId xmlns:a16="http://schemas.microsoft.com/office/drawing/2014/main" id="{B80F1CD6-2331-4292-88C6-706F8628D86C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05840" y="54330600"/>
          <a:ext cx="5076825" cy="60483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310</xdr:row>
      <xdr:rowOff>0</xdr:rowOff>
    </xdr:from>
    <xdr:ext cx="7505700" cy="2619375"/>
    <xdr:pic>
      <xdr:nvPicPr>
        <xdr:cNvPr id="32" name="image22.png">
          <a:extLst>
            <a:ext uri="{FF2B5EF4-FFF2-40B4-BE49-F238E27FC236}">
              <a16:creationId xmlns:a16="http://schemas.microsoft.com/office/drawing/2014/main" id="{909DB281-3D0C-4558-8585-B088CE9D3A1C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652260" y="54330600"/>
          <a:ext cx="7505700" cy="2619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55</xdr:row>
      <xdr:rowOff>-114300</xdr:rowOff>
    </xdr:from>
    <xdr:ext cx="5295900" cy="5305425"/>
    <xdr:pic>
      <xdr:nvPicPr>
        <xdr:cNvPr id="33" name="image32.png" title="Image">
          <a:extLst>
            <a:ext uri="{FF2B5EF4-FFF2-40B4-BE49-F238E27FC236}">
              <a16:creationId xmlns:a16="http://schemas.microsoft.com/office/drawing/2014/main" id="{C690DBAE-B4DF-4BC1-BC28-78D16A455063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120140" y="9525000"/>
          <a:ext cx="5295900" cy="53054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34</xdr:row>
      <xdr:rowOff>123825</xdr:rowOff>
    </xdr:from>
    <xdr:ext cx="3790950" cy="2343150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363FA626-EA6D-43BA-AA8E-39ABE0BF5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19050</xdr:colOff>
      <xdr:row>34</xdr:row>
      <xdr:rowOff>123825</xdr:rowOff>
    </xdr:from>
    <xdr:ext cx="3790950" cy="234315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BC782130-A33F-4F66-B478-3ADBE533B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12</xdr:col>
      <xdr:colOff>9525</xdr:colOff>
      <xdr:row>34</xdr:row>
      <xdr:rowOff>57150</xdr:rowOff>
    </xdr:from>
    <xdr:ext cx="3790950" cy="2343150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DFA5BA4C-D581-437B-9830-AAC2BFB3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933450</xdr:colOff>
      <xdr:row>52</xdr:row>
      <xdr:rowOff>28575</xdr:rowOff>
    </xdr:from>
    <xdr:ext cx="3962400" cy="2162175"/>
    <xdr:graphicFrame macro="">
      <xdr:nvGraphicFramePr>
        <xdr:cNvPr id="5" name="Chart 4" title="Chart">
          <a:extLst>
            <a:ext uri="{FF2B5EF4-FFF2-40B4-BE49-F238E27FC236}">
              <a16:creationId xmlns:a16="http://schemas.microsoft.com/office/drawing/2014/main" id="{C6F5AFCC-F5CD-499F-BDC3-AFFB525DA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6</xdr:col>
      <xdr:colOff>19050</xdr:colOff>
      <xdr:row>51</xdr:row>
      <xdr:rowOff>123825</xdr:rowOff>
    </xdr:from>
    <xdr:ext cx="3600450" cy="2209800"/>
    <xdr:graphicFrame macro="">
      <xdr:nvGraphicFramePr>
        <xdr:cNvPr id="6" name="Chart 5" title="Chart">
          <a:extLst>
            <a:ext uri="{FF2B5EF4-FFF2-40B4-BE49-F238E27FC236}">
              <a16:creationId xmlns:a16="http://schemas.microsoft.com/office/drawing/2014/main" id="{368C9CAC-E8E3-4A41-BFE0-32E1EC40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12</xdr:col>
      <xdr:colOff>9525</xdr:colOff>
      <xdr:row>51</xdr:row>
      <xdr:rowOff>76200</xdr:rowOff>
    </xdr:from>
    <xdr:ext cx="3600450" cy="2209800"/>
    <xdr:graphicFrame macro="">
      <xdr:nvGraphicFramePr>
        <xdr:cNvPr id="7" name="Chart 6" title="Chart">
          <a:extLst>
            <a:ext uri="{FF2B5EF4-FFF2-40B4-BE49-F238E27FC236}">
              <a16:creationId xmlns:a16="http://schemas.microsoft.com/office/drawing/2014/main" id="{664696A5-2588-41BC-9BF2-5D916486F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0</xdr:col>
      <xdr:colOff>933450</xdr:colOff>
      <xdr:row>69</xdr:row>
      <xdr:rowOff>0</xdr:rowOff>
    </xdr:from>
    <xdr:ext cx="4086225" cy="2533650"/>
    <xdr:graphicFrame macro="">
      <xdr:nvGraphicFramePr>
        <xdr:cNvPr id="8" name="Chart 7" title="Chart">
          <a:extLst>
            <a:ext uri="{FF2B5EF4-FFF2-40B4-BE49-F238E27FC236}">
              <a16:creationId xmlns:a16="http://schemas.microsoft.com/office/drawing/2014/main" id="{FCFF8947-043D-4642-94DD-552CD0CAB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6</xdr:col>
      <xdr:colOff>19050</xdr:colOff>
      <xdr:row>69</xdr:row>
      <xdr:rowOff>0</xdr:rowOff>
    </xdr:from>
    <xdr:ext cx="4086225" cy="2533650"/>
    <xdr:graphicFrame macro="">
      <xdr:nvGraphicFramePr>
        <xdr:cNvPr id="9" name="Chart 8" title="Chart">
          <a:extLst>
            <a:ext uri="{FF2B5EF4-FFF2-40B4-BE49-F238E27FC236}">
              <a16:creationId xmlns:a16="http://schemas.microsoft.com/office/drawing/2014/main" id="{A4494DEA-878B-4804-9E2A-1C049E4A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12</xdr:col>
      <xdr:colOff>9525</xdr:colOff>
      <xdr:row>68</xdr:row>
      <xdr:rowOff>123825</xdr:rowOff>
    </xdr:from>
    <xdr:ext cx="4086225" cy="2533650"/>
    <xdr:graphicFrame macro="">
      <xdr:nvGraphicFramePr>
        <xdr:cNvPr id="10" name="Chart 9" title="Chart">
          <a:extLst>
            <a:ext uri="{FF2B5EF4-FFF2-40B4-BE49-F238E27FC236}">
              <a16:creationId xmlns:a16="http://schemas.microsoft.com/office/drawing/2014/main" id="{9A58CC7D-F4FF-407C-A8D1-2DB862C9F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0</xdr:col>
      <xdr:colOff>933450</xdr:colOff>
      <xdr:row>86</xdr:row>
      <xdr:rowOff>57150</xdr:rowOff>
    </xdr:from>
    <xdr:ext cx="4038600" cy="2533650"/>
    <xdr:graphicFrame macro="">
      <xdr:nvGraphicFramePr>
        <xdr:cNvPr id="11" name="Chart 10" title="Chart">
          <a:extLst>
            <a:ext uri="{FF2B5EF4-FFF2-40B4-BE49-F238E27FC236}">
              <a16:creationId xmlns:a16="http://schemas.microsoft.com/office/drawing/2014/main" id="{F52D805F-5FDC-4073-9F30-4752910C8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5</xdr:col>
      <xdr:colOff>904875</xdr:colOff>
      <xdr:row>86</xdr:row>
      <xdr:rowOff>57150</xdr:rowOff>
    </xdr:from>
    <xdr:ext cx="4038600" cy="2533650"/>
    <xdr:graphicFrame macro="">
      <xdr:nvGraphicFramePr>
        <xdr:cNvPr id="12" name="Chart 11" title="Chart">
          <a:extLst>
            <a:ext uri="{FF2B5EF4-FFF2-40B4-BE49-F238E27FC236}">
              <a16:creationId xmlns:a16="http://schemas.microsoft.com/office/drawing/2014/main" id="{0DC713EB-6CBB-4B93-8F6D-16B6CB10A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12</xdr:col>
      <xdr:colOff>9525</xdr:colOff>
      <xdr:row>86</xdr:row>
      <xdr:rowOff>57150</xdr:rowOff>
    </xdr:from>
    <xdr:ext cx="4038600" cy="2533650"/>
    <xdr:graphicFrame macro="">
      <xdr:nvGraphicFramePr>
        <xdr:cNvPr id="13" name="Chart 12" title="Chart">
          <a:extLst>
            <a:ext uri="{FF2B5EF4-FFF2-40B4-BE49-F238E27FC236}">
              <a16:creationId xmlns:a16="http://schemas.microsoft.com/office/drawing/2014/main" id="{42A4FC00-6B24-4C7B-B942-B79D2E915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19050</xdr:colOff>
      <xdr:row>4</xdr:row>
      <xdr:rowOff>95250</xdr:rowOff>
    </xdr:from>
    <xdr:ext cx="4791075" cy="2447925"/>
    <xdr:pic>
      <xdr:nvPicPr>
        <xdr:cNvPr id="14" name="image3.png" title="Image">
          <a:extLst>
            <a:ext uri="{FF2B5EF4-FFF2-40B4-BE49-F238E27FC236}">
              <a16:creationId xmlns:a16="http://schemas.microsoft.com/office/drawing/2014/main" id="{4309F65C-A780-4CA2-8EC0-1FDA158583C5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0550" y="857250"/>
          <a:ext cx="4791075" cy="24479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923925</xdr:colOff>
      <xdr:row>4</xdr:row>
      <xdr:rowOff>95250</xdr:rowOff>
    </xdr:from>
    <xdr:ext cx="4543425" cy="2447925"/>
    <xdr:pic>
      <xdr:nvPicPr>
        <xdr:cNvPr id="15" name="image6.png" title="Image">
          <a:extLst>
            <a:ext uri="{FF2B5EF4-FFF2-40B4-BE49-F238E27FC236}">
              <a16:creationId xmlns:a16="http://schemas.microsoft.com/office/drawing/2014/main" id="{0C45CDA5-F7B1-4BAA-866E-B5C809A0CC0F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57825" y="857250"/>
          <a:ext cx="4543425" cy="2447925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28575</xdr:colOff>
      <xdr:row>4</xdr:row>
      <xdr:rowOff>95250</xdr:rowOff>
    </xdr:from>
    <xdr:ext cx="4543425" cy="2647950"/>
    <xdr:pic>
      <xdr:nvPicPr>
        <xdr:cNvPr id="16" name="image5.png" title="Image">
          <a:extLst>
            <a:ext uri="{FF2B5EF4-FFF2-40B4-BE49-F238E27FC236}">
              <a16:creationId xmlns:a16="http://schemas.microsoft.com/office/drawing/2014/main" id="{4BEEF50B-5FF9-433B-8D58-325F855054FE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506075" y="857250"/>
          <a:ext cx="4543425" cy="26479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17</xdr:row>
      <xdr:rowOff>142875</xdr:rowOff>
    </xdr:from>
    <xdr:ext cx="4791075" cy="1419225"/>
    <xdr:pic>
      <xdr:nvPicPr>
        <xdr:cNvPr id="17" name="image2.png" title="Image">
          <a:extLst>
            <a:ext uri="{FF2B5EF4-FFF2-40B4-BE49-F238E27FC236}">
              <a16:creationId xmlns:a16="http://schemas.microsoft.com/office/drawing/2014/main" id="{D13C3F6B-2740-4156-A2D7-C20BDCF27D66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28650" y="3381375"/>
          <a:ext cx="4791075" cy="141922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17</xdr:row>
      <xdr:rowOff>142875</xdr:rowOff>
    </xdr:from>
    <xdr:ext cx="4810125" cy="2038350"/>
    <xdr:pic>
      <xdr:nvPicPr>
        <xdr:cNvPr id="18" name="image4.png" title="Image">
          <a:extLst>
            <a:ext uri="{FF2B5EF4-FFF2-40B4-BE49-F238E27FC236}">
              <a16:creationId xmlns:a16="http://schemas.microsoft.com/office/drawing/2014/main" id="{62015D7B-A1C0-495B-B101-B12354A220B9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543550" y="3381375"/>
          <a:ext cx="4810125" cy="2038350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457200</xdr:colOff>
      <xdr:row>17</xdr:row>
      <xdr:rowOff>142875</xdr:rowOff>
    </xdr:from>
    <xdr:ext cx="4486275" cy="2533650"/>
    <xdr:pic>
      <xdr:nvPicPr>
        <xdr:cNvPr id="19" name="image8.png" title="Image">
          <a:extLst>
            <a:ext uri="{FF2B5EF4-FFF2-40B4-BE49-F238E27FC236}">
              <a16:creationId xmlns:a16="http://schemas.microsoft.com/office/drawing/2014/main" id="{9874AB7C-0D88-41BC-83E8-15A580B35061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934700" y="3381375"/>
          <a:ext cx="4486275" cy="25336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142875</xdr:colOff>
      <xdr:row>18</xdr:row>
      <xdr:rowOff>190500</xdr:rowOff>
    </xdr:from>
    <xdr:ext cx="5600700" cy="2114550"/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5A84F67C-18DC-4871-B6CB-4B8770C2E8EA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5573375" y="3619500"/>
          <a:ext cx="5600700" cy="2114550"/>
        </a:xfrm>
        <a:prstGeom prst="rect">
          <a:avLst/>
        </a:prstGeom>
        <a:noFill/>
      </xdr:spPr>
    </xdr:pic>
    <xdr:clientData fLocksWithSheet="0"/>
  </xdr:oneCellAnchor>
  <xdr:oneCellAnchor>
    <xdr:from>
      <xdr:col>21</xdr:col>
      <xdr:colOff>895350</xdr:colOff>
      <xdr:row>17</xdr:row>
      <xdr:rowOff>66675</xdr:rowOff>
    </xdr:from>
    <xdr:ext cx="4838700" cy="2343150"/>
    <xdr:pic>
      <xdr:nvPicPr>
        <xdr:cNvPr id="21" name="image7.png" title="Image">
          <a:extLst>
            <a:ext uri="{FF2B5EF4-FFF2-40B4-BE49-F238E27FC236}">
              <a16:creationId xmlns:a16="http://schemas.microsoft.com/office/drawing/2014/main" id="{E66CB373-BA7A-4B59-BAC2-48777A49BE5E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1278850" y="3305175"/>
          <a:ext cx="4838700" cy="23431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rofi\Downloads\Edible%20Oils%20(5).xlsx" TargetMode="External"/><Relationship Id="rId1" Type="http://schemas.openxmlformats.org/officeDocument/2006/relationships/externalLinkPath" Target="/Users/profi/Downloads/Edible%20Oils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ustryView05Oct2018 (8)"/>
      <sheetName val="EDIBLE OILS"/>
      <sheetName val="Sheet1"/>
      <sheetName val="PATANJALI"/>
      <sheetName val="RAWDATA"/>
    </sheetNames>
    <sheetDataSet>
      <sheetData sheetId="0"/>
      <sheetData sheetId="1">
        <row r="106">
          <cell r="G106" t="str">
            <v>Sales</v>
          </cell>
          <cell r="H106" t="str">
            <v>PAT</v>
          </cell>
          <cell r="S106" t="str">
            <v>NPM %</v>
          </cell>
          <cell r="T106" t="str">
            <v>Current Ratio</v>
          </cell>
          <cell r="U106" t="str">
            <v>TRADE REC. DAYS</v>
          </cell>
          <cell r="V106" t="str">
            <v>D2E</v>
          </cell>
          <cell r="W106" t="str">
            <v>ICR</v>
          </cell>
          <cell r="X106" t="str">
            <v>DEBTRATIO</v>
          </cell>
          <cell r="Y106" t="str">
            <v>ROPEX</v>
          </cell>
          <cell r="Z106" t="str">
            <v>ROE%</v>
          </cell>
        </row>
        <row r="107">
          <cell r="C107" t="str">
            <v>MARICO</v>
          </cell>
          <cell r="G107">
            <v>9764</v>
          </cell>
          <cell r="H107">
            <v>1322</v>
          </cell>
          <cell r="S107">
            <v>0.13539532978287588</v>
          </cell>
          <cell r="T107">
            <v>1.7946181242580135</v>
          </cell>
          <cell r="U107">
            <v>43.587668988119624</v>
          </cell>
          <cell r="V107">
            <v>7.4701411509229099E-2</v>
          </cell>
          <cell r="W107">
            <v>2.6122448979591835</v>
          </cell>
          <cell r="X107">
            <v>0.43593826555609994</v>
          </cell>
          <cell r="Y107">
            <v>10.248062015503876</v>
          </cell>
          <cell r="Z107">
            <v>0.28707926167209558</v>
          </cell>
        </row>
        <row r="108">
          <cell r="C108" t="str">
            <v>PATANJALI</v>
          </cell>
          <cell r="G108">
            <v>31525</v>
          </cell>
          <cell r="H108">
            <v>886</v>
          </cell>
          <cell r="S108">
            <v>2.8104678826328312E-2</v>
          </cell>
          <cell r="T108">
            <v>2.4431588082152156</v>
          </cell>
          <cell r="U108">
            <v>11.392862807295797</v>
          </cell>
          <cell r="V108">
            <v>0.12357898863190905</v>
          </cell>
          <cell r="W108">
            <v>2.6122448979591835</v>
          </cell>
          <cell r="X108">
            <v>0.26313889691019349</v>
          </cell>
          <cell r="Y108">
            <v>12.305555555555555</v>
          </cell>
          <cell r="Z108">
            <v>8.6828694629557043E-2</v>
          </cell>
        </row>
        <row r="109">
          <cell r="C109" t="str">
            <v>AWL</v>
          </cell>
          <cell r="G109">
            <v>58185</v>
          </cell>
          <cell r="H109">
            <v>582</v>
          </cell>
          <cell r="S109">
            <v>1.0002577984016499E-2</v>
          </cell>
          <cell r="T109">
            <v>1.1869167030091583</v>
          </cell>
          <cell r="U109">
            <v>11.9941565695626</v>
          </cell>
          <cell r="V109">
            <v>0.45754835468475258</v>
          </cell>
          <cell r="W109">
            <v>1.6645367412140575</v>
          </cell>
          <cell r="X109">
            <v>0.61219619112561496</v>
          </cell>
          <cell r="Y109">
            <v>4.476923076923077</v>
          </cell>
          <cell r="Z109">
            <v>7.3097211755840247E-2</v>
          </cell>
        </row>
        <row r="110">
          <cell r="C110" t="str">
            <v>ATFL</v>
          </cell>
          <cell r="G110">
            <v>783</v>
          </cell>
          <cell r="H110">
            <v>13.95</v>
          </cell>
          <cell r="S110">
            <v>1.7816091954022988E-2</v>
          </cell>
          <cell r="T110">
            <v>1.9763779527559056</v>
          </cell>
          <cell r="U110">
            <v>36.360153256704976</v>
          </cell>
          <cell r="V110">
            <v>5.2287581699346407E-2</v>
          </cell>
          <cell r="W110">
            <v>3</v>
          </cell>
          <cell r="X110">
            <v>0.25040916530278234</v>
          </cell>
          <cell r="Y110">
            <v>0.58124999999999993</v>
          </cell>
          <cell r="Z110">
            <v>3.0392156862745098E-2</v>
          </cell>
        </row>
        <row r="111">
          <cell r="C111" t="str">
            <v>GOKULAGRO</v>
          </cell>
          <cell r="G111">
            <v>12572</v>
          </cell>
          <cell r="H111">
            <v>129</v>
          </cell>
          <cell r="S111">
            <v>1.0260897231944002E-2</v>
          </cell>
          <cell r="T111">
            <v>1.2237871674491392</v>
          </cell>
          <cell r="U111">
            <v>6.3581769010499531</v>
          </cell>
          <cell r="V111">
            <v>0.85767790262172283</v>
          </cell>
          <cell r="W111">
            <v>2.8536585365853657</v>
          </cell>
          <cell r="X111">
            <v>0.73782587309394987</v>
          </cell>
          <cell r="Y111">
            <v>4.4482758620689653</v>
          </cell>
          <cell r="Z111">
            <v>0.24157303370786518</v>
          </cell>
        </row>
        <row r="112">
          <cell r="C112" t="str">
            <v>BCLIL</v>
          </cell>
          <cell r="G112">
            <v>1989</v>
          </cell>
          <cell r="H112">
            <v>92</v>
          </cell>
          <cell r="S112">
            <v>4.6254399195575668E-2</v>
          </cell>
          <cell r="T112">
            <v>1.0045454545454546</v>
          </cell>
          <cell r="U112">
            <v>23.489190548014076</v>
          </cell>
          <cell r="V112">
            <v>1.2918781725888324</v>
          </cell>
          <cell r="W112">
            <v>3.5714285714285716</v>
          </cell>
          <cell r="X112">
            <v>0.56892778993435444</v>
          </cell>
          <cell r="Y112">
            <v>3.8333333333333335</v>
          </cell>
          <cell r="Z112">
            <v>0.233502538071066</v>
          </cell>
        </row>
        <row r="113">
          <cell r="C113" t="str">
            <v>KRITINUT</v>
          </cell>
        </row>
        <row r="114">
          <cell r="C114" t="str">
            <v>GOKUL</v>
          </cell>
        </row>
        <row r="115">
          <cell r="C115" t="str">
            <v>VIJSOLX</v>
          </cell>
        </row>
        <row r="116">
          <cell r="C116" t="str">
            <v>AJANTSOY</v>
          </cell>
        </row>
        <row r="117">
          <cell r="C117" t="str">
            <v>EVEXIA</v>
          </cell>
        </row>
        <row r="118">
          <cell r="C118" t="str">
            <v>SVRL</v>
          </cell>
        </row>
        <row r="119">
          <cell r="C119" t="str">
            <v>CIANAGRO</v>
          </cell>
        </row>
        <row r="120">
          <cell r="C120" t="str">
            <v>SURJIND</v>
          </cell>
        </row>
        <row r="121">
          <cell r="C121" t="str">
            <v>SIEL</v>
          </cell>
        </row>
        <row r="122">
          <cell r="C122" t="str">
            <v>RAJOIL</v>
          </cell>
        </row>
        <row r="123">
          <cell r="C123" t="str">
            <v>DILIGENT</v>
          </cell>
        </row>
        <row r="124">
          <cell r="C124" t="str">
            <v>POONADAL</v>
          </cell>
        </row>
        <row r="125">
          <cell r="C125" t="str">
            <v>NKIND</v>
          </cell>
        </row>
        <row r="126">
          <cell r="C126" t="str">
            <v>NATRAJPR</v>
          </cell>
        </row>
        <row r="127">
          <cell r="C127" t="str">
            <v>PIONAGR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E3F2E-5C7E-438F-A961-DA3EC5FEDAC1}">
  <dimension ref="A1:AI1003"/>
  <sheetViews>
    <sheetView tabSelected="1" workbookViewId="0"/>
  </sheetViews>
  <sheetFormatPr defaultColWidth="14.44140625" defaultRowHeight="15" customHeight="1"/>
  <cols>
    <col min="1" max="1" width="14.6640625" customWidth="1"/>
    <col min="2" max="2" width="14" customWidth="1"/>
    <col min="3" max="3" width="11.44140625" customWidth="1"/>
    <col min="4" max="4" width="13.88671875" customWidth="1"/>
    <col min="5" max="5" width="17.88671875" customWidth="1"/>
    <col min="6" max="7" width="12.5546875" customWidth="1"/>
    <col min="8" max="8" width="15.33203125" customWidth="1"/>
    <col min="9" max="9" width="13.33203125" customWidth="1"/>
    <col min="10" max="10" width="13.109375" customWidth="1"/>
    <col min="11" max="11" width="13.6640625" customWidth="1"/>
    <col min="12" max="12" width="11.6640625" customWidth="1"/>
    <col min="13" max="13" width="14" customWidth="1"/>
    <col min="14" max="14" width="14.33203125" customWidth="1"/>
    <col min="15" max="15" width="14.44140625" customWidth="1"/>
    <col min="16" max="16" width="10.44140625" customWidth="1"/>
    <col min="17" max="17" width="14.5546875" customWidth="1"/>
    <col min="18" max="18" width="11.109375" customWidth="1"/>
    <col min="19" max="19" width="10.109375" customWidth="1"/>
    <col min="20" max="20" width="14.88671875" customWidth="1"/>
    <col min="21" max="21" width="14.6640625" customWidth="1"/>
    <col min="22" max="22" width="12" customWidth="1"/>
    <col min="23" max="23" width="16.5546875" customWidth="1"/>
    <col min="24" max="24" width="12.33203125" customWidth="1"/>
    <col min="25" max="26" width="9.109375" customWidth="1"/>
    <col min="27" max="27" width="10.44140625" customWidth="1"/>
    <col min="28" max="28" width="15" customWidth="1"/>
    <col min="29" max="29" width="11.33203125" customWidth="1"/>
    <col min="30" max="30" width="9.6640625" customWidth="1"/>
    <col min="31" max="31" width="10.5546875" customWidth="1"/>
    <col min="32" max="32" width="7.33203125" customWidth="1"/>
    <col min="33" max="35" width="8.88671875" customWidth="1"/>
  </cols>
  <sheetData>
    <row r="1" spans="1:35" ht="14.25" customHeight="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14.25" customHeight="1">
      <c r="A2" s="3" t="s">
        <v>1</v>
      </c>
      <c r="B2" s="4" t="s">
        <v>2</v>
      </c>
      <c r="C2" s="4" t="s">
        <v>3</v>
      </c>
      <c r="D2" s="5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4" t="s">
        <v>14</v>
      </c>
      <c r="O2" s="4" t="s">
        <v>15</v>
      </c>
      <c r="P2" s="4" t="s">
        <v>16</v>
      </c>
      <c r="Q2" s="4" t="s">
        <v>17</v>
      </c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14.25" customHeight="1">
      <c r="A3" s="1"/>
      <c r="B3" s="6" t="s">
        <v>18</v>
      </c>
      <c r="C3" s="7">
        <f ca="1">IFERROR(__xludf.DUMMYFUNCTION("GOOGLEFINANCE(""NSE:""&amp;B3,""PRICE"")"),1701.5)</f>
        <v>1701.5</v>
      </c>
      <c r="D3" s="7">
        <f ca="1">IFERROR(__xludf.DUMMYFUNCTION("GOOGLEFINANCE(""NSE:""&amp;B3,""MARKETCAP"")/10000000"),61695.9535371)</f>
        <v>61695.953537100002</v>
      </c>
      <c r="E3" s="8">
        <f t="shared" ref="E3:G3" si="0">C14</f>
        <v>30134.949999999997</v>
      </c>
      <c r="F3" s="8">
        <f t="shared" si="0"/>
        <v>1084.8581999999999</v>
      </c>
      <c r="G3" s="8">
        <f t="shared" si="0"/>
        <v>29.384600000000002</v>
      </c>
      <c r="H3" s="9">
        <v>2</v>
      </c>
      <c r="I3" s="9">
        <v>72</v>
      </c>
      <c r="J3" s="8">
        <v>10132</v>
      </c>
      <c r="K3" s="8">
        <v>1047</v>
      </c>
      <c r="L3" s="9">
        <v>1.2</v>
      </c>
      <c r="M3" s="9">
        <v>7769</v>
      </c>
      <c r="N3" s="9">
        <v>3026</v>
      </c>
      <c r="O3" s="9">
        <v>13262</v>
      </c>
      <c r="P3" s="9">
        <v>3055</v>
      </c>
      <c r="Q3" s="9">
        <v>1434</v>
      </c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5" ht="14.25" customHeight="1">
      <c r="A4" s="1"/>
      <c r="B4" s="10" t="s">
        <v>19</v>
      </c>
      <c r="C4" s="10">
        <v>1338</v>
      </c>
      <c r="D4" s="11">
        <f ca="1">(C4*D3)/C3</f>
        <v>48515.536780863826</v>
      </c>
      <c r="E4" s="8">
        <f t="shared" ref="E4:G4" si="1">J30</f>
        <v>31721</v>
      </c>
      <c r="F4" s="8">
        <f t="shared" si="1"/>
        <v>779</v>
      </c>
      <c r="G4" s="8">
        <f t="shared" si="1"/>
        <v>21.14</v>
      </c>
      <c r="H4" s="10">
        <v>2</v>
      </c>
      <c r="I4" s="10">
        <v>72</v>
      </c>
      <c r="J4" s="10">
        <v>9846</v>
      </c>
      <c r="K4" s="10">
        <v>1453</v>
      </c>
      <c r="L4" s="10">
        <v>0.75</v>
      </c>
      <c r="M4" s="10">
        <v>7824</v>
      </c>
      <c r="N4" s="10">
        <v>3201</v>
      </c>
      <c r="O4" s="10">
        <v>13243</v>
      </c>
      <c r="P4" s="10">
        <v>3394</v>
      </c>
      <c r="Q4" s="10">
        <v>1598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ht="14.25" customHeight="1">
      <c r="A5" s="1"/>
      <c r="B5" s="12" t="s">
        <v>20</v>
      </c>
      <c r="C5" s="13">
        <f t="shared" ref="C5:Q5" ca="1" si="2">(C3/C4)-1</f>
        <v>0.27167414050822125</v>
      </c>
      <c r="D5" s="13">
        <f t="shared" ca="1" si="2"/>
        <v>0.27167414050822125</v>
      </c>
      <c r="E5" s="13">
        <f t="shared" si="2"/>
        <v>-5.0000000000000044E-2</v>
      </c>
      <c r="F5" s="13">
        <f t="shared" si="2"/>
        <v>0.39262926829268285</v>
      </c>
      <c r="G5" s="13">
        <f t="shared" si="2"/>
        <v>0.39000000000000012</v>
      </c>
      <c r="H5" s="13">
        <f t="shared" si="2"/>
        <v>0</v>
      </c>
      <c r="I5" s="13">
        <f t="shared" si="2"/>
        <v>0</v>
      </c>
      <c r="J5" s="13">
        <f t="shared" si="2"/>
        <v>2.9047328864513444E-2</v>
      </c>
      <c r="K5" s="13">
        <f t="shared" si="2"/>
        <v>-0.27942188575361326</v>
      </c>
      <c r="L5" s="13">
        <f t="shared" si="2"/>
        <v>0.59999999999999987</v>
      </c>
      <c r="M5" s="13">
        <f t="shared" si="2"/>
        <v>-7.029652351738247E-3</v>
      </c>
      <c r="N5" s="13">
        <f t="shared" si="2"/>
        <v>-5.467041549515772E-2</v>
      </c>
      <c r="O5" s="13">
        <f t="shared" si="2"/>
        <v>1.4347202295552641E-3</v>
      </c>
      <c r="P5" s="13">
        <f t="shared" si="2"/>
        <v>-9.9882144961697117E-2</v>
      </c>
      <c r="Q5" s="13">
        <f t="shared" si="2"/>
        <v>-0.10262828535669588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14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4.25" customHeight="1">
      <c r="A7" s="3" t="s">
        <v>21</v>
      </c>
      <c r="B7" s="4" t="s">
        <v>20</v>
      </c>
      <c r="C7" s="4" t="s">
        <v>22</v>
      </c>
      <c r="D7" s="14"/>
      <c r="E7" s="6"/>
      <c r="F7" s="4" t="s">
        <v>23</v>
      </c>
      <c r="G7" s="6"/>
      <c r="H7" s="6"/>
      <c r="I7" s="4" t="s">
        <v>24</v>
      </c>
      <c r="J7" s="6"/>
      <c r="K7" s="4" t="s">
        <v>25</v>
      </c>
      <c r="L7" s="6"/>
      <c r="M7" s="6"/>
      <c r="N7" s="6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5" ht="14.25" customHeight="1">
      <c r="A8" s="1"/>
      <c r="B8" s="15" t="s">
        <v>26</v>
      </c>
      <c r="C8" s="16" t="s">
        <v>27</v>
      </c>
      <c r="D8" s="17" t="s">
        <v>28</v>
      </c>
      <c r="E8" s="16" t="s">
        <v>29</v>
      </c>
      <c r="F8" s="16" t="s">
        <v>30</v>
      </c>
      <c r="G8" s="16" t="s">
        <v>31</v>
      </c>
      <c r="H8" s="16" t="s">
        <v>32</v>
      </c>
      <c r="I8" s="16" t="s">
        <v>33</v>
      </c>
      <c r="J8" s="16" t="s">
        <v>34</v>
      </c>
      <c r="K8" s="16" t="s">
        <v>35</v>
      </c>
      <c r="L8" s="16" t="s">
        <v>36</v>
      </c>
      <c r="M8" s="16" t="s">
        <v>37</v>
      </c>
      <c r="N8" s="16" t="s">
        <v>38</v>
      </c>
      <c r="O8" s="16" t="s">
        <v>39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ht="14.25" customHeight="1">
      <c r="A9" s="1"/>
      <c r="B9" s="18">
        <f>Y22</f>
        <v>-7.6477404403244464E-2</v>
      </c>
      <c r="C9" s="19">
        <f>W30</f>
        <v>3.5968214136344628E-2</v>
      </c>
      <c r="D9" s="20">
        <f>M3/N3</f>
        <v>2.5674157303370788</v>
      </c>
      <c r="E9" s="21">
        <f>(Q3/E3)*365</f>
        <v>17.368869037446554</v>
      </c>
      <c r="F9" s="18">
        <f>K3/J3</f>
        <v>0.10333596525858665</v>
      </c>
      <c r="G9" s="18">
        <f>P3/O3</f>
        <v>0.23035741215502942</v>
      </c>
      <c r="H9" s="22">
        <f>W31</f>
        <v>18.368421052631579</v>
      </c>
      <c r="I9" s="18">
        <f>F3/J3</f>
        <v>0.1070724634820371</v>
      </c>
      <c r="J9" s="18">
        <f>F3/O3</f>
        <v>8.1802005730659016E-2</v>
      </c>
      <c r="K9" s="23">
        <f ca="1">C3/G3</f>
        <v>57.904480578262081</v>
      </c>
      <c r="L9" s="19">
        <f ca="1">G3/C3</f>
        <v>1.7269820746400235E-2</v>
      </c>
      <c r="M9" s="19">
        <f ca="1">6/C3</f>
        <v>3.5263003232441962E-3</v>
      </c>
      <c r="N9" s="22">
        <f>(J3)/(I3/H3)</f>
        <v>281.44444444444446</v>
      </c>
      <c r="O9" s="23">
        <f ca="1">C3/N9</f>
        <v>6.0455981050138172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ht="14.2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ht="14.25" customHeight="1">
      <c r="A11" s="3" t="s">
        <v>40</v>
      </c>
      <c r="B11" s="3" t="s">
        <v>41</v>
      </c>
      <c r="C11" s="3" t="s">
        <v>5</v>
      </c>
      <c r="D11" s="3" t="s">
        <v>6</v>
      </c>
      <c r="E11" s="3" t="s">
        <v>42</v>
      </c>
      <c r="F11" s="3" t="s">
        <v>43</v>
      </c>
      <c r="G11" s="24"/>
      <c r="H11" s="1"/>
      <c r="I11" s="4" t="s">
        <v>44</v>
      </c>
      <c r="J11" s="25" t="s">
        <v>45</v>
      </c>
      <c r="K11" s="25" t="s">
        <v>46</v>
      </c>
      <c r="L11" s="25" t="s">
        <v>47</v>
      </c>
      <c r="M11" s="25" t="s">
        <v>48</v>
      </c>
      <c r="N11" s="25" t="s">
        <v>49</v>
      </c>
      <c r="P11" s="26" t="s">
        <v>50</v>
      </c>
      <c r="Q11" s="26" t="s">
        <v>51</v>
      </c>
      <c r="R11" s="26" t="s">
        <v>52</v>
      </c>
      <c r="S11" s="26" t="s">
        <v>53</v>
      </c>
      <c r="Z11" s="1"/>
      <c r="AA11" s="1"/>
      <c r="AB11" s="1"/>
      <c r="AC11" s="1"/>
      <c r="AD11" s="1"/>
      <c r="AE11" s="1"/>
      <c r="AF11" s="1"/>
      <c r="AG11" s="1"/>
      <c r="AH11" s="1"/>
      <c r="AI11" s="1"/>
    </row>
    <row r="12" spans="1:35" ht="14.25" customHeight="1">
      <c r="A12" s="10"/>
      <c r="B12" s="27" t="s">
        <v>54</v>
      </c>
      <c r="C12" s="11">
        <f t="shared" ref="C12:E12" si="3">FV(12%,5,0,-C13,0)</f>
        <v>97848.192144752931</v>
      </c>
      <c r="D12" s="11">
        <f t="shared" si="3"/>
        <v>3326.8385329215994</v>
      </c>
      <c r="E12" s="11">
        <f t="shared" si="3"/>
        <v>90.11114959954034</v>
      </c>
      <c r="F12" s="14">
        <f>E12*G17</f>
        <v>2703.3344879862102</v>
      </c>
      <c r="G12" s="28"/>
      <c r="H12" s="1"/>
      <c r="I12" s="4" t="s">
        <v>42</v>
      </c>
      <c r="J12" s="29">
        <v>7.03</v>
      </c>
      <c r="K12" s="29">
        <v>5.98</v>
      </c>
      <c r="L12" s="29">
        <v>5.7</v>
      </c>
      <c r="M12" s="29">
        <v>7.26</v>
      </c>
      <c r="N12" s="29">
        <f>SUM(J12:M12)</f>
        <v>25.97</v>
      </c>
      <c r="P12" s="30">
        <v>21.14</v>
      </c>
      <c r="Q12" s="30">
        <v>26</v>
      </c>
      <c r="R12" s="30">
        <v>29</v>
      </c>
      <c r="S12" s="31">
        <f ca="1">R14/39</f>
        <v>1.504420866489832</v>
      </c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spans="1:35" ht="14.25" customHeight="1">
      <c r="A13" s="10"/>
      <c r="B13" s="27" t="s">
        <v>55</v>
      </c>
      <c r="C13" s="11">
        <f>FV(C17,5,0,-C14,0)</f>
        <v>55521.692006446494</v>
      </c>
      <c r="D13" s="11">
        <f t="shared" ref="D13:D14" si="4">C13*F17</f>
        <v>1887.7375282191808</v>
      </c>
      <c r="E13" s="11">
        <f>(D13*E14)/D14</f>
        <v>51.131486282455484</v>
      </c>
      <c r="F13" s="14">
        <f t="shared" ref="F13:F14" si="5">E13*G17</f>
        <v>1533.9445884736645</v>
      </c>
      <c r="G13" s="28"/>
      <c r="H13" s="2"/>
      <c r="I13" s="10"/>
      <c r="J13" s="10"/>
      <c r="K13" s="32"/>
      <c r="L13" s="1"/>
      <c r="M13" s="1"/>
      <c r="N13" s="1"/>
      <c r="O13" s="1"/>
      <c r="P13" s="26" t="s">
        <v>56</v>
      </c>
      <c r="Q13" s="26" t="s">
        <v>57</v>
      </c>
      <c r="R13" s="26" t="s">
        <v>58</v>
      </c>
      <c r="S13" s="33"/>
      <c r="Z13" s="1"/>
      <c r="AA13" s="1"/>
      <c r="AB13" s="1"/>
      <c r="AC13" s="1"/>
      <c r="AD13" s="1"/>
      <c r="AE13" s="1"/>
      <c r="AF13" s="1"/>
      <c r="AG13" s="1"/>
      <c r="AH13" s="1"/>
      <c r="AI13" s="1"/>
    </row>
    <row r="14" spans="1:35" ht="14.25" customHeight="1">
      <c r="A14" s="6"/>
      <c r="B14" s="27" t="s">
        <v>59</v>
      </c>
      <c r="C14" s="11">
        <f>FV(C18,1,0,-J30,0)</f>
        <v>30134.949999999997</v>
      </c>
      <c r="D14" s="11">
        <f t="shared" si="4"/>
        <v>1084.8581999999999</v>
      </c>
      <c r="E14" s="11">
        <f>FV(E18,1,0,-L30,0)</f>
        <v>29.384600000000002</v>
      </c>
      <c r="F14" s="14">
        <f t="shared" si="5"/>
        <v>881.53800000000012</v>
      </c>
      <c r="G14" s="28"/>
      <c r="H14" s="2"/>
      <c r="I14" s="4" t="s">
        <v>60</v>
      </c>
      <c r="J14" s="25" t="s">
        <v>61</v>
      </c>
      <c r="K14" s="25" t="s">
        <v>62</v>
      </c>
      <c r="L14" s="25" t="s">
        <v>63</v>
      </c>
      <c r="M14" s="25" t="s">
        <v>48</v>
      </c>
      <c r="N14" s="25" t="s">
        <v>49</v>
      </c>
      <c r="P14" s="30">
        <f>C4/P12</f>
        <v>63.292336802270576</v>
      </c>
      <c r="Q14" s="30">
        <f ca="1">C3/Q12</f>
        <v>65.442307692307693</v>
      </c>
      <c r="R14" s="30">
        <f ca="1">C3/R12</f>
        <v>58.672413793103445</v>
      </c>
      <c r="S14" s="33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35" ht="14.25" customHeight="1">
      <c r="A15" s="34"/>
      <c r="C15" s="35"/>
      <c r="D15" s="35"/>
      <c r="E15" s="36"/>
      <c r="F15" s="37"/>
      <c r="G15" s="1"/>
      <c r="H15" s="2"/>
      <c r="I15" s="4" t="s">
        <v>64</v>
      </c>
      <c r="J15" s="38">
        <v>-0.01</v>
      </c>
      <c r="K15" s="38">
        <v>-0.01</v>
      </c>
      <c r="L15" s="38">
        <v>0.01</v>
      </c>
      <c r="M15" s="38">
        <v>-0.08</v>
      </c>
      <c r="N15" s="38">
        <v>-0.05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35" ht="14.25" customHeight="1">
      <c r="A16" s="39" t="s">
        <v>65</v>
      </c>
      <c r="B16" s="40" t="s">
        <v>41</v>
      </c>
      <c r="C16" s="40" t="s">
        <v>66</v>
      </c>
      <c r="D16" s="40" t="s">
        <v>67</v>
      </c>
      <c r="E16" s="40" t="s">
        <v>42</v>
      </c>
      <c r="F16" s="40" t="s">
        <v>68</v>
      </c>
      <c r="G16" s="40" t="s">
        <v>69</v>
      </c>
      <c r="H16" s="2"/>
      <c r="I16" s="4" t="s">
        <v>70</v>
      </c>
      <c r="J16" s="38">
        <v>-0.01</v>
      </c>
      <c r="K16" s="38">
        <v>-0.09</v>
      </c>
      <c r="L16" s="38">
        <v>-0.12</v>
      </c>
      <c r="M16" s="38">
        <v>1.93</v>
      </c>
      <c r="N16" s="38">
        <v>0.39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35" ht="14.25" customHeight="1">
      <c r="A17" s="34"/>
      <c r="B17" s="4" t="s">
        <v>71</v>
      </c>
      <c r="C17" s="38">
        <v>0.13</v>
      </c>
      <c r="D17" s="38">
        <v>0.13</v>
      </c>
      <c r="E17" s="38">
        <v>0.13</v>
      </c>
      <c r="F17" s="41">
        <v>3.4000000000000002E-2</v>
      </c>
      <c r="G17" s="14">
        <v>30</v>
      </c>
      <c r="H17" s="2"/>
      <c r="I17" s="4" t="s">
        <v>42</v>
      </c>
      <c r="J17" s="42">
        <v>-0.04</v>
      </c>
      <c r="K17" s="42">
        <v>-0.1</v>
      </c>
      <c r="L17" s="42">
        <v>-0.14000000000000001</v>
      </c>
      <c r="M17" s="42">
        <v>2</v>
      </c>
      <c r="N17" s="43">
        <v>0.39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35" ht="14.25" customHeight="1">
      <c r="A18" s="34"/>
      <c r="B18" s="4" t="s">
        <v>72</v>
      </c>
      <c r="C18" s="38">
        <v>-0.05</v>
      </c>
      <c r="D18" s="38">
        <f>(D14/K30)-1</f>
        <v>0.39262926829268285</v>
      </c>
      <c r="E18" s="38">
        <v>0.39</v>
      </c>
      <c r="F18" s="41">
        <v>3.5999999999999997E-2</v>
      </c>
      <c r="G18" s="14">
        <v>30</v>
      </c>
      <c r="H18" s="2"/>
      <c r="I18" s="4" t="s">
        <v>68</v>
      </c>
      <c r="J18" s="42">
        <v>2.3E-2</v>
      </c>
      <c r="K18" s="42">
        <v>2.4E-2</v>
      </c>
      <c r="L18" s="42">
        <v>2.5000000000000001E-2</v>
      </c>
      <c r="M18" s="42">
        <v>3.5999999999999997E-2</v>
      </c>
      <c r="N18" s="42">
        <v>3.5999999999999997E-2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 ht="14.25" customHeight="1">
      <c r="A19" s="1"/>
      <c r="B19" s="1"/>
      <c r="C19" s="1"/>
      <c r="D19" s="1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AB19" s="1"/>
      <c r="AC19" s="1"/>
      <c r="AD19" s="1"/>
      <c r="AE19" s="1"/>
      <c r="AF19" s="1"/>
    </row>
    <row r="20" spans="1:35" ht="14.25" customHeight="1">
      <c r="A20" s="1"/>
      <c r="B20" s="44" t="s">
        <v>20</v>
      </c>
      <c r="C20" s="1"/>
      <c r="D20" s="1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X20" s="24" t="s">
        <v>73</v>
      </c>
      <c r="Y20" s="45"/>
      <c r="AB20" s="1"/>
      <c r="AC20" s="1"/>
      <c r="AD20" s="1"/>
      <c r="AE20" s="1"/>
      <c r="AF20" s="1"/>
    </row>
    <row r="21" spans="1:35" ht="14.25" customHeight="1">
      <c r="A21" s="3" t="s">
        <v>20</v>
      </c>
      <c r="B21" s="46" t="s">
        <v>74</v>
      </c>
      <c r="C21" s="46" t="s">
        <v>10</v>
      </c>
      <c r="D21" s="46" t="s">
        <v>13</v>
      </c>
      <c r="E21" s="46" t="s">
        <v>14</v>
      </c>
      <c r="F21" s="46" t="s">
        <v>15</v>
      </c>
      <c r="G21" s="46" t="s">
        <v>16</v>
      </c>
      <c r="H21" s="46" t="s">
        <v>75</v>
      </c>
      <c r="I21" s="47" t="s">
        <v>76</v>
      </c>
      <c r="J21" s="46" t="s">
        <v>64</v>
      </c>
      <c r="K21" s="46" t="s">
        <v>70</v>
      </c>
      <c r="L21" s="46" t="s">
        <v>42</v>
      </c>
      <c r="M21" s="46" t="s">
        <v>77</v>
      </c>
      <c r="N21" s="46" t="s">
        <v>78</v>
      </c>
      <c r="O21" s="46" t="s">
        <v>79</v>
      </c>
      <c r="P21" s="46" t="s">
        <v>80</v>
      </c>
      <c r="Q21" s="46" t="s">
        <v>68</v>
      </c>
      <c r="R21" s="46" t="s">
        <v>81</v>
      </c>
      <c r="S21" s="46" t="s">
        <v>28</v>
      </c>
      <c r="T21" s="46" t="s">
        <v>38</v>
      </c>
      <c r="V21" s="3" t="s">
        <v>82</v>
      </c>
      <c r="W21" s="3" t="s">
        <v>82</v>
      </c>
      <c r="X21" s="3" t="s">
        <v>83</v>
      </c>
      <c r="Y21" s="48" t="s">
        <v>84</v>
      </c>
      <c r="Z21" s="1"/>
      <c r="AA21" s="3" t="s">
        <v>85</v>
      </c>
      <c r="AB21" s="3" t="s">
        <v>85</v>
      </c>
      <c r="AC21" s="3" t="s">
        <v>86</v>
      </c>
      <c r="AD21" s="48" t="s">
        <v>84</v>
      </c>
      <c r="AF21" s="3" t="s">
        <v>47</v>
      </c>
      <c r="AG21" s="3" t="s">
        <v>47</v>
      </c>
      <c r="AH21" s="3" t="s">
        <v>87</v>
      </c>
      <c r="AI21" s="48" t="s">
        <v>84</v>
      </c>
    </row>
    <row r="22" spans="1:35" ht="14.25" customHeight="1">
      <c r="A22" s="1" t="s">
        <v>88</v>
      </c>
      <c r="B22" s="43">
        <f t="shared" ref="B22:H22" si="6">(B30/B34)^(1/4)-1</f>
        <v>5.1042121647837613E-2</v>
      </c>
      <c r="C22" s="43">
        <f t="shared" si="6"/>
        <v>0.31669172797899581</v>
      </c>
      <c r="D22" s="43">
        <f t="shared" si="6"/>
        <v>0.31362910015816681</v>
      </c>
      <c r="E22" s="43">
        <f t="shared" si="6"/>
        <v>0.25546730959621256</v>
      </c>
      <c r="F22" s="43">
        <f t="shared" si="6"/>
        <v>0.13942611254521275</v>
      </c>
      <c r="G22" s="43">
        <f t="shared" si="6"/>
        <v>-9.2133310409534208E-2</v>
      </c>
      <c r="H22" s="43">
        <f t="shared" si="6"/>
        <v>-0.2648183304141345</v>
      </c>
      <c r="I22" s="49" t="s">
        <v>89</v>
      </c>
      <c r="J22" s="43">
        <f t="shared" ref="J22:N22" si="7">(J30/J34)^(1/4)-1</f>
        <v>0.24700964011347315</v>
      </c>
      <c r="K22" s="43">
        <f t="shared" si="7"/>
        <v>-0.435508748147175</v>
      </c>
      <c r="L22" s="43">
        <f t="shared" si="7"/>
        <v>-0.47199988182704</v>
      </c>
      <c r="M22" s="43">
        <f t="shared" si="7"/>
        <v>0.77879914687945773</v>
      </c>
      <c r="N22" s="43">
        <f t="shared" si="7"/>
        <v>3.1594774146697775</v>
      </c>
      <c r="O22" s="11">
        <f t="shared" ref="O22:P22" si="8">AVERAGE(O30:O34)</f>
        <v>51.945651688189116</v>
      </c>
      <c r="P22" s="11">
        <f t="shared" si="8"/>
        <v>21.754336754821196</v>
      </c>
      <c r="Q22" s="42">
        <f t="shared" ref="Q22:S22" si="9">AVERAGE(Q30:Q33)</f>
        <v>3.1923209402981947E-2</v>
      </c>
      <c r="R22" s="50">
        <f t="shared" si="9"/>
        <v>0.42725543337507754</v>
      </c>
      <c r="S22" s="50">
        <f t="shared" si="9"/>
        <v>0.40572182769361664</v>
      </c>
      <c r="T22" s="43">
        <f>(T30/T34)^(1/4)-1</f>
        <v>0.25274877272727103</v>
      </c>
      <c r="V22" s="3" t="s">
        <v>5</v>
      </c>
      <c r="W22" s="51">
        <v>7173</v>
      </c>
      <c r="X22" s="51">
        <v>7767</v>
      </c>
      <c r="Y22" s="52">
        <f t="shared" ref="Y22:Y29" si="10">(W22/X22)^(1/1)-1</f>
        <v>-7.6477404403244464E-2</v>
      </c>
      <c r="Z22" s="53"/>
      <c r="AA22" s="3" t="s">
        <v>5</v>
      </c>
      <c r="AB22" s="51">
        <v>8221</v>
      </c>
      <c r="AC22" s="51">
        <v>7872</v>
      </c>
      <c r="AD22" s="52">
        <f t="shared" ref="AD22:AD27" si="11">(AB22/AC22)^(1/1)-1</f>
        <v>4.4334349593496025E-2</v>
      </c>
      <c r="AF22" s="3" t="s">
        <v>5</v>
      </c>
      <c r="AG22" s="51">
        <v>31721</v>
      </c>
      <c r="AH22" s="51">
        <v>31524</v>
      </c>
      <c r="AI22" s="52">
        <f t="shared" ref="AI22:AI27" si="12">(AG22/AH22)^(1/1)-1</f>
        <v>6.2492069534323402E-3</v>
      </c>
    </row>
    <row r="23" spans="1:35" ht="14.25" customHeight="1">
      <c r="A23" s="10" t="s">
        <v>90</v>
      </c>
      <c r="B23" s="43">
        <f t="shared" ref="B23:C23" si="13">(B35/B54)^(1/19)-1</f>
        <v>2.8655582571532445E-2</v>
      </c>
      <c r="C23" s="43">
        <f t="shared" si="13"/>
        <v>-2.1867983075888437</v>
      </c>
      <c r="D23" s="43"/>
      <c r="E23" s="10"/>
      <c r="F23" s="10"/>
      <c r="G23" s="10"/>
      <c r="H23" s="10"/>
      <c r="I23" s="49" t="s">
        <v>91</v>
      </c>
      <c r="J23" s="43">
        <f t="shared" ref="J23:K23" si="14">(J35/J54)^(1/19)-1</f>
        <v>0.10461943259214901</v>
      </c>
      <c r="K23" s="43">
        <f t="shared" si="14"/>
        <v>-2.0823796190078854</v>
      </c>
      <c r="L23" s="10"/>
      <c r="M23" s="43">
        <f t="shared" ref="M23:N23" si="15">(M35*5/M54)^(1/19)-1</f>
        <v>2.826133908066164E-2</v>
      </c>
      <c r="N23" s="43">
        <f t="shared" si="15"/>
        <v>1.181363365357524E-2</v>
      </c>
      <c r="O23" s="10"/>
      <c r="P23" s="10"/>
      <c r="Q23" s="43">
        <f t="shared" ref="Q23:S23" si="16">MEDIAN(Q35:Q54)</f>
        <v>9.3248449841893226E-3</v>
      </c>
      <c r="R23" s="32">
        <f t="shared" si="16"/>
        <v>1.1299592027485876</v>
      </c>
      <c r="S23" s="32">
        <f t="shared" si="16"/>
        <v>1.0331957775161564</v>
      </c>
      <c r="T23" s="43">
        <f>(T35/T54)^(1/19)-1</f>
        <v>-2.1537372933144159</v>
      </c>
      <c r="V23" s="3" t="s">
        <v>92</v>
      </c>
      <c r="W23" s="51">
        <v>6843</v>
      </c>
      <c r="X23" s="51">
        <v>7691</v>
      </c>
      <c r="Y23" s="52">
        <f t="shared" si="10"/>
        <v>-0.11025874398647773</v>
      </c>
      <c r="Z23" s="1"/>
      <c r="AA23" s="3" t="s">
        <v>92</v>
      </c>
      <c r="AB23" s="51">
        <v>8048</v>
      </c>
      <c r="AC23" s="51">
        <v>7613</v>
      </c>
      <c r="AD23" s="52">
        <f t="shared" si="11"/>
        <v>5.7139104163930199E-2</v>
      </c>
      <c r="AF23" s="3" t="s">
        <v>92</v>
      </c>
      <c r="AG23" s="51">
        <v>30901</v>
      </c>
      <c r="AH23" s="51">
        <v>30642</v>
      </c>
      <c r="AI23" s="52">
        <f t="shared" si="12"/>
        <v>8.4524508844070478E-3</v>
      </c>
    </row>
    <row r="24" spans="1:35" ht="14.25" customHeight="1">
      <c r="A24" s="1"/>
      <c r="B24" s="43">
        <f t="shared" ref="B24:H24" si="17">(B35/B44)^(1/9)-1</f>
        <v>-2.679592609474446E-2</v>
      </c>
      <c r="C24" s="43">
        <f t="shared" si="17"/>
        <v>-2.1124522601268994</v>
      </c>
      <c r="D24" s="43">
        <f t="shared" si="17"/>
        <v>-7.7808740883736793E-2</v>
      </c>
      <c r="E24" s="43">
        <f t="shared" si="17"/>
        <v>0.18269964489839086</v>
      </c>
      <c r="F24" s="43">
        <f t="shared" si="17"/>
        <v>9.6738435342160756E-3</v>
      </c>
      <c r="G24" s="43">
        <f t="shared" si="17"/>
        <v>6.6101224736972997E-2</v>
      </c>
      <c r="H24" s="43">
        <f t="shared" si="17"/>
        <v>0.14987704913575439</v>
      </c>
      <c r="I24" s="49" t="s">
        <v>93</v>
      </c>
      <c r="J24" s="43">
        <f t="shared" ref="J24:K24" si="18">(J35/J44)^(1/9)-1</f>
        <v>-6.7577946320557247E-3</v>
      </c>
      <c r="K24" s="43">
        <f t="shared" si="18"/>
        <v>-1.9299642795251006</v>
      </c>
      <c r="L24" s="10"/>
      <c r="M24" s="43">
        <f t="shared" ref="M24:N24" si="19">(M35/M44)^(1/9)-1</f>
        <v>-0.18051926185194722</v>
      </c>
      <c r="N24" s="43">
        <f t="shared" si="19"/>
        <v>-0.15596541817514609</v>
      </c>
      <c r="O24" s="10"/>
      <c r="P24" s="10"/>
      <c r="Q24" s="43">
        <f t="shared" ref="Q24:S24" si="20">MEDIAN(Q35:Q44)</f>
        <v>1.2708557045033562E-3</v>
      </c>
      <c r="R24" s="32">
        <f t="shared" si="20"/>
        <v>1.6436345914834434</v>
      </c>
      <c r="S24" s="32">
        <f t="shared" si="20"/>
        <v>1.0331957775161564</v>
      </c>
      <c r="T24" s="43">
        <f>(T35/T44)^(1/9)-1</f>
        <v>-2.143082206451183</v>
      </c>
      <c r="V24" s="3" t="s">
        <v>94</v>
      </c>
      <c r="W24" s="54">
        <f t="shared" ref="W24:X24" si="21">W22-(W34+W35+W36+W38+W40)</f>
        <v>406</v>
      </c>
      <c r="X24" s="54">
        <f t="shared" si="21"/>
        <v>170</v>
      </c>
      <c r="Y24" s="52">
        <f t="shared" si="10"/>
        <v>1.388235294117647</v>
      </c>
      <c r="AA24" s="3" t="s">
        <v>95</v>
      </c>
      <c r="AB24" s="51">
        <v>116</v>
      </c>
      <c r="AC24" s="51">
        <v>24</v>
      </c>
      <c r="AD24" s="52">
        <f t="shared" si="11"/>
        <v>3.833333333333333</v>
      </c>
      <c r="AF24" s="3" t="s">
        <v>95</v>
      </c>
      <c r="AG24" s="51">
        <v>190</v>
      </c>
      <c r="AH24" s="51">
        <v>238</v>
      </c>
      <c r="AI24" s="52">
        <f t="shared" si="12"/>
        <v>-0.20168067226890751</v>
      </c>
    </row>
    <row r="25" spans="1:35" ht="14.25" customHeight="1">
      <c r="A25" s="1"/>
      <c r="B25" s="43">
        <f t="shared" ref="B25:H25" si="22">(B35/B40)^(1/5)-1</f>
        <v>-1.1872802330407106E-2</v>
      </c>
      <c r="C25" s="43">
        <f t="shared" si="22"/>
        <v>-2.1736127434637011</v>
      </c>
      <c r="D25" s="43">
        <f t="shared" si="22"/>
        <v>-0.26668256269341495</v>
      </c>
      <c r="E25" s="43">
        <f t="shared" si="22"/>
        <v>2.7181701225538202E-2</v>
      </c>
      <c r="F25" s="43">
        <f t="shared" si="22"/>
        <v>-0.11736411181808404</v>
      </c>
      <c r="G25" s="43">
        <f t="shared" si="22"/>
        <v>7.4638674768190416E-3</v>
      </c>
      <c r="H25" s="43">
        <f t="shared" si="22"/>
        <v>0.16811977226425157</v>
      </c>
      <c r="I25" s="49" t="s">
        <v>96</v>
      </c>
      <c r="J25" s="43">
        <f t="shared" ref="J25:K25" si="23">(J35/J40)^(1/5)-1</f>
        <v>-0.1488758116590343</v>
      </c>
      <c r="K25" s="43">
        <f t="shared" si="23"/>
        <v>-4.3934581902715886</v>
      </c>
      <c r="L25" s="10"/>
      <c r="M25" s="43">
        <f t="shared" ref="M25:N25" si="24">(M35/M40)^(1/5)-1</f>
        <v>-0.24628326686695701</v>
      </c>
      <c r="N25" s="43">
        <f t="shared" si="24"/>
        <v>-0.28088337151465192</v>
      </c>
      <c r="O25" s="10"/>
      <c r="P25" s="10"/>
      <c r="Q25" s="43">
        <f t="shared" ref="Q25:S25" si="25">MEDIAN(Q35:Q54)</f>
        <v>9.3248449841893226E-3</v>
      </c>
      <c r="R25" s="32">
        <f t="shared" si="25"/>
        <v>1.1299592027485876</v>
      </c>
      <c r="S25" s="32">
        <f t="shared" si="25"/>
        <v>1.0331957775161564</v>
      </c>
      <c r="T25" s="43">
        <f>(T35/T40)^(1/5)-1</f>
        <v>-2.1877142398585514</v>
      </c>
      <c r="V25" s="3" t="s">
        <v>95</v>
      </c>
      <c r="W25" s="51">
        <v>19</v>
      </c>
      <c r="X25" s="51">
        <v>25</v>
      </c>
      <c r="Y25" s="52">
        <f t="shared" si="10"/>
        <v>-0.24</v>
      </c>
      <c r="Z25" s="1"/>
      <c r="AA25" s="3" t="s">
        <v>6</v>
      </c>
      <c r="AB25" s="51">
        <v>213</v>
      </c>
      <c r="AC25" s="51">
        <v>262</v>
      </c>
      <c r="AD25" s="52">
        <f t="shared" si="11"/>
        <v>-0.18702290076335881</v>
      </c>
      <c r="AF25" s="3" t="s">
        <v>6</v>
      </c>
      <c r="AG25" s="51">
        <v>779</v>
      </c>
      <c r="AH25" s="51">
        <v>882</v>
      </c>
      <c r="AI25" s="52">
        <f t="shared" si="12"/>
        <v>-0.1167800453514739</v>
      </c>
    </row>
    <row r="26" spans="1:35" ht="14.25" customHeight="1">
      <c r="A26" s="1"/>
      <c r="B26" s="1"/>
      <c r="C26" s="36"/>
      <c r="D26" s="36"/>
      <c r="E26" s="36"/>
      <c r="F26" s="36"/>
      <c r="G26" s="36"/>
      <c r="H26" s="36"/>
      <c r="I26" s="2"/>
      <c r="J26" s="36"/>
      <c r="K26" s="36"/>
      <c r="L26" s="1"/>
      <c r="M26" s="36"/>
      <c r="N26" s="36"/>
      <c r="O26" s="1"/>
      <c r="P26" s="1"/>
      <c r="Q26" s="1"/>
      <c r="R26" s="36"/>
      <c r="S26" s="55"/>
      <c r="T26" s="55"/>
      <c r="U26" s="36"/>
      <c r="V26" s="3" t="s">
        <v>97</v>
      </c>
      <c r="W26" s="54">
        <f t="shared" ref="W26:X26" si="26">W22-(W34+W35+W36+W37+W38+W39+W40)</f>
        <v>329</v>
      </c>
      <c r="X26" s="54">
        <f t="shared" si="26"/>
        <v>77</v>
      </c>
      <c r="Y26" s="52">
        <f t="shared" si="10"/>
        <v>3.2727272727272725</v>
      </c>
      <c r="AA26" s="3" t="s">
        <v>74</v>
      </c>
      <c r="AB26" s="51">
        <v>72</v>
      </c>
      <c r="AC26" s="51">
        <v>72</v>
      </c>
      <c r="AD26" s="52">
        <f t="shared" si="11"/>
        <v>0</v>
      </c>
      <c r="AF26" s="3" t="s">
        <v>74</v>
      </c>
      <c r="AG26" s="51">
        <v>72</v>
      </c>
      <c r="AH26" s="51">
        <v>72</v>
      </c>
      <c r="AI26" s="52">
        <f t="shared" si="12"/>
        <v>0</v>
      </c>
    </row>
    <row r="27" spans="1:35" ht="14.25" customHeight="1">
      <c r="A27" s="1"/>
      <c r="B27" s="44" t="s">
        <v>98</v>
      </c>
      <c r="C27" s="44" t="s">
        <v>99</v>
      </c>
      <c r="D27" s="56"/>
      <c r="E27" s="57">
        <v>0.6</v>
      </c>
      <c r="F27" s="56"/>
      <c r="G27" s="56"/>
      <c r="H27" s="56"/>
      <c r="I27" s="58"/>
      <c r="J27" s="44" t="s">
        <v>100</v>
      </c>
      <c r="K27" s="44" t="s">
        <v>101</v>
      </c>
      <c r="L27" s="56"/>
      <c r="M27" s="56"/>
      <c r="N27" s="56"/>
      <c r="O27" s="44" t="s">
        <v>21</v>
      </c>
      <c r="P27" s="56"/>
      <c r="Q27" s="56"/>
      <c r="R27" s="56"/>
      <c r="S27" s="56"/>
      <c r="T27" s="56"/>
      <c r="V27" s="3" t="s">
        <v>6</v>
      </c>
      <c r="W27" s="51">
        <v>258</v>
      </c>
      <c r="X27" s="51">
        <v>88</v>
      </c>
      <c r="Y27" s="52">
        <f t="shared" si="10"/>
        <v>1.9318181818181817</v>
      </c>
      <c r="Z27" s="1"/>
      <c r="AA27" s="3" t="s">
        <v>102</v>
      </c>
      <c r="AB27" s="51">
        <v>5.7</v>
      </c>
      <c r="AC27" s="51">
        <v>7.3</v>
      </c>
      <c r="AD27" s="52">
        <f t="shared" si="11"/>
        <v>-0.21917808219178081</v>
      </c>
      <c r="AF27" s="3" t="s">
        <v>102</v>
      </c>
      <c r="AG27" s="51">
        <v>21.14</v>
      </c>
      <c r="AH27" s="51">
        <v>24.54</v>
      </c>
      <c r="AI27" s="52">
        <f t="shared" si="12"/>
        <v>-0.1385493072534637</v>
      </c>
    </row>
    <row r="28" spans="1:35" ht="14.25" customHeight="1">
      <c r="A28" s="3" t="s">
        <v>103</v>
      </c>
      <c r="B28" s="59" t="s">
        <v>74</v>
      </c>
      <c r="C28" s="59" t="s">
        <v>10</v>
      </c>
      <c r="D28" s="59" t="s">
        <v>13</v>
      </c>
      <c r="E28" s="59" t="s">
        <v>14</v>
      </c>
      <c r="F28" s="59" t="s">
        <v>15</v>
      </c>
      <c r="G28" s="59" t="s">
        <v>16</v>
      </c>
      <c r="H28" s="59" t="s">
        <v>75</v>
      </c>
      <c r="I28" s="60" t="s">
        <v>76</v>
      </c>
      <c r="J28" s="59" t="s">
        <v>64</v>
      </c>
      <c r="K28" s="59" t="s">
        <v>70</v>
      </c>
      <c r="L28" s="59" t="s">
        <v>42</v>
      </c>
      <c r="M28" s="59" t="s">
        <v>77</v>
      </c>
      <c r="N28" s="59" t="s">
        <v>78</v>
      </c>
      <c r="O28" s="59" t="s">
        <v>79</v>
      </c>
      <c r="P28" s="59" t="s">
        <v>80</v>
      </c>
      <c r="Q28" s="59" t="s">
        <v>68</v>
      </c>
      <c r="R28" s="59" t="s">
        <v>81</v>
      </c>
      <c r="S28" s="59" t="s">
        <v>28</v>
      </c>
      <c r="T28" s="59" t="s">
        <v>38</v>
      </c>
      <c r="V28" s="3" t="s">
        <v>74</v>
      </c>
      <c r="W28" s="51">
        <v>72</v>
      </c>
      <c r="X28" s="51">
        <v>72</v>
      </c>
      <c r="Y28" s="52">
        <f t="shared" si="10"/>
        <v>0</v>
      </c>
      <c r="Z28" s="1"/>
      <c r="AA28" s="3" t="s">
        <v>104</v>
      </c>
      <c r="AB28" s="61">
        <f t="shared" ref="AB28:AC28" si="27">AB25/AB22</f>
        <v>2.5909256781413453E-2</v>
      </c>
      <c r="AC28" s="61">
        <f t="shared" si="27"/>
        <v>3.3282520325203249E-2</v>
      </c>
      <c r="AD28" s="62">
        <f t="shared" ref="AD28:AD29" si="28">AB28-AC28</f>
        <v>-7.3732635437897959E-3</v>
      </c>
      <c r="AF28" s="3" t="s">
        <v>104</v>
      </c>
      <c r="AG28" s="61">
        <f t="shared" ref="AG28:AH28" si="29">AG25/AG22</f>
        <v>2.4557863875665963E-2</v>
      </c>
      <c r="AH28" s="61">
        <f t="shared" si="29"/>
        <v>2.7978682908260374E-2</v>
      </c>
      <c r="AI28" s="63">
        <f t="shared" ref="AI28:AI29" si="30">AG28-AH28</f>
        <v>-3.4208190325944118E-3</v>
      </c>
    </row>
    <row r="29" spans="1:35" ht="14.25" customHeight="1">
      <c r="A29" s="64"/>
      <c r="B29" s="64"/>
      <c r="C29" s="64"/>
      <c r="D29" s="64"/>
      <c r="E29" s="64"/>
      <c r="F29" s="64"/>
      <c r="G29" s="64"/>
      <c r="H29" s="64"/>
      <c r="I29" s="48" t="s">
        <v>105</v>
      </c>
      <c r="J29" s="64">
        <f>J30+W22-X22</f>
        <v>31127</v>
      </c>
      <c r="K29" s="64">
        <f>K30+W27-X27</f>
        <v>949</v>
      </c>
      <c r="L29" s="65">
        <v>26</v>
      </c>
      <c r="M29" s="64">
        <v>1609</v>
      </c>
      <c r="N29" s="64">
        <v>1171</v>
      </c>
      <c r="O29" s="11">
        <f t="shared" ref="O29:O54" si="31">M29/L29</f>
        <v>61.884615384615387</v>
      </c>
      <c r="P29" s="11">
        <f t="shared" ref="P29:P54" si="32">N29/L29</f>
        <v>45.03846153846154</v>
      </c>
      <c r="Q29" s="42">
        <f t="shared" ref="Q29:Q54" si="33">K29/J29</f>
        <v>3.0488000771034793E-2</v>
      </c>
      <c r="R29" s="32" t="e">
        <f t="shared" ref="R29:R54" si="34">H29/C29</f>
        <v>#DIV/0!</v>
      </c>
      <c r="S29" s="32" t="e">
        <f t="shared" ref="S29:S44" si="35">E29/D29</f>
        <v>#DIV/0!</v>
      </c>
      <c r="T29" s="11" t="e">
        <f t="shared" ref="T29:T54" si="36">C29/(B29/2)</f>
        <v>#DIV/0!</v>
      </c>
      <c r="V29" s="3" t="s">
        <v>102</v>
      </c>
      <c r="W29" s="51">
        <v>7.26</v>
      </c>
      <c r="X29" s="51">
        <v>2.42</v>
      </c>
      <c r="Y29" s="52">
        <f t="shared" si="10"/>
        <v>2</v>
      </c>
      <c r="Z29" s="1"/>
      <c r="AA29" s="3" t="s">
        <v>32</v>
      </c>
      <c r="AB29" s="66">
        <f t="shared" ref="AB29:AC29" si="37">(AB22-AB23+AB24)/AB24</f>
        <v>2.4913793103448274</v>
      </c>
      <c r="AC29" s="66">
        <f t="shared" si="37"/>
        <v>11.791666666666666</v>
      </c>
      <c r="AD29" s="67">
        <f t="shared" si="28"/>
        <v>-9.3002873563218387</v>
      </c>
      <c r="AF29" s="3" t="s">
        <v>32</v>
      </c>
      <c r="AG29" s="66">
        <f t="shared" ref="AG29:AH29" si="38">(AG22-AG23+AG24)/AG24</f>
        <v>5.3157894736842106</v>
      </c>
      <c r="AH29" s="66">
        <f t="shared" si="38"/>
        <v>4.7058823529411766</v>
      </c>
      <c r="AI29" s="67">
        <f t="shared" si="30"/>
        <v>0.60990712074303399</v>
      </c>
    </row>
    <row r="30" spans="1:35" ht="14.25" customHeight="1">
      <c r="A30" s="64"/>
      <c r="B30" s="64">
        <v>72</v>
      </c>
      <c r="C30" s="64">
        <v>10132</v>
      </c>
      <c r="D30" s="64">
        <v>7769</v>
      </c>
      <c r="E30" s="64">
        <v>3026</v>
      </c>
      <c r="F30" s="64">
        <v>13262</v>
      </c>
      <c r="G30" s="64">
        <v>3055</v>
      </c>
      <c r="H30" s="64">
        <v>1047</v>
      </c>
      <c r="I30" s="48" t="s">
        <v>106</v>
      </c>
      <c r="J30" s="64">
        <v>31721</v>
      </c>
      <c r="K30" s="64">
        <v>779</v>
      </c>
      <c r="L30" s="65">
        <v>21.14</v>
      </c>
      <c r="M30" s="64">
        <v>1712</v>
      </c>
      <c r="N30" s="64">
        <v>898</v>
      </c>
      <c r="O30" s="11">
        <f t="shared" si="31"/>
        <v>80.98391674550615</v>
      </c>
      <c r="P30" s="11">
        <f t="shared" si="32"/>
        <v>42.478713339640493</v>
      </c>
      <c r="Q30" s="42">
        <f t="shared" si="33"/>
        <v>2.4557863875665963E-2</v>
      </c>
      <c r="R30" s="32">
        <f t="shared" si="34"/>
        <v>0.10333596525858665</v>
      </c>
      <c r="S30" s="32">
        <f t="shared" si="35"/>
        <v>0.38949671772428884</v>
      </c>
      <c r="T30" s="11">
        <f t="shared" si="36"/>
        <v>281.44444444444446</v>
      </c>
      <c r="V30" s="3" t="s">
        <v>104</v>
      </c>
      <c r="W30" s="61">
        <f t="shared" ref="W30:X30" si="39">W27/W22</f>
        <v>3.5968214136344628E-2</v>
      </c>
      <c r="X30" s="61">
        <f t="shared" si="39"/>
        <v>1.1329985837517704E-2</v>
      </c>
      <c r="Y30" s="63">
        <f t="shared" ref="Y30:Y31" si="40">W30-X30</f>
        <v>2.4638228298826927E-2</v>
      </c>
      <c r="Z30" s="1"/>
      <c r="AF30" s="1"/>
    </row>
    <row r="31" spans="1:35" ht="14.25" customHeight="1">
      <c r="A31" s="64"/>
      <c r="B31" s="64">
        <v>72</v>
      </c>
      <c r="C31" s="64">
        <v>9846</v>
      </c>
      <c r="D31" s="64">
        <v>7824</v>
      </c>
      <c r="E31" s="64">
        <v>3201</v>
      </c>
      <c r="F31" s="64">
        <v>13243</v>
      </c>
      <c r="G31" s="64">
        <v>3394</v>
      </c>
      <c r="H31" s="64">
        <v>1453</v>
      </c>
      <c r="I31" s="48" t="s">
        <v>107</v>
      </c>
      <c r="J31" s="64">
        <v>31524</v>
      </c>
      <c r="K31" s="64">
        <v>886</v>
      </c>
      <c r="L31" s="65">
        <v>24.54</v>
      </c>
      <c r="M31" s="64">
        <v>1495</v>
      </c>
      <c r="N31" s="64">
        <v>865</v>
      </c>
      <c r="O31" s="11">
        <f t="shared" si="31"/>
        <v>60.920945395273023</v>
      </c>
      <c r="P31" s="11">
        <f t="shared" si="32"/>
        <v>35.248573757131219</v>
      </c>
      <c r="Q31" s="42">
        <f t="shared" si="33"/>
        <v>2.8105570359091486E-2</v>
      </c>
      <c r="R31" s="32">
        <f t="shared" si="34"/>
        <v>0.14757261832216129</v>
      </c>
      <c r="S31" s="32">
        <f t="shared" si="35"/>
        <v>0.40912576687116564</v>
      </c>
      <c r="T31" s="11">
        <f t="shared" si="36"/>
        <v>273.5</v>
      </c>
      <c r="V31" s="3" t="s">
        <v>32</v>
      </c>
      <c r="W31" s="66">
        <f t="shared" ref="W31:X31" si="41">(W22-W23+W25)/W25</f>
        <v>18.368421052631579</v>
      </c>
      <c r="X31" s="66">
        <f t="shared" si="41"/>
        <v>4.04</v>
      </c>
      <c r="Y31" s="67">
        <f t="shared" si="40"/>
        <v>14.32842105263158</v>
      </c>
      <c r="Z31" s="1"/>
      <c r="AF31" s="1"/>
    </row>
    <row r="32" spans="1:35" ht="14.25" customHeight="1">
      <c r="A32" s="10"/>
      <c r="B32" s="10">
        <v>59</v>
      </c>
      <c r="C32" s="10">
        <v>6171</v>
      </c>
      <c r="D32" s="10">
        <v>6351</v>
      </c>
      <c r="E32" s="10">
        <v>2254</v>
      </c>
      <c r="F32" s="10">
        <v>11480</v>
      </c>
      <c r="G32" s="10">
        <f>E32+3054</f>
        <v>5308</v>
      </c>
      <c r="H32" s="10">
        <f>2706+990</f>
        <v>3696</v>
      </c>
      <c r="I32" s="48" t="s">
        <v>108</v>
      </c>
      <c r="J32" s="10">
        <v>24205</v>
      </c>
      <c r="K32" s="10">
        <v>806</v>
      </c>
      <c r="L32" s="32">
        <v>27.26</v>
      </c>
      <c r="M32" s="10">
        <v>1377</v>
      </c>
      <c r="N32" s="10">
        <v>634</v>
      </c>
      <c r="O32" s="11">
        <f t="shared" si="31"/>
        <v>50.513573000733672</v>
      </c>
      <c r="P32" s="11">
        <f t="shared" si="32"/>
        <v>23.257520176082171</v>
      </c>
      <c r="Q32" s="42">
        <f t="shared" si="33"/>
        <v>3.3298905184879157E-2</v>
      </c>
      <c r="R32" s="32">
        <f t="shared" si="34"/>
        <v>0.59893048128342241</v>
      </c>
      <c r="S32" s="32">
        <f t="shared" si="35"/>
        <v>0.35490473941111633</v>
      </c>
      <c r="T32" s="11">
        <f t="shared" si="36"/>
        <v>209.18644067796609</v>
      </c>
      <c r="V32" s="1"/>
      <c r="W32" s="1"/>
      <c r="X32" s="1"/>
      <c r="Y32" s="1"/>
      <c r="Z32" s="1"/>
      <c r="AA32" s="1"/>
    </row>
    <row r="33" spans="1:35" ht="14.25" customHeight="1">
      <c r="A33" s="10"/>
      <c r="B33" s="10">
        <v>59</v>
      </c>
      <c r="C33" s="10">
        <v>4062</v>
      </c>
      <c r="D33" s="10">
        <v>3688</v>
      </c>
      <c r="E33" s="10">
        <v>1731</v>
      </c>
      <c r="F33" s="10">
        <v>9009</v>
      </c>
      <c r="G33" s="10">
        <f>1731+3215</f>
        <v>4946</v>
      </c>
      <c r="H33" s="10">
        <f>2880+610</f>
        <v>3490</v>
      </c>
      <c r="I33" s="48" t="s">
        <v>109</v>
      </c>
      <c r="J33" s="10">
        <v>16319</v>
      </c>
      <c r="K33" s="10">
        <v>681</v>
      </c>
      <c r="L33" s="32">
        <v>23.02</v>
      </c>
      <c r="M33" s="10">
        <v>1535</v>
      </c>
      <c r="N33" s="10">
        <v>179</v>
      </c>
      <c r="O33" s="11">
        <f t="shared" si="31"/>
        <v>66.68114682884449</v>
      </c>
      <c r="P33" s="11">
        <f t="shared" si="32"/>
        <v>7.7758470894874021</v>
      </c>
      <c r="Q33" s="42">
        <f t="shared" si="33"/>
        <v>4.1730498192291195E-2</v>
      </c>
      <c r="R33" s="32">
        <f t="shared" si="34"/>
        <v>0.85918266863613979</v>
      </c>
      <c r="S33" s="32">
        <f t="shared" si="35"/>
        <v>0.46936008676789587</v>
      </c>
      <c r="T33" s="11">
        <f t="shared" si="36"/>
        <v>137.69491525423729</v>
      </c>
      <c r="V33" s="3" t="s">
        <v>110</v>
      </c>
      <c r="W33" s="3" t="s">
        <v>82</v>
      </c>
      <c r="X33" s="3" t="s">
        <v>83</v>
      </c>
      <c r="Y33" s="48" t="s">
        <v>111</v>
      </c>
      <c r="Z33" s="48" t="s">
        <v>84</v>
      </c>
      <c r="AB33" s="3" t="s">
        <v>112</v>
      </c>
      <c r="AC33" s="3" t="s">
        <v>82</v>
      </c>
      <c r="AD33" s="3" t="s">
        <v>83</v>
      </c>
      <c r="AE33" s="48" t="s">
        <v>113</v>
      </c>
      <c r="AF33" s="48" t="s">
        <v>84</v>
      </c>
      <c r="AG33" s="68" t="s">
        <v>114</v>
      </c>
      <c r="AH33" s="69"/>
      <c r="AI33" s="70"/>
    </row>
    <row r="34" spans="1:35" ht="14.25" customHeight="1">
      <c r="A34" s="10" t="s">
        <v>18</v>
      </c>
      <c r="B34" s="10">
        <v>59</v>
      </c>
      <c r="C34" s="10">
        <v>3371</v>
      </c>
      <c r="D34" s="10">
        <v>2609</v>
      </c>
      <c r="E34" s="10">
        <v>1218</v>
      </c>
      <c r="F34" s="10">
        <v>7868</v>
      </c>
      <c r="G34" s="10">
        <f>1218+3279</f>
        <v>4497</v>
      </c>
      <c r="H34" s="10">
        <f>630+2954</f>
        <v>3584</v>
      </c>
      <c r="I34" s="48" t="s">
        <v>115</v>
      </c>
      <c r="J34" s="10">
        <v>13118</v>
      </c>
      <c r="K34" s="10">
        <v>7672</v>
      </c>
      <c r="L34" s="32">
        <v>272</v>
      </c>
      <c r="M34" s="10">
        <v>171</v>
      </c>
      <c r="N34" s="10">
        <v>3</v>
      </c>
      <c r="O34" s="11">
        <f t="shared" si="31"/>
        <v>0.62867647058823528</v>
      </c>
      <c r="P34" s="11">
        <f t="shared" si="32"/>
        <v>1.1029411764705883E-2</v>
      </c>
      <c r="Q34" s="42">
        <f t="shared" si="33"/>
        <v>0.58484525080042693</v>
      </c>
      <c r="R34" s="32">
        <f t="shared" si="34"/>
        <v>1.0631859982201126</v>
      </c>
      <c r="S34" s="32">
        <f t="shared" si="35"/>
        <v>0.4668455346876198</v>
      </c>
      <c r="T34" s="11">
        <f t="shared" si="36"/>
        <v>114.27118644067797</v>
      </c>
      <c r="V34" s="3" t="s">
        <v>116</v>
      </c>
      <c r="W34" s="71">
        <v>4291</v>
      </c>
      <c r="X34" s="71">
        <v>5411</v>
      </c>
      <c r="Y34" s="72">
        <f t="shared" ref="Y34:Y40" si="42">W34/$W$42</f>
        <v>0.62697253068381065</v>
      </c>
      <c r="Z34" s="52">
        <f t="shared" ref="Z34:Z40" si="43">(W34/X34)^(1/1)-1</f>
        <v>-0.20698576972833116</v>
      </c>
      <c r="AB34" s="3" t="s">
        <v>117</v>
      </c>
      <c r="AC34" s="73">
        <v>5330</v>
      </c>
      <c r="AD34" s="73">
        <v>5890</v>
      </c>
      <c r="AE34" s="43">
        <f t="shared" ref="AE34:AE36" si="44">AC34/$AC$38</f>
        <v>0.73043716595861308</v>
      </c>
      <c r="AF34" s="52">
        <f t="shared" ref="AF34:AF36" si="45">(AC34/AD34)^(1/1)-1</f>
        <v>-9.5076400679117157E-2</v>
      </c>
      <c r="AG34" s="74" t="s">
        <v>118</v>
      </c>
      <c r="AH34" s="69"/>
      <c r="AI34" s="70"/>
    </row>
    <row r="35" spans="1:35" ht="14.25" customHeight="1">
      <c r="A35" s="10"/>
      <c r="B35" s="10">
        <v>65</v>
      </c>
      <c r="C35" s="10">
        <v>-5023</v>
      </c>
      <c r="D35" s="10">
        <v>2546</v>
      </c>
      <c r="E35" s="10">
        <v>12949</v>
      </c>
      <c r="F35" s="10">
        <v>7964</v>
      </c>
      <c r="G35" s="10">
        <f>12949+38</f>
        <v>12987</v>
      </c>
      <c r="H35" s="10">
        <f>16+8229</f>
        <v>8245</v>
      </c>
      <c r="I35" s="75" t="s">
        <v>119</v>
      </c>
      <c r="J35" s="10">
        <v>12729</v>
      </c>
      <c r="K35" s="10">
        <v>-90</v>
      </c>
      <c r="L35" s="10">
        <v>-0.32</v>
      </c>
      <c r="M35" s="10">
        <v>18</v>
      </c>
      <c r="N35" s="10">
        <v>5</v>
      </c>
      <c r="O35" s="11">
        <f t="shared" si="31"/>
        <v>-56.25</v>
      </c>
      <c r="P35" s="11">
        <f t="shared" si="32"/>
        <v>-15.625</v>
      </c>
      <c r="Q35" s="42">
        <f t="shared" si="33"/>
        <v>-7.0704690077775158E-3</v>
      </c>
      <c r="R35" s="32">
        <f t="shared" si="34"/>
        <v>-1.6414493330678877</v>
      </c>
      <c r="S35" s="32">
        <f t="shared" si="35"/>
        <v>5.0860172820109977</v>
      </c>
      <c r="T35" s="11">
        <f t="shared" si="36"/>
        <v>-154.55384615384617</v>
      </c>
      <c r="V35" s="3" t="s">
        <v>120</v>
      </c>
      <c r="W35" s="71">
        <v>2045</v>
      </c>
      <c r="X35" s="71">
        <v>1569</v>
      </c>
      <c r="Y35" s="72">
        <f t="shared" si="42"/>
        <v>0.29880187025131499</v>
      </c>
      <c r="Z35" s="52">
        <f t="shared" si="43"/>
        <v>0.30337794773741233</v>
      </c>
      <c r="AB35" s="3" t="s">
        <v>121</v>
      </c>
      <c r="AC35" s="73">
        <v>1953</v>
      </c>
      <c r="AD35" s="73">
        <v>1952</v>
      </c>
      <c r="AE35" s="43">
        <f t="shared" si="44"/>
        <v>0.26764423735781828</v>
      </c>
      <c r="AF35" s="52">
        <f t="shared" si="45"/>
        <v>5.1229508196715123E-4</v>
      </c>
      <c r="AG35" s="74" t="s">
        <v>122</v>
      </c>
      <c r="AH35" s="69"/>
      <c r="AI35" s="70"/>
    </row>
    <row r="36" spans="1:35" ht="14.25" customHeight="1">
      <c r="A36" s="10" t="s">
        <v>90</v>
      </c>
      <c r="B36" s="10">
        <v>65</v>
      </c>
      <c r="C36" s="10">
        <v>-4933</v>
      </c>
      <c r="D36" s="10">
        <v>2187</v>
      </c>
      <c r="E36" s="10">
        <v>12642</v>
      </c>
      <c r="F36" s="10">
        <v>7794</v>
      </c>
      <c r="G36" s="10">
        <f>12642+84</f>
        <v>12726</v>
      </c>
      <c r="H36" s="10">
        <f>7429+73</f>
        <v>7502</v>
      </c>
      <c r="I36" s="75" t="s">
        <v>123</v>
      </c>
      <c r="J36" s="10">
        <v>12027</v>
      </c>
      <c r="K36" s="10">
        <v>-5476</v>
      </c>
      <c r="L36" s="10">
        <v>-173</v>
      </c>
      <c r="M36" s="10">
        <v>34</v>
      </c>
      <c r="N36" s="10">
        <v>14</v>
      </c>
      <c r="O36" s="11">
        <f t="shared" si="31"/>
        <v>-0.19653179190751446</v>
      </c>
      <c r="P36" s="11">
        <f t="shared" si="32"/>
        <v>-8.0924855491329481E-2</v>
      </c>
      <c r="Q36" s="42">
        <f t="shared" si="33"/>
        <v>-0.45530888833458055</v>
      </c>
      <c r="R36" s="32">
        <f t="shared" si="34"/>
        <v>-1.5207784309750658</v>
      </c>
      <c r="S36" s="32">
        <f t="shared" si="35"/>
        <v>5.7805212620027433</v>
      </c>
      <c r="T36" s="11">
        <f t="shared" si="36"/>
        <v>-151.78461538461539</v>
      </c>
      <c r="V36" s="3" t="s">
        <v>124</v>
      </c>
      <c r="W36" s="76">
        <v>464</v>
      </c>
      <c r="X36" s="76">
        <v>586</v>
      </c>
      <c r="Y36" s="72">
        <f t="shared" si="42"/>
        <v>6.7796610169491525E-2</v>
      </c>
      <c r="Z36" s="52">
        <f t="shared" si="43"/>
        <v>-0.20819112627986347</v>
      </c>
      <c r="AB36" s="3" t="s">
        <v>125</v>
      </c>
      <c r="AC36" s="73">
        <v>14</v>
      </c>
      <c r="AD36" s="73">
        <v>17</v>
      </c>
      <c r="AE36" s="43">
        <f t="shared" si="44"/>
        <v>1.9185966835685898E-3</v>
      </c>
      <c r="AF36" s="52">
        <f t="shared" si="45"/>
        <v>-0.17647058823529416</v>
      </c>
      <c r="AG36" s="74" t="s">
        <v>126</v>
      </c>
      <c r="AH36" s="69"/>
      <c r="AI36" s="70"/>
    </row>
    <row r="37" spans="1:35" ht="14.25" customHeight="1">
      <c r="A37" s="10" t="s">
        <v>127</v>
      </c>
      <c r="B37" s="10">
        <v>65</v>
      </c>
      <c r="C37" s="10">
        <v>930</v>
      </c>
      <c r="D37" s="10">
        <v>7720</v>
      </c>
      <c r="E37" s="10">
        <v>12169</v>
      </c>
      <c r="F37" s="10">
        <v>13531</v>
      </c>
      <c r="G37" s="10">
        <f>E37+541</f>
        <v>12710</v>
      </c>
      <c r="H37" s="10">
        <f>80+5251</f>
        <v>5331</v>
      </c>
      <c r="I37" s="75" t="s">
        <v>128</v>
      </c>
      <c r="J37" s="10">
        <v>19173</v>
      </c>
      <c r="K37" s="10">
        <v>-1312</v>
      </c>
      <c r="L37" s="10">
        <v>-46</v>
      </c>
      <c r="M37" s="10">
        <v>33</v>
      </c>
      <c r="N37" s="10">
        <v>18</v>
      </c>
      <c r="O37" s="11">
        <f t="shared" si="31"/>
        <v>-0.71739130434782605</v>
      </c>
      <c r="P37" s="11">
        <f t="shared" si="32"/>
        <v>-0.39130434782608697</v>
      </c>
      <c r="Q37" s="42">
        <f t="shared" si="33"/>
        <v>-6.8429562405466021E-2</v>
      </c>
      <c r="R37" s="32">
        <f t="shared" si="34"/>
        <v>5.7322580645161292</v>
      </c>
      <c r="S37" s="32">
        <f t="shared" si="35"/>
        <v>1.5762953367875647</v>
      </c>
      <c r="T37" s="11">
        <f t="shared" si="36"/>
        <v>28.615384615384617</v>
      </c>
      <c r="V37" s="3" t="s">
        <v>129</v>
      </c>
      <c r="W37" s="71">
        <v>19</v>
      </c>
      <c r="X37" s="71">
        <v>25</v>
      </c>
      <c r="Y37" s="72">
        <f t="shared" si="42"/>
        <v>2.7761542957334892E-3</v>
      </c>
      <c r="Z37" s="52">
        <f t="shared" si="43"/>
        <v>-0.24</v>
      </c>
    </row>
    <row r="38" spans="1:35" ht="14.25" customHeight="1">
      <c r="A38" s="10"/>
      <c r="B38" s="10">
        <v>65</v>
      </c>
      <c r="C38" s="10">
        <v>2432</v>
      </c>
      <c r="D38" s="10">
        <v>11243</v>
      </c>
      <c r="E38" s="10">
        <v>13892</v>
      </c>
      <c r="F38" s="10">
        <v>17248</v>
      </c>
      <c r="G38" s="10">
        <f>E38+982</f>
        <v>14874</v>
      </c>
      <c r="H38" s="10">
        <f>83+5006</f>
        <v>5089</v>
      </c>
      <c r="I38" s="75" t="s">
        <v>130</v>
      </c>
      <c r="J38" s="10">
        <v>30241</v>
      </c>
      <c r="K38" s="10">
        <v>-1274</v>
      </c>
      <c r="L38" s="10">
        <v>-40.53</v>
      </c>
      <c r="M38" s="10">
        <v>46</v>
      </c>
      <c r="N38" s="10">
        <v>21</v>
      </c>
      <c r="O38" s="11">
        <f t="shared" si="31"/>
        <v>-1.1349617567234147</v>
      </c>
      <c r="P38" s="11">
        <f t="shared" si="32"/>
        <v>-0.51813471502590669</v>
      </c>
      <c r="Q38" s="42">
        <f t="shared" si="33"/>
        <v>-4.212823650011574E-2</v>
      </c>
      <c r="R38" s="32">
        <f t="shared" si="34"/>
        <v>2.0925164473684212</v>
      </c>
      <c r="S38" s="32">
        <f t="shared" si="35"/>
        <v>1.2356132704794094</v>
      </c>
      <c r="T38" s="11">
        <f t="shared" si="36"/>
        <v>74.830769230769235</v>
      </c>
      <c r="V38" s="3" t="s">
        <v>131</v>
      </c>
      <c r="W38" s="71">
        <v>117</v>
      </c>
      <c r="X38" s="71">
        <v>77</v>
      </c>
      <c r="Y38" s="72">
        <f t="shared" si="42"/>
        <v>1.7095265926358856E-2</v>
      </c>
      <c r="Z38" s="52">
        <f t="shared" si="43"/>
        <v>0.51948051948051943</v>
      </c>
      <c r="AB38" s="3" t="s">
        <v>132</v>
      </c>
      <c r="AC38" s="76">
        <f t="shared" ref="AC38:AD38" si="46">SUM(AC34:AC36)</f>
        <v>7297</v>
      </c>
      <c r="AD38" s="76">
        <f t="shared" si="46"/>
        <v>7859</v>
      </c>
      <c r="AE38" s="36">
        <f>AC38/$AC$38</f>
        <v>1</v>
      </c>
      <c r="AF38" s="52">
        <f>(AC38/AD38)^(1/1)-1</f>
        <v>-7.1510370276116508E-2</v>
      </c>
      <c r="AG38" s="77"/>
      <c r="AH38" s="77"/>
      <c r="AI38" s="77"/>
    </row>
    <row r="39" spans="1:35" ht="14.25" customHeight="1">
      <c r="A39" s="10"/>
      <c r="B39" s="10">
        <v>65</v>
      </c>
      <c r="C39" s="10">
        <v>3753</v>
      </c>
      <c r="D39" s="10">
        <v>11343</v>
      </c>
      <c r="E39" s="10">
        <v>12525</v>
      </c>
      <c r="F39" s="10">
        <v>17422</v>
      </c>
      <c r="G39" s="10">
        <f>E39+1164</f>
        <v>13689</v>
      </c>
      <c r="H39" s="10">
        <f>91+3071</f>
        <v>3162</v>
      </c>
      <c r="I39" s="75" t="s">
        <v>133</v>
      </c>
      <c r="J39" s="10">
        <v>31562</v>
      </c>
      <c r="K39" s="10">
        <v>80</v>
      </c>
      <c r="L39" s="10">
        <v>1.3</v>
      </c>
      <c r="M39" s="10">
        <v>52</v>
      </c>
      <c r="N39" s="10">
        <v>29</v>
      </c>
      <c r="O39" s="11">
        <f t="shared" si="31"/>
        <v>40</v>
      </c>
      <c r="P39" s="11">
        <f t="shared" si="32"/>
        <v>22.307692307692307</v>
      </c>
      <c r="Q39" s="42">
        <f t="shared" si="33"/>
        <v>2.5346936189088146E-3</v>
      </c>
      <c r="R39" s="32">
        <f t="shared" si="34"/>
        <v>0.84252597921662675</v>
      </c>
      <c r="S39" s="32">
        <f t="shared" si="35"/>
        <v>1.1042052367098651</v>
      </c>
      <c r="T39" s="11">
        <f t="shared" si="36"/>
        <v>115.47692307692307</v>
      </c>
      <c r="V39" s="3" t="s">
        <v>134</v>
      </c>
      <c r="W39" s="76">
        <v>58</v>
      </c>
      <c r="X39" s="76">
        <v>68</v>
      </c>
      <c r="Y39" s="72">
        <f t="shared" si="42"/>
        <v>8.4745762711864406E-3</v>
      </c>
      <c r="Z39" s="52">
        <f t="shared" si="43"/>
        <v>-0.1470588235294118</v>
      </c>
      <c r="AE39" s="77"/>
      <c r="AF39" s="77"/>
    </row>
    <row r="40" spans="1:35" ht="14.25" customHeight="1">
      <c r="A40" s="10"/>
      <c r="B40" s="10">
        <v>69</v>
      </c>
      <c r="C40" s="10">
        <v>2256</v>
      </c>
      <c r="D40" s="10">
        <v>12006</v>
      </c>
      <c r="E40" s="10">
        <v>11324</v>
      </c>
      <c r="F40" s="10">
        <v>14867</v>
      </c>
      <c r="G40" s="10">
        <f>E40+1189</f>
        <v>12513</v>
      </c>
      <c r="H40" s="10">
        <f>720+3071</f>
        <v>3791</v>
      </c>
      <c r="I40" s="75" t="s">
        <v>135</v>
      </c>
      <c r="J40" s="10">
        <v>28499</v>
      </c>
      <c r="K40" s="10">
        <v>0.2</v>
      </c>
      <c r="L40" s="10">
        <v>7.0000000000000007E-2</v>
      </c>
      <c r="M40" s="10">
        <v>74</v>
      </c>
      <c r="N40" s="10">
        <v>26</v>
      </c>
      <c r="O40" s="11">
        <f t="shared" si="31"/>
        <v>1057.1428571428571</v>
      </c>
      <c r="P40" s="11">
        <f t="shared" si="32"/>
        <v>371.42857142857139</v>
      </c>
      <c r="Q40" s="42">
        <f t="shared" si="33"/>
        <v>7.0177900978981725E-6</v>
      </c>
      <c r="R40" s="32">
        <f t="shared" si="34"/>
        <v>1.6804078014184398</v>
      </c>
      <c r="S40" s="32">
        <f t="shared" si="35"/>
        <v>0.94319506913210061</v>
      </c>
      <c r="T40" s="11">
        <f t="shared" si="36"/>
        <v>65.391304347826093</v>
      </c>
      <c r="V40" s="3" t="s">
        <v>136</v>
      </c>
      <c r="W40" s="71">
        <v>-150</v>
      </c>
      <c r="X40" s="71">
        <v>-46</v>
      </c>
      <c r="Y40" s="72">
        <f t="shared" si="42"/>
        <v>-2.1917007597895968E-2</v>
      </c>
      <c r="Z40" s="52">
        <f t="shared" si="43"/>
        <v>2.2608695652173911</v>
      </c>
      <c r="AA40" s="1"/>
      <c r="AB40" s="1"/>
      <c r="AC40" s="1"/>
      <c r="AD40" s="1"/>
      <c r="AE40" s="1"/>
      <c r="AF40" s="1"/>
    </row>
    <row r="41" spans="1:35" ht="14.25" customHeight="1">
      <c r="A41" s="10"/>
      <c r="B41" s="10">
        <v>69</v>
      </c>
      <c r="C41" s="10">
        <v>2422</v>
      </c>
      <c r="D41" s="10">
        <v>13678</v>
      </c>
      <c r="E41" s="10">
        <v>12947</v>
      </c>
      <c r="F41" s="10">
        <v>16822</v>
      </c>
      <c r="G41" s="10">
        <f>E41+1404</f>
        <v>14351</v>
      </c>
      <c r="H41" s="10">
        <f>1123+5960</f>
        <v>7083</v>
      </c>
      <c r="I41" s="75" t="s">
        <v>137</v>
      </c>
      <c r="J41" s="10">
        <v>29871</v>
      </c>
      <c r="K41" s="10">
        <v>273</v>
      </c>
      <c r="L41" s="10">
        <v>8.19</v>
      </c>
      <c r="M41" s="10">
        <v>96</v>
      </c>
      <c r="N41" s="10">
        <v>57</v>
      </c>
      <c r="O41" s="11">
        <f t="shared" si="31"/>
        <v>11.721611721611723</v>
      </c>
      <c r="P41" s="11">
        <f t="shared" si="32"/>
        <v>6.9597069597069599</v>
      </c>
      <c r="Q41" s="42">
        <f t="shared" si="33"/>
        <v>9.1392989856382452E-3</v>
      </c>
      <c r="R41" s="32">
        <f t="shared" si="34"/>
        <v>2.9244426094137075</v>
      </c>
      <c r="S41" s="32">
        <f t="shared" si="35"/>
        <v>0.94655651411024999</v>
      </c>
      <c r="T41" s="11">
        <f t="shared" si="36"/>
        <v>70.20289855072464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5" ht="14.25" customHeight="1">
      <c r="A42" s="10"/>
      <c r="B42" s="10">
        <v>69</v>
      </c>
      <c r="C42" s="10">
        <v>2219</v>
      </c>
      <c r="D42" s="10">
        <v>11636</v>
      </c>
      <c r="E42" s="10">
        <v>11196</v>
      </c>
      <c r="F42" s="10" t="s">
        <v>138</v>
      </c>
      <c r="G42" s="10">
        <f>E42+1169</f>
        <v>12365</v>
      </c>
      <c r="H42" s="10">
        <f>875+5020</f>
        <v>5895</v>
      </c>
      <c r="I42" s="75" t="s">
        <v>139</v>
      </c>
      <c r="J42" s="10">
        <v>30270</v>
      </c>
      <c r="K42" s="10">
        <v>87</v>
      </c>
      <c r="L42" s="10">
        <v>2.6</v>
      </c>
      <c r="M42" s="10">
        <v>129</v>
      </c>
      <c r="N42" s="10">
        <v>81</v>
      </c>
      <c r="O42" s="11">
        <f t="shared" si="31"/>
        <v>49.615384615384613</v>
      </c>
      <c r="P42" s="11">
        <f t="shared" si="32"/>
        <v>31.153846153846153</v>
      </c>
      <c r="Q42" s="42">
        <f t="shared" si="33"/>
        <v>2.8741328047571855E-3</v>
      </c>
      <c r="R42" s="32">
        <f t="shared" si="34"/>
        <v>2.6566020730058586</v>
      </c>
      <c r="S42" s="32">
        <f t="shared" si="35"/>
        <v>0.96218631832244761</v>
      </c>
      <c r="T42" s="11">
        <f t="shared" si="36"/>
        <v>64.318840579710141</v>
      </c>
      <c r="V42" s="3" t="s">
        <v>132</v>
      </c>
      <c r="W42" s="76">
        <f t="shared" ref="W42:X42" si="47">SUM(W33:W41)</f>
        <v>6844</v>
      </c>
      <c r="X42" s="76">
        <f t="shared" si="47"/>
        <v>7690</v>
      </c>
      <c r="Y42" s="72">
        <f>W42/$W$42</f>
        <v>1</v>
      </c>
      <c r="Z42" s="52">
        <f>(W42/X42)^(1/1)-1</f>
        <v>-0.1100130039011703</v>
      </c>
      <c r="AA42" s="1"/>
      <c r="AB42" s="1"/>
      <c r="AC42" s="1"/>
      <c r="AD42" s="1"/>
      <c r="AE42" s="1"/>
      <c r="AF42" s="1"/>
    </row>
    <row r="43" spans="1:35" ht="14.25" customHeight="1">
      <c r="A43" s="10"/>
      <c r="B43" s="10">
        <v>69</v>
      </c>
      <c r="C43" s="10">
        <v>2157</v>
      </c>
      <c r="D43" s="10">
        <v>7245</v>
      </c>
      <c r="E43" s="10">
        <v>3699</v>
      </c>
      <c r="F43" s="10">
        <f>2287+3334</f>
        <v>5621</v>
      </c>
      <c r="G43" s="10">
        <f>3466+E43</f>
        <v>7165</v>
      </c>
      <c r="H43" s="10">
        <v>3466</v>
      </c>
      <c r="I43" s="75" t="s">
        <v>140</v>
      </c>
      <c r="J43" s="10">
        <v>16664</v>
      </c>
      <c r="K43" s="10">
        <v>213</v>
      </c>
      <c r="L43" s="10">
        <v>6.62</v>
      </c>
      <c r="M43" s="10">
        <v>130</v>
      </c>
      <c r="N43" s="10">
        <v>80</v>
      </c>
      <c r="O43" s="11">
        <f t="shared" si="31"/>
        <v>19.637462235649547</v>
      </c>
      <c r="P43" s="11">
        <f t="shared" si="32"/>
        <v>12.084592145015106</v>
      </c>
      <c r="Q43" s="42">
        <f t="shared" si="33"/>
        <v>1.2782045127220355E-2</v>
      </c>
      <c r="R43" s="32">
        <f t="shared" si="34"/>
        <v>1.6068613815484469</v>
      </c>
      <c r="S43" s="32">
        <f t="shared" si="35"/>
        <v>0.51055900621118011</v>
      </c>
      <c r="T43" s="11">
        <f t="shared" si="36"/>
        <v>62.521739130434781</v>
      </c>
      <c r="AA43" s="1"/>
      <c r="AB43" s="1"/>
      <c r="AC43" s="1"/>
      <c r="AD43" s="1"/>
      <c r="AE43" s="1"/>
      <c r="AF43" s="1"/>
    </row>
    <row r="44" spans="1:35" ht="14.25" customHeight="1">
      <c r="A44" s="10"/>
      <c r="B44" s="10">
        <v>83</v>
      </c>
      <c r="C44" s="10">
        <v>1925</v>
      </c>
      <c r="D44" s="10">
        <v>5278</v>
      </c>
      <c r="E44" s="10">
        <v>2860</v>
      </c>
      <c r="F44" s="10">
        <f>5278+2025</f>
        <v>7303</v>
      </c>
      <c r="G44" s="10">
        <f>E44+4440</f>
        <v>7300</v>
      </c>
      <c r="H44" s="10">
        <v>2346</v>
      </c>
      <c r="I44" s="75" t="s">
        <v>141</v>
      </c>
      <c r="J44" s="10">
        <v>13530</v>
      </c>
      <c r="K44" s="10">
        <v>173</v>
      </c>
      <c r="L44" s="10">
        <v>6.92</v>
      </c>
      <c r="M44" s="10">
        <v>108</v>
      </c>
      <c r="N44" s="10">
        <v>23</v>
      </c>
      <c r="O44" s="11">
        <f t="shared" si="31"/>
        <v>15.606936416184972</v>
      </c>
      <c r="P44" s="11">
        <f t="shared" si="32"/>
        <v>3.3236994219653178</v>
      </c>
      <c r="Q44" s="42">
        <f t="shared" si="33"/>
        <v>1.278640059127864E-2</v>
      </c>
      <c r="R44" s="32">
        <f t="shared" si="34"/>
        <v>1.2187012987012986</v>
      </c>
      <c r="S44" s="32">
        <f t="shared" si="35"/>
        <v>0.54187192118226601</v>
      </c>
      <c r="T44" s="11">
        <f t="shared" si="36"/>
        <v>46.385542168674696</v>
      </c>
      <c r="AD44" s="1"/>
      <c r="AE44" s="1"/>
      <c r="AF44" s="1"/>
      <c r="AG44" s="1"/>
      <c r="AH44" s="1"/>
      <c r="AI44" s="1"/>
    </row>
    <row r="45" spans="1:35" ht="14.25" customHeight="1">
      <c r="A45" s="10"/>
      <c r="B45" s="10">
        <v>38</v>
      </c>
      <c r="C45" s="10">
        <v>1140</v>
      </c>
      <c r="D45" s="10"/>
      <c r="E45" s="10"/>
      <c r="F45" s="10"/>
      <c r="G45" s="10"/>
      <c r="H45" s="10">
        <v>914</v>
      </c>
      <c r="I45" s="75" t="s">
        <v>142</v>
      </c>
      <c r="J45" s="10">
        <v>12210</v>
      </c>
      <c r="K45" s="10">
        <v>93</v>
      </c>
      <c r="L45" s="10">
        <v>4.83</v>
      </c>
      <c r="M45" s="10">
        <v>110</v>
      </c>
      <c r="N45" s="10">
        <v>17</v>
      </c>
      <c r="O45" s="11">
        <f t="shared" si="31"/>
        <v>22.77432712215321</v>
      </c>
      <c r="P45" s="11">
        <f t="shared" si="32"/>
        <v>3.5196687370600412</v>
      </c>
      <c r="Q45" s="42">
        <f t="shared" si="33"/>
        <v>7.6167076167076167E-3</v>
      </c>
      <c r="R45" s="32">
        <f t="shared" si="34"/>
        <v>0.80175438596491233</v>
      </c>
      <c r="S45" s="32"/>
      <c r="T45" s="11">
        <f t="shared" si="36"/>
        <v>60</v>
      </c>
      <c r="AD45" s="1"/>
      <c r="AE45" s="1"/>
      <c r="AF45" s="1"/>
      <c r="AG45" s="1"/>
      <c r="AH45" s="1"/>
      <c r="AI45" s="1"/>
    </row>
    <row r="46" spans="1:35" ht="14.25" customHeight="1">
      <c r="A46" s="10" t="s">
        <v>143</v>
      </c>
      <c r="B46" s="10">
        <v>38</v>
      </c>
      <c r="C46" s="10">
        <v>1061</v>
      </c>
      <c r="D46" s="10"/>
      <c r="E46" s="10"/>
      <c r="F46" s="10"/>
      <c r="G46" s="10"/>
      <c r="H46" s="10">
        <v>1187</v>
      </c>
      <c r="I46" s="75" t="s">
        <v>144</v>
      </c>
      <c r="J46" s="10">
        <v>11069</v>
      </c>
      <c r="K46" s="78">
        <v>159</v>
      </c>
      <c r="L46" s="78">
        <v>8.61</v>
      </c>
      <c r="M46" s="10">
        <v>165</v>
      </c>
      <c r="N46" s="10">
        <v>61</v>
      </c>
      <c r="O46" s="11">
        <f t="shared" si="31"/>
        <v>19.16376306620209</v>
      </c>
      <c r="P46" s="11">
        <f t="shared" si="32"/>
        <v>7.0847851335656218</v>
      </c>
      <c r="Q46" s="42">
        <f t="shared" si="33"/>
        <v>1.4364441232270304E-2</v>
      </c>
      <c r="R46" s="32">
        <f t="shared" si="34"/>
        <v>1.1187558906691799</v>
      </c>
      <c r="S46" s="32"/>
      <c r="T46" s="11">
        <f t="shared" si="36"/>
        <v>55.842105263157897</v>
      </c>
      <c r="AD46" s="1"/>
      <c r="AE46" s="1"/>
      <c r="AF46" s="1"/>
      <c r="AG46" s="1"/>
      <c r="AH46" s="1"/>
      <c r="AI46" s="1"/>
    </row>
    <row r="47" spans="1:35" ht="14.25" customHeight="1">
      <c r="A47" s="10"/>
      <c r="B47" s="10">
        <v>38</v>
      </c>
      <c r="C47" s="10">
        <v>843</v>
      </c>
      <c r="D47" s="10"/>
      <c r="E47" s="10"/>
      <c r="F47" s="10"/>
      <c r="G47" s="10"/>
      <c r="H47" s="10">
        <v>962</v>
      </c>
      <c r="I47" s="75" t="s">
        <v>145</v>
      </c>
      <c r="J47" s="10">
        <v>8648</v>
      </c>
      <c r="K47" s="10">
        <v>101</v>
      </c>
      <c r="L47" s="10">
        <v>27.02</v>
      </c>
      <c r="M47" s="10">
        <v>400</v>
      </c>
      <c r="N47" s="10">
        <v>251</v>
      </c>
      <c r="O47" s="11">
        <f t="shared" si="31"/>
        <v>14.803849000740193</v>
      </c>
      <c r="P47" s="11">
        <f t="shared" si="32"/>
        <v>9.2894152479644703</v>
      </c>
      <c r="Q47" s="42">
        <f t="shared" si="33"/>
        <v>1.1679000925069381E-2</v>
      </c>
      <c r="R47" s="32">
        <f t="shared" si="34"/>
        <v>1.1411625148279954</v>
      </c>
      <c r="S47" s="32"/>
      <c r="T47" s="11">
        <f t="shared" si="36"/>
        <v>44.368421052631582</v>
      </c>
      <c r="AD47" s="1"/>
      <c r="AE47" s="1"/>
      <c r="AF47" s="1"/>
      <c r="AG47" s="1"/>
      <c r="AH47" s="1"/>
      <c r="AI47" s="1"/>
    </row>
    <row r="48" spans="1:35" ht="14.25" customHeight="1">
      <c r="A48" s="10"/>
      <c r="B48" s="10">
        <v>38</v>
      </c>
      <c r="C48" s="10">
        <v>754</v>
      </c>
      <c r="D48" s="10"/>
      <c r="E48" s="10"/>
      <c r="F48" s="10"/>
      <c r="G48" s="10"/>
      <c r="H48" s="10">
        <v>739</v>
      </c>
      <c r="I48" s="75" t="s">
        <v>146</v>
      </c>
      <c r="J48" s="10">
        <v>7540</v>
      </c>
      <c r="K48" s="10">
        <v>83</v>
      </c>
      <c r="L48" s="10">
        <v>28.8</v>
      </c>
      <c r="M48" s="10">
        <v>376</v>
      </c>
      <c r="N48" s="10">
        <v>220</v>
      </c>
      <c r="O48" s="11">
        <f t="shared" si="31"/>
        <v>13.055555555555555</v>
      </c>
      <c r="P48" s="11">
        <f t="shared" si="32"/>
        <v>7.6388888888888884</v>
      </c>
      <c r="Q48" s="42">
        <f t="shared" si="33"/>
        <v>1.1007957559681697E-2</v>
      </c>
      <c r="R48" s="32">
        <f t="shared" si="34"/>
        <v>0.980106100795756</v>
      </c>
      <c r="S48" s="32"/>
      <c r="T48" s="11">
        <f t="shared" si="36"/>
        <v>39.684210526315788</v>
      </c>
      <c r="AD48" s="1"/>
      <c r="AE48" s="1"/>
      <c r="AF48" s="1"/>
      <c r="AG48" s="1"/>
      <c r="AH48" s="1"/>
      <c r="AI48" s="1"/>
    </row>
    <row r="49" spans="1:35" ht="14.25" customHeight="1">
      <c r="A49" s="10"/>
      <c r="B49" s="10">
        <v>38</v>
      </c>
      <c r="C49" s="10">
        <v>310</v>
      </c>
      <c r="D49" s="10"/>
      <c r="E49" s="10"/>
      <c r="F49" s="10"/>
      <c r="G49" s="10"/>
      <c r="H49" s="10">
        <v>414</v>
      </c>
      <c r="I49" s="75" t="s">
        <v>147</v>
      </c>
      <c r="J49" s="10">
        <v>3922</v>
      </c>
      <c r="K49" s="10">
        <v>44</v>
      </c>
      <c r="L49" s="10">
        <v>20.05</v>
      </c>
      <c r="M49" s="10">
        <v>252</v>
      </c>
      <c r="N49" s="10">
        <v>47</v>
      </c>
      <c r="O49" s="11">
        <f t="shared" si="31"/>
        <v>12.568578553615959</v>
      </c>
      <c r="P49" s="11">
        <f t="shared" si="32"/>
        <v>2.3441396508728181</v>
      </c>
      <c r="Q49" s="42">
        <f t="shared" si="33"/>
        <v>1.1218765935747067E-2</v>
      </c>
      <c r="R49" s="32">
        <f t="shared" si="34"/>
        <v>1.3354838709677419</v>
      </c>
      <c r="S49" s="32"/>
      <c r="T49" s="11">
        <f t="shared" si="36"/>
        <v>16.315789473684209</v>
      </c>
      <c r="AE49" s="24"/>
      <c r="AF49" s="1"/>
      <c r="AG49" s="1"/>
      <c r="AH49" s="1"/>
      <c r="AI49" s="1"/>
    </row>
    <row r="50" spans="1:35" ht="14.25" customHeight="1">
      <c r="A50" s="10"/>
      <c r="B50" s="10">
        <v>38</v>
      </c>
      <c r="C50" s="10">
        <v>272</v>
      </c>
      <c r="D50" s="10"/>
      <c r="E50" s="10"/>
      <c r="F50" s="10"/>
      <c r="G50" s="10"/>
      <c r="H50" s="10">
        <v>353</v>
      </c>
      <c r="I50" s="75" t="s">
        <v>148</v>
      </c>
      <c r="J50" s="10">
        <v>3535</v>
      </c>
      <c r="K50" s="10">
        <v>34</v>
      </c>
      <c r="L50" s="10">
        <v>16.23</v>
      </c>
      <c r="M50" s="10">
        <v>128</v>
      </c>
      <c r="N50" s="10">
        <v>29</v>
      </c>
      <c r="O50" s="11">
        <f t="shared" si="31"/>
        <v>7.8866296980899566</v>
      </c>
      <c r="P50" s="11">
        <f t="shared" si="32"/>
        <v>1.7868145409735059</v>
      </c>
      <c r="Q50" s="42">
        <f t="shared" si="33"/>
        <v>9.6181046676096175E-3</v>
      </c>
      <c r="R50" s="32">
        <f t="shared" si="34"/>
        <v>1.2977941176470589</v>
      </c>
      <c r="S50" s="32"/>
      <c r="T50" s="11">
        <f t="shared" si="36"/>
        <v>14.315789473684211</v>
      </c>
      <c r="V50" s="1"/>
      <c r="AE50" s="77"/>
      <c r="AF50" s="1"/>
      <c r="AG50" s="1"/>
      <c r="AH50" s="1"/>
      <c r="AI50" s="1"/>
    </row>
    <row r="51" spans="1:35" ht="14.25" customHeight="1">
      <c r="A51" s="10"/>
      <c r="B51" s="10">
        <v>38</v>
      </c>
      <c r="C51" s="10">
        <v>242</v>
      </c>
      <c r="D51" s="10"/>
      <c r="E51" s="10"/>
      <c r="F51" s="10"/>
      <c r="G51" s="10"/>
      <c r="H51" s="10">
        <v>190</v>
      </c>
      <c r="I51" s="75" t="s">
        <v>149</v>
      </c>
      <c r="J51" s="10">
        <v>3407</v>
      </c>
      <c r="K51" s="10">
        <v>27</v>
      </c>
      <c r="L51" s="10">
        <v>13.78</v>
      </c>
      <c r="M51" s="10">
        <v>48</v>
      </c>
      <c r="N51" s="10">
        <v>26</v>
      </c>
      <c r="O51" s="11">
        <f t="shared" si="31"/>
        <v>3.4833091436865025</v>
      </c>
      <c r="P51" s="11">
        <f t="shared" si="32"/>
        <v>1.8867924528301887</v>
      </c>
      <c r="Q51" s="42">
        <f t="shared" si="33"/>
        <v>7.924860581156443E-3</v>
      </c>
      <c r="R51" s="32">
        <f t="shared" si="34"/>
        <v>0.78512396694214881</v>
      </c>
      <c r="S51" s="32"/>
      <c r="T51" s="11">
        <f t="shared" si="36"/>
        <v>12.736842105263158</v>
      </c>
      <c r="V51" s="1"/>
      <c r="AE51" s="77"/>
      <c r="AF51" s="1"/>
      <c r="AG51" s="1"/>
      <c r="AH51" s="1"/>
      <c r="AI51" s="1"/>
    </row>
    <row r="52" spans="1:35" ht="14.25" customHeight="1">
      <c r="A52" s="10"/>
      <c r="B52" s="10">
        <v>38</v>
      </c>
      <c r="C52" s="10">
        <v>209</v>
      </c>
      <c r="D52" s="10"/>
      <c r="E52" s="10"/>
      <c r="F52" s="10"/>
      <c r="G52" s="10"/>
      <c r="H52" s="10">
        <v>130</v>
      </c>
      <c r="I52" s="75" t="s">
        <v>150</v>
      </c>
      <c r="J52" s="10">
        <v>2839</v>
      </c>
      <c r="K52" s="10">
        <v>27</v>
      </c>
      <c r="L52" s="10">
        <v>13.07</v>
      </c>
      <c r="M52" s="10">
        <v>36</v>
      </c>
      <c r="N52" s="10">
        <v>23</v>
      </c>
      <c r="O52" s="11">
        <f t="shared" si="31"/>
        <v>2.7543993879112469</v>
      </c>
      <c r="P52" s="11">
        <f t="shared" si="32"/>
        <v>1.7597551644988523</v>
      </c>
      <c r="Q52" s="42">
        <f t="shared" si="33"/>
        <v>9.5103909827404017E-3</v>
      </c>
      <c r="R52" s="32">
        <f t="shared" si="34"/>
        <v>0.62200956937799046</v>
      </c>
      <c r="S52" s="32"/>
      <c r="T52" s="11">
        <f t="shared" si="36"/>
        <v>11</v>
      </c>
    </row>
    <row r="53" spans="1:35" ht="14.25" customHeight="1">
      <c r="A53" s="10"/>
      <c r="B53" s="10">
        <v>38</v>
      </c>
      <c r="C53" s="10">
        <v>226</v>
      </c>
      <c r="D53" s="10"/>
      <c r="E53" s="10"/>
      <c r="F53" s="10"/>
      <c r="G53" s="10"/>
      <c r="H53" s="10">
        <v>114</v>
      </c>
      <c r="I53" s="75" t="s">
        <v>151</v>
      </c>
      <c r="J53" s="10">
        <v>2594</v>
      </c>
      <c r="K53" s="10">
        <v>26</v>
      </c>
      <c r="L53" s="10">
        <v>14.35</v>
      </c>
      <c r="M53" s="10">
        <v>49</v>
      </c>
      <c r="N53" s="10">
        <v>31</v>
      </c>
      <c r="O53" s="11">
        <f t="shared" si="31"/>
        <v>3.4146341463414633</v>
      </c>
      <c r="P53" s="11">
        <f t="shared" si="32"/>
        <v>2.1602787456445993</v>
      </c>
      <c r="Q53" s="42">
        <f t="shared" si="33"/>
        <v>1.0023130300693909E-2</v>
      </c>
      <c r="R53" s="32">
        <f t="shared" si="34"/>
        <v>0.50442477876106195</v>
      </c>
      <c r="S53" s="32"/>
      <c r="T53" s="11">
        <f t="shared" si="36"/>
        <v>11.894736842105264</v>
      </c>
    </row>
    <row r="54" spans="1:35" ht="14.25" customHeight="1">
      <c r="A54" s="10"/>
      <c r="B54" s="10">
        <v>38</v>
      </c>
      <c r="C54" s="10">
        <v>194</v>
      </c>
      <c r="D54" s="10"/>
      <c r="E54" s="10"/>
      <c r="F54" s="10"/>
      <c r="G54" s="10"/>
      <c r="H54" s="10">
        <v>114</v>
      </c>
      <c r="I54" s="75" t="s">
        <v>152</v>
      </c>
      <c r="J54" s="10">
        <v>1922</v>
      </c>
      <c r="K54" s="10">
        <v>20</v>
      </c>
      <c r="L54" s="10">
        <v>11.48</v>
      </c>
      <c r="M54" s="10">
        <v>53</v>
      </c>
      <c r="N54" s="10">
        <v>20</v>
      </c>
      <c r="O54" s="11">
        <f t="shared" si="31"/>
        <v>4.6167247386759582</v>
      </c>
      <c r="P54" s="11">
        <f t="shared" si="32"/>
        <v>1.7421602787456445</v>
      </c>
      <c r="Q54" s="42">
        <f t="shared" si="33"/>
        <v>1.040582726326743E-2</v>
      </c>
      <c r="R54" s="32">
        <f t="shared" si="34"/>
        <v>0.58762886597938147</v>
      </c>
      <c r="S54" s="32"/>
      <c r="T54" s="11">
        <f t="shared" si="36"/>
        <v>10.210526315789474</v>
      </c>
    </row>
    <row r="55" spans="1:35" ht="14.25" customHeight="1">
      <c r="A55" s="10"/>
      <c r="B55" s="10"/>
      <c r="C55" s="10"/>
      <c r="D55" s="10"/>
      <c r="E55" s="10"/>
      <c r="F55" s="10"/>
      <c r="G55" s="10"/>
      <c r="H55" s="10"/>
      <c r="I55" s="75" t="s">
        <v>153</v>
      </c>
      <c r="J55" s="10"/>
      <c r="K55" s="10"/>
      <c r="L55" s="10"/>
      <c r="M55" s="10">
        <v>44</v>
      </c>
      <c r="N55" s="10">
        <v>16</v>
      </c>
      <c r="O55" s="10"/>
      <c r="P55" s="10"/>
      <c r="Q55" s="10"/>
      <c r="R55" s="10"/>
      <c r="S55" s="10"/>
      <c r="T55" s="10"/>
    </row>
    <row r="56" spans="1:35" ht="14.25" customHeight="1">
      <c r="A56" s="10"/>
      <c r="B56" s="10"/>
      <c r="C56" s="10"/>
      <c r="D56" s="10"/>
      <c r="E56" s="10"/>
      <c r="F56" s="10"/>
      <c r="G56" s="10"/>
      <c r="H56" s="10"/>
      <c r="I56" s="75" t="s">
        <v>154</v>
      </c>
      <c r="J56" s="10"/>
      <c r="K56" s="10"/>
      <c r="L56" s="10"/>
      <c r="M56" s="10">
        <v>27</v>
      </c>
      <c r="N56" s="10">
        <v>17</v>
      </c>
      <c r="O56" s="10"/>
      <c r="P56" s="10"/>
      <c r="Q56" s="10"/>
      <c r="R56" s="10"/>
      <c r="S56" s="10"/>
      <c r="T56" s="10"/>
      <c r="U56" s="1"/>
    </row>
    <row r="57" spans="1:35" ht="14.25" customHeight="1">
      <c r="A57" s="10"/>
      <c r="B57" s="10"/>
      <c r="C57" s="10"/>
      <c r="D57" s="10"/>
      <c r="E57" s="1"/>
      <c r="F57" s="10"/>
      <c r="G57" s="10"/>
      <c r="H57" s="10"/>
      <c r="I57" s="75" t="s">
        <v>155</v>
      </c>
      <c r="J57" s="10"/>
      <c r="K57" s="10"/>
      <c r="L57" s="10"/>
      <c r="M57" s="10">
        <v>38</v>
      </c>
      <c r="N57" s="10">
        <v>13</v>
      </c>
      <c r="O57" s="10"/>
      <c r="P57" s="10"/>
      <c r="Q57" s="10"/>
      <c r="R57" s="10"/>
      <c r="S57" s="10"/>
      <c r="T57" s="10"/>
      <c r="U57" s="1"/>
    </row>
    <row r="58" spans="1:35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35" ht="14.25" customHeight="1">
      <c r="A59" s="3" t="s">
        <v>156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AE59" s="77"/>
      <c r="AF59" s="1"/>
      <c r="AG59" s="1"/>
      <c r="AH59" s="1"/>
      <c r="AI59" s="1"/>
    </row>
    <row r="60" spans="1:35" ht="14.25" customHeight="1">
      <c r="A60" s="1"/>
      <c r="B60" s="1"/>
      <c r="C60" s="1"/>
      <c r="D60" s="1"/>
      <c r="E60" s="1"/>
      <c r="F60" s="1"/>
      <c r="G60" s="1"/>
      <c r="H60" s="1"/>
      <c r="I60" s="2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AE60" s="77"/>
      <c r="AF60" s="1"/>
      <c r="AG60" s="1"/>
      <c r="AH60" s="1"/>
      <c r="AI60" s="1"/>
    </row>
    <row r="61" spans="1:35" ht="14.25" customHeight="1">
      <c r="A61" s="1"/>
      <c r="F61" s="1"/>
      <c r="G61" s="1"/>
      <c r="H61" s="3" t="s">
        <v>157</v>
      </c>
      <c r="I61" s="3" t="s">
        <v>158</v>
      </c>
      <c r="J61" s="3" t="s">
        <v>159</v>
      </c>
      <c r="K61" s="3" t="s">
        <v>68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AE61" s="77"/>
      <c r="AF61" s="1"/>
      <c r="AG61" s="1"/>
      <c r="AH61" s="1"/>
      <c r="AI61" s="1"/>
    </row>
    <row r="62" spans="1:35" ht="14.25" customHeight="1">
      <c r="A62" s="1"/>
      <c r="F62" s="1"/>
      <c r="G62" s="1"/>
      <c r="H62" s="6" t="s">
        <v>160</v>
      </c>
      <c r="I62" s="6">
        <v>55788</v>
      </c>
      <c r="J62" s="72">
        <v>0.22</v>
      </c>
      <c r="K62" s="72">
        <v>0.27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AB62" s="77"/>
      <c r="AC62" s="77"/>
      <c r="AD62" s="77"/>
      <c r="AE62" s="77"/>
      <c r="AF62" s="1"/>
      <c r="AG62" s="1"/>
      <c r="AH62" s="1"/>
      <c r="AI62" s="1"/>
    </row>
    <row r="63" spans="1:35" ht="14.25" customHeight="1">
      <c r="A63" s="1"/>
      <c r="F63" s="1"/>
      <c r="G63" s="1"/>
      <c r="H63" s="6" t="s">
        <v>161</v>
      </c>
      <c r="I63" s="6">
        <v>37090</v>
      </c>
      <c r="J63" s="72">
        <f>729/(3185+115)</f>
        <v>0.22090909090909092</v>
      </c>
      <c r="K63" s="72">
        <f>729/37090</f>
        <v>1.9654893502291722E-2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4.25" customHeight="1">
      <c r="A64" s="1"/>
      <c r="F64" s="1"/>
      <c r="G64" s="1"/>
      <c r="H64" s="6" t="s">
        <v>162</v>
      </c>
      <c r="I64" s="6">
        <v>16383</v>
      </c>
      <c r="J64" s="72">
        <v>0.17</v>
      </c>
      <c r="K64" s="72">
        <v>0.03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4.25" customHeight="1">
      <c r="A65" s="1"/>
      <c r="F65" s="1"/>
      <c r="G65" s="1"/>
      <c r="H65" s="6" t="s">
        <v>163</v>
      </c>
      <c r="I65" s="6">
        <v>14830</v>
      </c>
      <c r="J65" s="72">
        <v>1.03</v>
      </c>
      <c r="K65" s="72">
        <v>0.15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4.25" customHeight="1">
      <c r="A66" s="1"/>
      <c r="F66" s="1"/>
      <c r="G66" s="1"/>
      <c r="H66" s="6" t="s">
        <v>164</v>
      </c>
      <c r="I66" s="6">
        <v>13449</v>
      </c>
      <c r="J66" s="72">
        <v>0.52</v>
      </c>
      <c r="K66" s="72">
        <v>0.14000000000000001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4.25" customHeight="1">
      <c r="A67" s="1"/>
      <c r="F67" s="1"/>
      <c r="G67" s="1"/>
      <c r="H67" s="6" t="s">
        <v>165</v>
      </c>
      <c r="I67" s="6">
        <v>9887</v>
      </c>
      <c r="J67" s="72">
        <v>0.22</v>
      </c>
      <c r="K67" s="72">
        <v>0.19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4.25" customHeight="1">
      <c r="A68" s="1"/>
      <c r="F68" s="1"/>
      <c r="G68" s="1"/>
      <c r="H68" s="6" t="s">
        <v>166</v>
      </c>
      <c r="I68" s="6">
        <v>8142</v>
      </c>
      <c r="J68" s="72">
        <v>0.37</v>
      </c>
      <c r="K68" s="72">
        <v>0.18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4.25" customHeight="1">
      <c r="A69" s="1"/>
      <c r="F69" s="1"/>
      <c r="G69" s="1"/>
      <c r="H69" s="6" t="s">
        <v>167</v>
      </c>
      <c r="I69" s="6">
        <v>1876</v>
      </c>
      <c r="J69" s="72">
        <v>2.5999999999999999E-2</v>
      </c>
      <c r="K69" s="72">
        <v>-1.6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4.25" customHeight="1">
      <c r="A70" s="1"/>
      <c r="F70" s="1"/>
      <c r="G70" s="1"/>
      <c r="H70" s="6" t="s">
        <v>168</v>
      </c>
      <c r="I70" s="6">
        <v>1606</v>
      </c>
      <c r="J70" s="72">
        <v>0.17</v>
      </c>
      <c r="K70" s="72">
        <v>0.06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4.25" customHeight="1">
      <c r="A71" s="1"/>
      <c r="F71" s="1"/>
      <c r="G71" s="1"/>
      <c r="H71" s="6" t="s">
        <v>169</v>
      </c>
      <c r="I71" s="6">
        <v>893</v>
      </c>
      <c r="J71" s="72">
        <v>7.2999999999999995E-2</v>
      </c>
      <c r="K71" s="72">
        <v>3.4000000000000002E-2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4.25" customHeight="1">
      <c r="A72" s="1"/>
      <c r="B72" s="1"/>
      <c r="C72" s="1"/>
      <c r="D72" s="1"/>
      <c r="E72" s="1"/>
      <c r="F72" s="1"/>
      <c r="G72" s="1"/>
      <c r="H72" s="1"/>
      <c r="I72" s="2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4.25" customHeight="1">
      <c r="A73" s="3" t="s">
        <v>170</v>
      </c>
      <c r="B73" s="78"/>
      <c r="C73" s="1"/>
      <c r="D73" s="1"/>
      <c r="E73" s="1"/>
      <c r="F73" s="1"/>
      <c r="G73" s="1"/>
      <c r="H73" s="1"/>
      <c r="I73" s="2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4.2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4.25" customHeight="1">
      <c r="A75" s="1"/>
      <c r="B75" s="1"/>
      <c r="C75" s="1"/>
      <c r="D75" s="1"/>
      <c r="E75" s="1"/>
      <c r="F75" s="1"/>
      <c r="G75" s="1"/>
      <c r="H75" s="1"/>
      <c r="I75" s="2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4.25" customHeight="1">
      <c r="A76" s="1"/>
      <c r="B76" s="1"/>
      <c r="C76" s="1"/>
      <c r="D76" s="1"/>
      <c r="E76" s="1"/>
      <c r="F76" s="1"/>
      <c r="G76" s="1"/>
      <c r="H76" s="1"/>
      <c r="I76" s="2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4.25" customHeight="1">
      <c r="A77" s="1"/>
      <c r="B77" s="1"/>
      <c r="C77" s="1"/>
      <c r="D77" s="1"/>
      <c r="E77" s="1"/>
      <c r="F77" s="1"/>
      <c r="G77" s="1"/>
      <c r="H77" s="1"/>
      <c r="I77" s="2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4.25" customHeight="1">
      <c r="A78" s="1"/>
      <c r="B78" s="1"/>
      <c r="C78" s="1"/>
      <c r="D78" s="1"/>
      <c r="E78" s="1"/>
      <c r="F78" s="1"/>
      <c r="G78" s="1"/>
      <c r="H78" s="1"/>
      <c r="I78" s="2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4.25" customHeight="1">
      <c r="A79" s="1"/>
      <c r="B79" s="1"/>
      <c r="C79" s="1"/>
      <c r="D79" s="1"/>
      <c r="E79" s="1"/>
      <c r="F79" s="1"/>
      <c r="G79" s="1"/>
      <c r="H79" s="1"/>
      <c r="I79" s="2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4.25" customHeight="1">
      <c r="A80" s="1"/>
      <c r="B80" s="1"/>
      <c r="C80" s="1"/>
      <c r="D80" s="1"/>
      <c r="E80" s="1"/>
      <c r="F80" s="1"/>
      <c r="G80" s="1"/>
      <c r="H80" s="1"/>
      <c r="I80" s="2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4.25" customHeight="1">
      <c r="A81" s="1"/>
      <c r="B81" s="1"/>
      <c r="C81" s="1"/>
      <c r="D81" s="1"/>
      <c r="E81" s="1"/>
      <c r="F81" s="1"/>
      <c r="G81" s="1"/>
      <c r="H81" s="1"/>
      <c r="I81" s="2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4.25" customHeight="1">
      <c r="A82" s="1"/>
      <c r="B82" s="1"/>
      <c r="C82" s="1"/>
      <c r="D82" s="1"/>
      <c r="E82" s="1"/>
      <c r="F82" s="1"/>
      <c r="G82" s="1"/>
      <c r="H82" s="1"/>
      <c r="I82" s="2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4.25" customHeight="1">
      <c r="A83" s="1"/>
      <c r="B83" s="1"/>
      <c r="C83" s="1"/>
      <c r="D83" s="1"/>
      <c r="E83" s="1"/>
      <c r="F83" s="1"/>
      <c r="G83" s="1"/>
      <c r="H83" s="1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4.25" customHeight="1">
      <c r="A84" s="1"/>
      <c r="B84" s="1"/>
      <c r="C84" s="1"/>
      <c r="D84" s="1"/>
      <c r="E84" s="1"/>
      <c r="F84" s="1"/>
      <c r="G84" s="1"/>
      <c r="H84" s="1"/>
      <c r="I84" s="2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4.25" customHeight="1">
      <c r="A85" s="1"/>
      <c r="B85" s="1"/>
      <c r="C85" s="1"/>
      <c r="D85" s="1"/>
      <c r="E85" s="1"/>
      <c r="F85" s="1"/>
      <c r="G85" s="1"/>
      <c r="H85" s="1"/>
      <c r="I85" s="2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4.25" customHeight="1">
      <c r="A86" s="1"/>
      <c r="B86" s="1"/>
      <c r="C86" s="1"/>
      <c r="D86" s="1"/>
      <c r="E86" s="1"/>
      <c r="F86" s="1"/>
      <c r="G86" s="1"/>
      <c r="H86" s="1"/>
      <c r="I86" s="2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4.25" customHeight="1">
      <c r="A87" s="1"/>
      <c r="B87" s="1"/>
      <c r="C87" s="1"/>
      <c r="D87" s="1"/>
      <c r="E87" s="1"/>
      <c r="F87" s="1"/>
      <c r="G87" s="1"/>
      <c r="H87" s="1"/>
      <c r="I87" s="2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4.25" customHeight="1">
      <c r="A88" s="1"/>
      <c r="B88" s="1"/>
      <c r="C88" s="1"/>
      <c r="D88" s="1"/>
      <c r="E88" s="1"/>
      <c r="F88" s="1"/>
      <c r="G88" s="1"/>
      <c r="H88" s="1"/>
      <c r="I88" s="2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4.25" customHeight="1">
      <c r="A89" s="1"/>
      <c r="B89" s="1"/>
      <c r="C89" s="1"/>
      <c r="D89" s="1"/>
      <c r="E89" s="1"/>
      <c r="F89" s="1"/>
      <c r="G89" s="1"/>
      <c r="H89" s="1"/>
      <c r="I89" s="2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4.25" customHeight="1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4.25" customHeight="1">
      <c r="A91" s="1"/>
      <c r="B91" s="1"/>
      <c r="C91" s="1"/>
      <c r="D91" s="1"/>
      <c r="E91" s="1"/>
      <c r="F91" s="1"/>
      <c r="G91" s="1"/>
      <c r="H91" s="1"/>
      <c r="I91" s="2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4.25" customHeight="1">
      <c r="A92" s="1"/>
      <c r="B92" s="1"/>
      <c r="C92" s="1"/>
      <c r="D92" s="1"/>
      <c r="E92" s="1"/>
      <c r="F92" s="1"/>
      <c r="G92" s="1"/>
      <c r="H92" s="1"/>
      <c r="I92" s="2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4.25" customHeight="1">
      <c r="A93" s="1"/>
      <c r="B93" s="1"/>
      <c r="C93" s="1"/>
      <c r="D93" s="1"/>
      <c r="E93" s="1"/>
      <c r="F93" s="1"/>
      <c r="G93" s="1"/>
      <c r="H93" s="1"/>
      <c r="I93" s="2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4.25" customHeight="1">
      <c r="A94" s="1"/>
      <c r="B94" s="1"/>
      <c r="C94" s="1"/>
      <c r="D94" s="1"/>
      <c r="E94" s="1"/>
      <c r="F94" s="1"/>
      <c r="G94" s="1"/>
      <c r="H94" s="1"/>
      <c r="I94" s="2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4.25" customHeight="1">
      <c r="A95" s="1"/>
      <c r="B95" s="1"/>
      <c r="C95" s="1"/>
      <c r="D95" s="1"/>
      <c r="E95" s="1"/>
      <c r="F95" s="1"/>
      <c r="G95" s="1"/>
      <c r="H95" s="1"/>
      <c r="I95" s="2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4.25" customHeight="1">
      <c r="A96" s="1"/>
      <c r="B96" s="1"/>
      <c r="C96" s="1"/>
      <c r="D96" s="1"/>
      <c r="E96" s="1"/>
      <c r="F96" s="1"/>
      <c r="G96" s="1"/>
      <c r="H96" s="1"/>
      <c r="I96" s="2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4.25" customHeight="1">
      <c r="A97" s="1"/>
      <c r="B97" s="1"/>
      <c r="C97" s="1"/>
      <c r="D97" s="1"/>
      <c r="E97" s="1"/>
      <c r="F97" s="1"/>
      <c r="G97" s="1"/>
      <c r="H97" s="1"/>
      <c r="I97" s="2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4.25" customHeight="1">
      <c r="A98" s="1"/>
      <c r="B98" s="1"/>
      <c r="C98" s="1"/>
      <c r="D98" s="1"/>
      <c r="E98" s="1"/>
      <c r="F98" s="1"/>
      <c r="G98" s="1"/>
      <c r="H98" s="1"/>
      <c r="I98" s="2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4.25" customHeight="1">
      <c r="A99" s="3" t="s">
        <v>171</v>
      </c>
      <c r="B99" s="1"/>
      <c r="C99" s="1"/>
      <c r="D99" s="1"/>
      <c r="E99" s="1"/>
      <c r="F99" s="1"/>
      <c r="G99" s="1"/>
      <c r="H99" s="1"/>
      <c r="I99" s="2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4.25" customHeight="1">
      <c r="A100" s="1"/>
      <c r="B100" s="1"/>
      <c r="C100" s="1"/>
      <c r="D100" s="1"/>
      <c r="E100" s="1"/>
      <c r="F100" s="1"/>
      <c r="G100" s="1"/>
      <c r="H100" s="1"/>
      <c r="I100" s="2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4.25" customHeight="1">
      <c r="A101" s="1"/>
      <c r="B101" s="1"/>
      <c r="C101" s="1"/>
      <c r="D101" s="1"/>
      <c r="E101" s="1"/>
      <c r="F101" s="1"/>
      <c r="G101" s="1"/>
      <c r="H101" s="1"/>
      <c r="I101" s="2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4.25" customHeight="1">
      <c r="A102" s="1"/>
      <c r="B102" s="1"/>
      <c r="C102" s="1"/>
      <c r="D102" s="1"/>
      <c r="E102" s="1"/>
      <c r="F102" s="1"/>
      <c r="G102" s="1"/>
      <c r="H102" s="1"/>
      <c r="I102" s="2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4.25" customHeight="1">
      <c r="A103" s="1"/>
      <c r="B103" s="1"/>
      <c r="C103" s="1"/>
      <c r="D103" s="1"/>
      <c r="E103" s="1"/>
      <c r="F103" s="1"/>
      <c r="G103" s="1"/>
      <c r="H103" s="1"/>
      <c r="I103" s="2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4.25" customHeight="1">
      <c r="A104" s="1"/>
      <c r="B104" s="1"/>
      <c r="C104" s="1"/>
      <c r="D104" s="1"/>
      <c r="E104" s="1"/>
      <c r="F104" s="1"/>
      <c r="G104" s="1"/>
      <c r="H104" s="1"/>
      <c r="I104" s="2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4.25" customHeight="1">
      <c r="A105" s="1"/>
      <c r="B105" s="1"/>
      <c r="C105" s="1"/>
      <c r="D105" s="1"/>
      <c r="E105" s="1"/>
      <c r="F105" s="1"/>
      <c r="G105" s="1"/>
      <c r="H105" s="1"/>
      <c r="I105" s="2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4.25" customHeight="1">
      <c r="A106" s="1"/>
      <c r="B106" s="1"/>
      <c r="C106" s="1"/>
      <c r="D106" s="1"/>
      <c r="E106" s="1"/>
      <c r="F106" s="1"/>
      <c r="G106" s="1"/>
      <c r="H106" s="1"/>
      <c r="I106" s="2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4.25" customHeight="1">
      <c r="A107" s="1"/>
      <c r="B107" s="1"/>
      <c r="C107" s="1"/>
      <c r="D107" s="1"/>
      <c r="E107" s="1"/>
      <c r="F107" s="1"/>
      <c r="G107" s="1"/>
      <c r="H107" s="1"/>
      <c r="I107" s="2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4.25" customHeight="1">
      <c r="A108" s="1"/>
      <c r="B108" s="1"/>
      <c r="C108" s="1"/>
      <c r="D108" s="1"/>
      <c r="E108" s="1"/>
      <c r="F108" s="1"/>
      <c r="G108" s="1"/>
      <c r="H108" s="1"/>
      <c r="I108" s="2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4.25" customHeight="1">
      <c r="A109" s="1"/>
      <c r="B109" s="1"/>
      <c r="C109" s="1"/>
      <c r="D109" s="1"/>
      <c r="E109" s="1"/>
      <c r="F109" s="1"/>
      <c r="G109" s="1"/>
      <c r="H109" s="1"/>
      <c r="I109" s="2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4.25" customHeight="1">
      <c r="A110" s="1"/>
      <c r="B110" s="1"/>
      <c r="C110" s="1"/>
      <c r="D110" s="1"/>
      <c r="E110" s="1"/>
      <c r="F110" s="1"/>
      <c r="G110" s="1"/>
      <c r="H110" s="1"/>
      <c r="I110" s="2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4.25" customHeight="1">
      <c r="A111" s="1"/>
      <c r="B111" s="1"/>
      <c r="C111" s="1"/>
      <c r="D111" s="1"/>
      <c r="E111" s="1"/>
      <c r="F111" s="1"/>
      <c r="G111" s="1"/>
      <c r="H111" s="1"/>
      <c r="I111" s="2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4.25" customHeight="1">
      <c r="A112" s="1"/>
      <c r="B112" s="1"/>
      <c r="C112" s="1"/>
      <c r="D112" s="1"/>
      <c r="E112" s="1"/>
      <c r="F112" s="1"/>
      <c r="G112" s="1"/>
      <c r="H112" s="1"/>
      <c r="I112" s="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4.25" customHeight="1">
      <c r="A113" s="1"/>
      <c r="B113" s="1"/>
      <c r="C113" s="1"/>
      <c r="D113" s="1"/>
      <c r="E113" s="1"/>
      <c r="F113" s="1"/>
      <c r="G113" s="1"/>
      <c r="H113" s="1"/>
      <c r="I113" s="2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4.25" customHeight="1">
      <c r="A114" s="1"/>
      <c r="B114" s="1"/>
      <c r="C114" s="1"/>
      <c r="D114" s="1"/>
      <c r="E114" s="1"/>
      <c r="F114" s="1"/>
      <c r="G114" s="1"/>
      <c r="H114" s="1"/>
      <c r="I114" s="2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4.25" customHeight="1">
      <c r="A115" s="1"/>
      <c r="B115" s="1"/>
      <c r="C115" s="1"/>
      <c r="D115" s="1"/>
      <c r="E115" s="1"/>
      <c r="F115" s="1"/>
      <c r="G115" s="1"/>
      <c r="H115" s="1"/>
      <c r="I115" s="2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4.25" customHeight="1">
      <c r="A116" s="1"/>
      <c r="B116" s="1"/>
      <c r="C116" s="1"/>
      <c r="D116" s="1"/>
      <c r="E116" s="1"/>
      <c r="F116" s="1"/>
      <c r="G116" s="1"/>
      <c r="H116" s="1"/>
      <c r="I116" s="2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4.25" customHeight="1">
      <c r="A117" s="1"/>
      <c r="B117" s="1"/>
      <c r="C117" s="1"/>
      <c r="D117" s="1"/>
      <c r="E117" s="1"/>
      <c r="F117" s="1"/>
      <c r="G117" s="1"/>
      <c r="H117" s="1"/>
      <c r="I117" s="2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4.25" customHeight="1">
      <c r="A118" s="1"/>
      <c r="B118" s="1"/>
      <c r="C118" s="1"/>
      <c r="D118" s="1"/>
      <c r="E118" s="1"/>
      <c r="F118" s="1"/>
      <c r="G118" s="1"/>
      <c r="H118" s="1"/>
      <c r="I118" s="2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4.25" customHeight="1">
      <c r="A119" s="1"/>
      <c r="B119" s="1"/>
      <c r="C119" s="1"/>
      <c r="D119" s="1"/>
      <c r="E119" s="1"/>
      <c r="F119" s="1"/>
      <c r="G119" s="1"/>
      <c r="H119" s="1"/>
      <c r="I119" s="2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4.25" customHeight="1">
      <c r="A120" s="1"/>
      <c r="B120" s="1"/>
      <c r="C120" s="1"/>
      <c r="D120" s="1"/>
      <c r="E120" s="1"/>
      <c r="F120" s="1"/>
      <c r="G120" s="1"/>
      <c r="H120" s="1"/>
      <c r="I120" s="2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4.25" customHeight="1">
      <c r="A121" s="1"/>
      <c r="B121" s="1"/>
      <c r="C121" s="1"/>
      <c r="D121" s="1"/>
      <c r="E121" s="1"/>
      <c r="F121" s="1"/>
      <c r="G121" s="1"/>
      <c r="H121" s="1"/>
      <c r="I121" s="2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4.25" customHeight="1">
      <c r="A122" s="1"/>
      <c r="B122" s="1"/>
      <c r="C122" s="1"/>
      <c r="D122" s="1"/>
      <c r="E122" s="1"/>
      <c r="F122" s="1"/>
      <c r="G122" s="1"/>
      <c r="H122" s="1"/>
      <c r="I122" s="2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4.25" customHeight="1">
      <c r="A123" s="1"/>
      <c r="B123" s="1"/>
      <c r="C123" s="1"/>
      <c r="D123" s="1"/>
      <c r="E123" s="1"/>
      <c r="F123" s="1"/>
      <c r="G123" s="1"/>
      <c r="H123" s="1"/>
      <c r="I123" s="2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4.25" customHeight="1">
      <c r="A124" s="3" t="s">
        <v>172</v>
      </c>
      <c r="B124" s="1"/>
      <c r="C124" s="1"/>
      <c r="D124" s="1"/>
      <c r="E124" s="1"/>
      <c r="F124" s="1"/>
      <c r="G124" s="1"/>
      <c r="H124" s="1"/>
      <c r="I124" s="2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4.25" customHeight="1">
      <c r="A125" s="1"/>
      <c r="B125" s="1"/>
      <c r="C125" s="1"/>
      <c r="D125" s="1"/>
      <c r="E125" s="1"/>
      <c r="F125" s="1"/>
      <c r="G125" s="1"/>
      <c r="H125" s="1"/>
      <c r="I125" s="2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4.25" customHeight="1">
      <c r="A126" s="1"/>
      <c r="B126" s="1"/>
      <c r="C126" s="1"/>
      <c r="D126" s="1"/>
      <c r="E126" s="1"/>
      <c r="F126" s="1"/>
      <c r="G126" s="1"/>
      <c r="H126" s="1"/>
      <c r="I126" s="2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4.25" customHeight="1">
      <c r="A127" s="1"/>
      <c r="B127" s="1"/>
      <c r="C127" s="1"/>
      <c r="D127" s="1"/>
      <c r="E127" s="1"/>
      <c r="F127" s="1"/>
      <c r="G127" s="1"/>
      <c r="H127" s="1"/>
      <c r="I127" s="2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4.25" customHeight="1">
      <c r="A128" s="1"/>
      <c r="B128" s="1"/>
      <c r="C128" s="1"/>
      <c r="D128" s="1"/>
      <c r="E128" s="1"/>
      <c r="F128" s="1"/>
      <c r="G128" s="1"/>
      <c r="H128" s="1"/>
      <c r="I128" s="2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4.25" customHeight="1">
      <c r="A129" s="1"/>
      <c r="B129" s="1"/>
      <c r="C129" s="1"/>
      <c r="D129" s="1"/>
      <c r="E129" s="1"/>
      <c r="F129" s="1"/>
      <c r="G129" s="1"/>
      <c r="H129" s="1"/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4.25" customHeight="1">
      <c r="A130" s="1"/>
      <c r="B130" s="1"/>
      <c r="C130" s="1"/>
      <c r="D130" s="1"/>
      <c r="E130" s="1"/>
      <c r="F130" s="1"/>
      <c r="G130" s="1"/>
      <c r="H130" s="1"/>
      <c r="I130" s="2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4.25" customHeight="1">
      <c r="A131" s="1"/>
      <c r="B131" s="1"/>
      <c r="C131" s="1"/>
      <c r="D131" s="1"/>
      <c r="E131" s="1"/>
      <c r="F131" s="1"/>
      <c r="G131" s="1"/>
      <c r="H131" s="1"/>
      <c r="I131" s="2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4.25" customHeight="1">
      <c r="A132" s="1"/>
      <c r="B132" s="1"/>
      <c r="C132" s="1"/>
      <c r="D132" s="1"/>
      <c r="E132" s="1"/>
      <c r="F132" s="1"/>
      <c r="G132" s="1"/>
      <c r="H132" s="1"/>
      <c r="I132" s="2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4.25" customHeight="1">
      <c r="A133" s="1"/>
      <c r="B133" s="1"/>
      <c r="C133" s="1"/>
      <c r="D133" s="1"/>
      <c r="E133" s="1"/>
      <c r="F133" s="1"/>
      <c r="G133" s="1"/>
      <c r="H133" s="1"/>
      <c r="I133" s="2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4.25" customHeight="1">
      <c r="A134" s="1"/>
      <c r="B134" s="1"/>
      <c r="C134" s="1"/>
      <c r="D134" s="1"/>
      <c r="E134" s="1"/>
      <c r="F134" s="1"/>
      <c r="G134" s="1"/>
      <c r="H134" s="1"/>
      <c r="I134" s="2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4.25" customHeight="1">
      <c r="A135" s="1"/>
      <c r="B135" s="1"/>
      <c r="C135" s="1"/>
      <c r="D135" s="1"/>
      <c r="E135" s="1"/>
      <c r="F135" s="1"/>
      <c r="G135" s="1"/>
      <c r="H135" s="1"/>
      <c r="I135" s="2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4.25" customHeight="1">
      <c r="A136" s="1"/>
      <c r="B136" s="1"/>
      <c r="C136" s="1"/>
      <c r="D136" s="1"/>
      <c r="E136" s="1"/>
      <c r="F136" s="1"/>
      <c r="G136" s="1"/>
      <c r="H136" s="1"/>
      <c r="I136" s="2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4.25" customHeight="1">
      <c r="A137" s="1"/>
      <c r="B137" s="1"/>
      <c r="C137" s="1"/>
      <c r="D137" s="1"/>
      <c r="E137" s="1"/>
      <c r="F137" s="1"/>
      <c r="G137" s="1"/>
      <c r="H137" s="1"/>
      <c r="I137" s="2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4.25" customHeight="1">
      <c r="A138" s="1"/>
      <c r="B138" s="1"/>
      <c r="C138" s="1"/>
      <c r="D138" s="1"/>
      <c r="E138" s="1"/>
      <c r="F138" s="1"/>
      <c r="G138" s="1"/>
      <c r="H138" s="1"/>
      <c r="I138" s="2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4.25" customHeight="1">
      <c r="A139" s="1"/>
      <c r="B139" s="1"/>
      <c r="C139" s="1"/>
      <c r="D139" s="1"/>
      <c r="E139" s="1"/>
      <c r="F139" s="1"/>
      <c r="G139" s="1"/>
      <c r="H139" s="1"/>
      <c r="I139" s="2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4.25" customHeight="1">
      <c r="A140" s="1"/>
      <c r="B140" s="1"/>
      <c r="C140" s="1"/>
      <c r="D140" s="1"/>
      <c r="E140" s="1"/>
      <c r="F140" s="1"/>
      <c r="G140" s="1"/>
      <c r="H140" s="1"/>
      <c r="I140" s="2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4.25" customHeight="1">
      <c r="A141" s="1"/>
      <c r="B141" s="1"/>
      <c r="C141" s="1"/>
      <c r="D141" s="1"/>
      <c r="E141" s="1"/>
      <c r="F141" s="1"/>
      <c r="G141" s="1"/>
      <c r="H141" s="1"/>
      <c r="I141" s="2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4.25" customHeight="1">
      <c r="A142" s="79" t="s">
        <v>173</v>
      </c>
      <c r="B142" s="1"/>
      <c r="C142" s="1"/>
      <c r="D142" s="1"/>
      <c r="E142" s="1"/>
      <c r="F142" s="1"/>
      <c r="G142" s="1"/>
      <c r="H142" s="1"/>
      <c r="I142" s="2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4.25" customHeight="1">
      <c r="A143" s="1"/>
      <c r="B143" s="1"/>
      <c r="C143" s="1"/>
      <c r="D143" s="1"/>
      <c r="E143" s="1"/>
      <c r="F143" s="1"/>
      <c r="G143" s="1"/>
      <c r="H143" s="1"/>
      <c r="I143" s="2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4.25" customHeight="1">
      <c r="A144" s="1"/>
      <c r="B144" s="1"/>
      <c r="C144" s="1"/>
      <c r="D144" s="1"/>
      <c r="E144" s="1"/>
      <c r="F144" s="1"/>
      <c r="G144" s="1"/>
      <c r="H144" s="1"/>
      <c r="I144" s="2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4.25" customHeight="1">
      <c r="A145" s="1"/>
      <c r="B145" s="1"/>
      <c r="C145" s="1"/>
      <c r="D145" s="1"/>
      <c r="E145" s="1"/>
      <c r="F145" s="1"/>
      <c r="G145" s="1"/>
      <c r="H145" s="1"/>
      <c r="I145" s="2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4.25" customHeight="1">
      <c r="A146" s="1"/>
      <c r="B146" s="1"/>
      <c r="C146" s="1"/>
      <c r="D146" s="1"/>
      <c r="E146" s="1"/>
      <c r="F146" s="1"/>
      <c r="G146" s="1"/>
      <c r="H146" s="1"/>
      <c r="I146" s="2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4.25" customHeight="1">
      <c r="A147" s="1"/>
      <c r="B147" s="1"/>
      <c r="C147" s="1"/>
      <c r="D147" s="1"/>
      <c r="E147" s="1"/>
      <c r="F147" s="1"/>
      <c r="G147" s="1"/>
      <c r="H147" s="1"/>
      <c r="I147" s="2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4.25" customHeight="1">
      <c r="A148" s="1"/>
      <c r="B148" s="1"/>
      <c r="C148" s="1"/>
      <c r="D148" s="1"/>
      <c r="E148" s="1"/>
      <c r="F148" s="1"/>
      <c r="G148" s="1"/>
      <c r="H148" s="1"/>
      <c r="I148" s="2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4.25" customHeight="1">
      <c r="A149" s="1"/>
      <c r="B149" s="1"/>
      <c r="C149" s="1"/>
      <c r="D149" s="1"/>
      <c r="E149" s="1"/>
      <c r="F149" s="1"/>
      <c r="G149" s="1"/>
      <c r="H149" s="1"/>
      <c r="I149" s="2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4.25" customHeight="1">
      <c r="A150" s="1"/>
      <c r="B150" s="1"/>
      <c r="C150" s="1"/>
      <c r="D150" s="1"/>
      <c r="E150" s="1"/>
      <c r="F150" s="1"/>
      <c r="G150" s="1"/>
      <c r="H150" s="1"/>
      <c r="I150" s="2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4.25" customHeight="1">
      <c r="A151" s="1"/>
      <c r="B151" s="1"/>
      <c r="C151" s="1"/>
      <c r="D151" s="1"/>
      <c r="E151" s="1"/>
      <c r="F151" s="1"/>
      <c r="G151" s="1"/>
      <c r="H151" s="1"/>
      <c r="I151" s="2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4.25" customHeight="1">
      <c r="A152" s="1"/>
      <c r="B152" s="1"/>
      <c r="C152" s="1"/>
      <c r="D152" s="1"/>
      <c r="E152" s="1"/>
      <c r="F152" s="1"/>
      <c r="G152" s="1"/>
      <c r="H152" s="1"/>
      <c r="I152" s="2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4.25" customHeight="1">
      <c r="A153" s="1"/>
      <c r="B153" s="1"/>
      <c r="C153" s="1"/>
      <c r="D153" s="1"/>
      <c r="E153" s="1"/>
      <c r="F153" s="1"/>
      <c r="G153" s="1"/>
      <c r="H153" s="1"/>
      <c r="I153" s="2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4.25" customHeight="1">
      <c r="A154" s="1"/>
      <c r="B154" s="1"/>
      <c r="C154" s="1"/>
      <c r="D154" s="1"/>
      <c r="E154" s="1"/>
      <c r="F154" s="1"/>
      <c r="G154" s="1"/>
      <c r="H154" s="1"/>
      <c r="I154" s="2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4.25" customHeight="1">
      <c r="A155" s="79" t="s">
        <v>174</v>
      </c>
      <c r="B155" s="1"/>
      <c r="C155" s="1"/>
      <c r="D155" s="1"/>
      <c r="E155" s="1"/>
      <c r="F155" s="1"/>
      <c r="G155" s="1"/>
      <c r="H155" s="1"/>
      <c r="I155" s="2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4.25" customHeight="1">
      <c r="A156" s="1"/>
      <c r="B156" s="1"/>
      <c r="C156" s="1"/>
      <c r="D156" s="1"/>
      <c r="E156" s="1"/>
      <c r="F156" s="1"/>
      <c r="G156" s="1"/>
      <c r="H156" s="1"/>
      <c r="I156" s="2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4.25" customHeight="1">
      <c r="A157" s="1"/>
      <c r="B157" s="1"/>
      <c r="C157" s="1"/>
      <c r="D157" s="1"/>
      <c r="E157" s="1"/>
      <c r="F157" s="1"/>
      <c r="G157" s="1"/>
      <c r="H157" s="1"/>
      <c r="I157" s="2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4.25" customHeight="1">
      <c r="A158" s="1"/>
      <c r="B158" s="1"/>
      <c r="C158" s="1"/>
      <c r="D158" s="1"/>
      <c r="E158" s="1"/>
      <c r="F158" s="1"/>
      <c r="G158" s="1"/>
      <c r="H158" s="1"/>
      <c r="I158" s="2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4.25" customHeight="1">
      <c r="A159" s="1"/>
      <c r="B159" s="1"/>
      <c r="C159" s="1"/>
      <c r="D159" s="1"/>
      <c r="E159" s="1"/>
      <c r="F159" s="1"/>
      <c r="G159" s="1"/>
      <c r="H159" s="1"/>
      <c r="I159" s="2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4.25" customHeight="1">
      <c r="A160" s="1"/>
      <c r="B160" s="1"/>
      <c r="C160" s="1"/>
      <c r="D160" s="1"/>
      <c r="E160" s="1"/>
      <c r="F160" s="1"/>
      <c r="G160" s="1"/>
      <c r="H160" s="1"/>
      <c r="I160" s="2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4.25" customHeight="1">
      <c r="A161" s="1"/>
      <c r="B161" s="1"/>
      <c r="C161" s="1"/>
      <c r="D161" s="1"/>
      <c r="E161" s="1"/>
      <c r="F161" s="1"/>
      <c r="G161" s="1"/>
      <c r="H161" s="1"/>
      <c r="I161" s="2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4.25" customHeight="1">
      <c r="A162" s="1"/>
      <c r="B162" s="1"/>
      <c r="C162" s="1"/>
      <c r="D162" s="1"/>
      <c r="E162" s="1"/>
      <c r="F162" s="1"/>
      <c r="G162" s="1"/>
      <c r="H162" s="1"/>
      <c r="I162" s="2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4.25" customHeight="1">
      <c r="A163" s="1"/>
      <c r="B163" s="1"/>
      <c r="C163" s="1"/>
      <c r="D163" s="1"/>
      <c r="E163" s="1"/>
      <c r="F163" s="1"/>
      <c r="G163" s="1"/>
      <c r="H163" s="1"/>
      <c r="I163" s="2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4.25" customHeight="1">
      <c r="A164" s="1"/>
      <c r="B164" s="1"/>
      <c r="C164" s="1"/>
      <c r="D164" s="1"/>
      <c r="E164" s="1"/>
      <c r="F164" s="1"/>
      <c r="G164" s="1"/>
      <c r="H164" s="1"/>
      <c r="I164" s="2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4.25" customHeight="1">
      <c r="A165" s="1"/>
      <c r="B165" s="1"/>
      <c r="C165" s="1"/>
      <c r="D165" s="1"/>
      <c r="E165" s="1"/>
      <c r="F165" s="1"/>
      <c r="G165" s="1"/>
      <c r="H165" s="1"/>
      <c r="I165" s="2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4.25" customHeight="1">
      <c r="A166" s="1"/>
      <c r="B166" s="1"/>
      <c r="C166" s="1"/>
      <c r="D166" s="1"/>
      <c r="E166" s="1"/>
      <c r="F166" s="1"/>
      <c r="G166" s="1"/>
      <c r="H166" s="1"/>
      <c r="I166" s="2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4.25" customHeight="1">
      <c r="A167" s="1"/>
      <c r="B167" s="1"/>
      <c r="C167" s="1"/>
      <c r="D167" s="1"/>
      <c r="E167" s="1"/>
      <c r="F167" s="1"/>
      <c r="G167" s="1"/>
      <c r="H167" s="1"/>
      <c r="I167" s="2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4.25" customHeight="1">
      <c r="A168" s="1"/>
      <c r="B168" s="1"/>
      <c r="C168" s="1"/>
      <c r="D168" s="1"/>
      <c r="E168" s="1"/>
      <c r="F168" s="1"/>
      <c r="G168" s="1"/>
      <c r="H168" s="1"/>
      <c r="I168" s="2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4.25" customHeight="1">
      <c r="A169" s="1"/>
      <c r="B169" s="1"/>
      <c r="C169" s="1"/>
      <c r="D169" s="1"/>
      <c r="E169" s="1"/>
      <c r="F169" s="1"/>
      <c r="G169" s="1"/>
      <c r="H169" s="1"/>
      <c r="I169" s="2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4.25" customHeight="1">
      <c r="A170" s="1"/>
      <c r="B170" s="1"/>
      <c r="C170" s="1"/>
      <c r="D170" s="1"/>
      <c r="E170" s="1"/>
      <c r="F170" s="1"/>
      <c r="G170" s="1"/>
      <c r="H170" s="1"/>
      <c r="I170" s="2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4.25" customHeight="1">
      <c r="A171" s="1"/>
      <c r="B171" s="1"/>
      <c r="C171" s="1"/>
      <c r="D171" s="1"/>
      <c r="E171" s="1"/>
      <c r="F171" s="1"/>
      <c r="G171" s="1"/>
      <c r="H171" s="1"/>
      <c r="I171" s="2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4.25" customHeight="1">
      <c r="A172" s="1"/>
      <c r="B172" s="1"/>
      <c r="C172" s="1"/>
      <c r="D172" s="1"/>
      <c r="E172" s="1"/>
      <c r="F172" s="1"/>
      <c r="G172" s="1"/>
      <c r="H172" s="1"/>
      <c r="I172" s="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4.25" customHeight="1">
      <c r="A173" s="79" t="s">
        <v>175</v>
      </c>
      <c r="B173" s="1"/>
      <c r="C173" s="1"/>
      <c r="D173" s="1"/>
      <c r="E173" s="1"/>
      <c r="F173" s="1"/>
      <c r="G173" s="1"/>
      <c r="H173" s="1"/>
      <c r="I173" s="2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4.25" customHeight="1">
      <c r="A174" s="1"/>
      <c r="B174" s="1"/>
      <c r="C174" s="1"/>
      <c r="D174" s="1"/>
      <c r="E174" s="1"/>
      <c r="F174" s="1"/>
      <c r="G174" s="1"/>
      <c r="H174" s="1"/>
      <c r="I174" s="2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4.25" customHeight="1">
      <c r="A175" s="1"/>
      <c r="B175" s="1"/>
      <c r="C175" s="1"/>
      <c r="D175" s="1"/>
      <c r="E175" s="1"/>
      <c r="F175" s="1"/>
      <c r="G175" s="1"/>
      <c r="H175" s="1"/>
      <c r="I175" s="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4.25" customHeight="1">
      <c r="A176" s="1"/>
      <c r="B176" s="1"/>
      <c r="C176" s="1"/>
      <c r="D176" s="1"/>
      <c r="E176" s="1"/>
      <c r="F176" s="1"/>
      <c r="G176" s="1"/>
      <c r="H176" s="1"/>
      <c r="I176" s="2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4.25" customHeight="1">
      <c r="A177" s="1"/>
      <c r="B177" s="1"/>
      <c r="C177" s="1"/>
      <c r="D177" s="1"/>
      <c r="E177" s="1"/>
      <c r="F177" s="1"/>
      <c r="G177" s="1"/>
      <c r="H177" s="1"/>
      <c r="I177" s="2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4.25" customHeight="1">
      <c r="A178" s="1"/>
      <c r="B178" s="1"/>
      <c r="C178" s="1"/>
      <c r="D178" s="1"/>
      <c r="E178" s="1"/>
      <c r="F178" s="1"/>
      <c r="G178" s="1"/>
      <c r="H178" s="1"/>
      <c r="I178" s="2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4.25" customHeight="1">
      <c r="A179" s="1"/>
      <c r="B179" s="1"/>
      <c r="C179" s="1"/>
      <c r="D179" s="1"/>
      <c r="E179" s="1"/>
      <c r="F179" s="1"/>
      <c r="G179" s="1"/>
      <c r="H179" s="1"/>
      <c r="I179" s="2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4.25" customHeight="1">
      <c r="A180" s="1"/>
      <c r="B180" s="1"/>
      <c r="C180" s="1"/>
      <c r="D180" s="1"/>
      <c r="E180" s="1"/>
      <c r="F180" s="1"/>
      <c r="G180" s="1"/>
      <c r="H180" s="1"/>
      <c r="I180" s="2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4.25" customHeight="1">
      <c r="A181" s="1"/>
      <c r="B181" s="1"/>
      <c r="C181" s="1"/>
      <c r="D181" s="1"/>
      <c r="E181" s="1"/>
      <c r="F181" s="1"/>
      <c r="G181" s="1"/>
      <c r="H181" s="1"/>
      <c r="I181" s="2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4.25" customHeight="1">
      <c r="A182" s="1"/>
      <c r="B182" s="1"/>
      <c r="C182" s="1"/>
      <c r="D182" s="1"/>
      <c r="E182" s="1"/>
      <c r="F182" s="1"/>
      <c r="G182" s="1"/>
      <c r="H182" s="1"/>
      <c r="I182" s="2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4.25" customHeight="1">
      <c r="A183" s="1"/>
      <c r="B183" s="1"/>
      <c r="C183" s="1"/>
      <c r="D183" s="1"/>
      <c r="E183" s="1"/>
      <c r="F183" s="1"/>
      <c r="G183" s="1"/>
      <c r="H183" s="1"/>
      <c r="I183" s="2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4.25" customHeight="1">
      <c r="A184" s="1"/>
      <c r="B184" s="1"/>
      <c r="C184" s="1"/>
      <c r="D184" s="1"/>
      <c r="E184" s="1"/>
      <c r="F184" s="1"/>
      <c r="G184" s="1"/>
      <c r="H184" s="1"/>
      <c r="I184" s="2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4.25" customHeight="1">
      <c r="A185" s="1"/>
      <c r="B185" s="1"/>
      <c r="C185" s="1"/>
      <c r="D185" s="1"/>
      <c r="E185" s="1"/>
      <c r="F185" s="1"/>
      <c r="G185" s="1"/>
      <c r="H185" s="1"/>
      <c r="I185" s="2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4.25" customHeight="1">
      <c r="A186" s="1"/>
      <c r="B186" s="1"/>
      <c r="C186" s="1"/>
      <c r="D186" s="1"/>
      <c r="E186" s="1"/>
      <c r="F186" s="1"/>
      <c r="G186" s="1"/>
      <c r="H186" s="1"/>
      <c r="I186" s="2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4.25" customHeight="1">
      <c r="A187" s="1"/>
      <c r="B187" s="1"/>
      <c r="C187" s="1"/>
      <c r="D187" s="1"/>
      <c r="E187" s="1"/>
      <c r="F187" s="1"/>
      <c r="G187" s="1"/>
      <c r="H187" s="1"/>
      <c r="I187" s="2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4.25" customHeight="1">
      <c r="A188" s="1"/>
      <c r="B188" s="1"/>
      <c r="C188" s="1"/>
      <c r="D188" s="1"/>
      <c r="E188" s="1"/>
      <c r="F188" s="1"/>
      <c r="G188" s="1"/>
      <c r="H188" s="1"/>
      <c r="I188" s="2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4.25" customHeight="1">
      <c r="A189" s="1"/>
      <c r="B189" s="1"/>
      <c r="C189" s="1"/>
      <c r="D189" s="1"/>
      <c r="E189" s="1"/>
      <c r="F189" s="1"/>
      <c r="G189" s="1"/>
      <c r="H189" s="1"/>
      <c r="I189" s="2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4.25" customHeight="1">
      <c r="A190" s="1"/>
      <c r="B190" s="1"/>
      <c r="C190" s="1"/>
      <c r="D190" s="1"/>
      <c r="E190" s="1"/>
      <c r="F190" s="1"/>
      <c r="G190" s="1"/>
      <c r="H190" s="1"/>
      <c r="I190" s="2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4.25" customHeight="1">
      <c r="A191" s="1"/>
      <c r="B191" s="1"/>
      <c r="C191" s="1"/>
      <c r="D191" s="1"/>
      <c r="E191" s="1"/>
      <c r="F191" s="1"/>
      <c r="G191" s="1"/>
      <c r="H191" s="1"/>
      <c r="I191" s="2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4.25" customHeight="1">
      <c r="A192" s="1"/>
      <c r="B192" s="1"/>
      <c r="C192" s="1"/>
      <c r="D192" s="1"/>
      <c r="E192" s="1"/>
      <c r="F192" s="1"/>
      <c r="G192" s="1"/>
      <c r="H192" s="1"/>
      <c r="I192" s="2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4.25" customHeight="1">
      <c r="A193" s="79" t="s">
        <v>176</v>
      </c>
      <c r="B193" s="1"/>
      <c r="C193" s="1"/>
      <c r="D193" s="1"/>
      <c r="E193" s="1"/>
      <c r="F193" s="1"/>
      <c r="G193" s="1"/>
      <c r="H193" s="1"/>
      <c r="I193" s="2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4.25" customHeight="1">
      <c r="A194" s="1"/>
      <c r="B194" s="1"/>
      <c r="C194" s="1"/>
      <c r="D194" s="1"/>
      <c r="E194" s="1"/>
      <c r="F194" s="1"/>
      <c r="G194" s="1"/>
      <c r="H194" s="1"/>
      <c r="I194" s="2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4.25" customHeight="1">
      <c r="A195" s="1"/>
      <c r="B195" s="1"/>
      <c r="C195" s="1"/>
      <c r="D195" s="1"/>
      <c r="E195" s="1"/>
      <c r="F195" s="1"/>
      <c r="G195" s="1"/>
      <c r="H195" s="1"/>
      <c r="I195" s="2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4.25" customHeight="1">
      <c r="A196" s="1"/>
      <c r="B196" s="1"/>
      <c r="C196" s="1"/>
      <c r="D196" s="1"/>
      <c r="E196" s="1"/>
      <c r="F196" s="1"/>
      <c r="G196" s="1"/>
      <c r="H196" s="1"/>
      <c r="I196" s="2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4.25" customHeight="1">
      <c r="A197" s="1"/>
      <c r="B197" s="1"/>
      <c r="C197" s="1"/>
      <c r="D197" s="1"/>
      <c r="E197" s="1"/>
      <c r="F197" s="1"/>
      <c r="G197" s="1"/>
      <c r="H197" s="1"/>
      <c r="I197" s="2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4.25" customHeight="1">
      <c r="A198" s="1"/>
      <c r="B198" s="1"/>
      <c r="C198" s="1"/>
      <c r="D198" s="1"/>
      <c r="E198" s="1"/>
      <c r="F198" s="1"/>
      <c r="G198" s="1"/>
      <c r="H198" s="1"/>
      <c r="I198" s="2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4.25" customHeight="1">
      <c r="A199" s="1"/>
      <c r="B199" s="1"/>
      <c r="C199" s="1"/>
      <c r="D199" s="1"/>
      <c r="E199" s="1"/>
      <c r="F199" s="1"/>
      <c r="G199" s="1"/>
      <c r="H199" s="1"/>
      <c r="I199" s="2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4.25" customHeight="1">
      <c r="A200" s="1"/>
      <c r="B200" s="1"/>
      <c r="C200" s="1"/>
      <c r="D200" s="1"/>
      <c r="E200" s="1"/>
      <c r="F200" s="1"/>
      <c r="G200" s="1"/>
      <c r="H200" s="1"/>
      <c r="I200" s="2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4.25" customHeight="1">
      <c r="A201" s="1"/>
      <c r="B201" s="1"/>
      <c r="C201" s="1"/>
      <c r="D201" s="1"/>
      <c r="E201" s="1"/>
      <c r="F201" s="1"/>
      <c r="G201" s="1"/>
      <c r="H201" s="1"/>
      <c r="I201" s="2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4.25" customHeight="1">
      <c r="A202" s="1"/>
      <c r="B202" s="1"/>
      <c r="C202" s="1"/>
      <c r="D202" s="1"/>
      <c r="E202" s="1"/>
      <c r="F202" s="1"/>
      <c r="G202" s="1"/>
      <c r="H202" s="1"/>
      <c r="I202" s="2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4.25" customHeight="1">
      <c r="A203" s="1"/>
      <c r="B203" s="1"/>
      <c r="C203" s="1"/>
      <c r="D203" s="1"/>
      <c r="E203" s="1"/>
      <c r="F203" s="1"/>
      <c r="G203" s="1"/>
      <c r="H203" s="1"/>
      <c r="I203" s="2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4.25" customHeight="1">
      <c r="A204" s="1"/>
      <c r="B204" s="1"/>
      <c r="C204" s="1"/>
      <c r="D204" s="1"/>
      <c r="E204" s="1"/>
      <c r="F204" s="1"/>
      <c r="G204" s="1"/>
      <c r="H204" s="1"/>
      <c r="I204" s="2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4.25" customHeight="1">
      <c r="A205" s="1"/>
      <c r="B205" s="1"/>
      <c r="C205" s="1"/>
      <c r="D205" s="1"/>
      <c r="E205" s="1"/>
      <c r="F205" s="1"/>
      <c r="G205" s="1"/>
      <c r="H205" s="1"/>
      <c r="I205" s="2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4.25" customHeight="1">
      <c r="A206" s="1"/>
      <c r="B206" s="1"/>
      <c r="C206" s="1"/>
      <c r="D206" s="1"/>
      <c r="E206" s="1"/>
      <c r="F206" s="1"/>
      <c r="G206" s="1"/>
      <c r="H206" s="1"/>
      <c r="I206" s="2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4.25" customHeight="1">
      <c r="A207" s="1"/>
      <c r="B207" s="1"/>
      <c r="C207" s="1"/>
      <c r="D207" s="1"/>
      <c r="E207" s="1"/>
      <c r="F207" s="1"/>
      <c r="G207" s="1"/>
      <c r="H207" s="1"/>
      <c r="I207" s="2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4.25" customHeight="1">
      <c r="A208" s="1"/>
      <c r="B208" s="1"/>
      <c r="C208" s="1"/>
      <c r="D208" s="1"/>
      <c r="E208" s="1"/>
      <c r="F208" s="1"/>
      <c r="G208" s="1"/>
      <c r="H208" s="1"/>
      <c r="I208" s="2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4.25" customHeight="1">
      <c r="A209" s="1"/>
      <c r="B209" s="1"/>
      <c r="C209" s="1"/>
      <c r="D209" s="1"/>
      <c r="E209" s="1"/>
      <c r="F209" s="1"/>
      <c r="G209" s="1"/>
      <c r="H209" s="1"/>
      <c r="I209" s="2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4.25" customHeight="1">
      <c r="A210" s="1"/>
      <c r="B210" s="1"/>
      <c r="C210" s="1"/>
      <c r="D210" s="1"/>
      <c r="E210" s="1"/>
      <c r="F210" s="1"/>
      <c r="G210" s="1"/>
      <c r="H210" s="1"/>
      <c r="I210" s="2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4.25" customHeight="1">
      <c r="A211" s="1"/>
      <c r="B211" s="1"/>
      <c r="C211" s="1"/>
      <c r="D211" s="1"/>
      <c r="E211" s="1"/>
      <c r="F211" s="1"/>
      <c r="G211" s="1"/>
      <c r="H211" s="1"/>
      <c r="I211" s="2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4.25" customHeight="1">
      <c r="A212" s="1"/>
      <c r="B212" s="1"/>
      <c r="C212" s="1"/>
      <c r="D212" s="1"/>
      <c r="E212" s="1"/>
      <c r="F212" s="1"/>
      <c r="G212" s="1"/>
      <c r="H212" s="1"/>
      <c r="I212" s="2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4.25" customHeight="1">
      <c r="A213" s="1"/>
      <c r="B213" s="1"/>
      <c r="C213" s="1"/>
      <c r="D213" s="1"/>
      <c r="E213" s="1"/>
      <c r="F213" s="1"/>
      <c r="G213" s="1"/>
      <c r="H213" s="1"/>
      <c r="I213" s="2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4.25" customHeight="1">
      <c r="A214" s="1"/>
      <c r="B214" s="1"/>
      <c r="C214" s="1"/>
      <c r="D214" s="1"/>
      <c r="E214" s="1"/>
      <c r="F214" s="1"/>
      <c r="G214" s="1"/>
      <c r="H214" s="1"/>
      <c r="I214" s="2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4.25" customHeight="1">
      <c r="A215" s="1"/>
      <c r="B215" s="1"/>
      <c r="C215" s="1"/>
      <c r="D215" s="1"/>
      <c r="E215" s="1"/>
      <c r="F215" s="1"/>
      <c r="G215" s="1"/>
      <c r="H215" s="1"/>
      <c r="I215" s="2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4.25" customHeight="1">
      <c r="A216" s="1"/>
      <c r="B216" s="1"/>
      <c r="C216" s="1"/>
      <c r="D216" s="1"/>
      <c r="E216" s="1"/>
      <c r="F216" s="1"/>
      <c r="G216" s="1"/>
      <c r="H216" s="1"/>
      <c r="I216" s="2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4.25" customHeight="1">
      <c r="A217" s="1"/>
      <c r="B217" s="1"/>
      <c r="C217" s="1"/>
      <c r="D217" s="1"/>
      <c r="E217" s="1"/>
      <c r="F217" s="1"/>
      <c r="G217" s="1"/>
      <c r="H217" s="1"/>
      <c r="I217" s="2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4.25" customHeight="1">
      <c r="A218" s="1"/>
      <c r="B218" s="1"/>
      <c r="C218" s="1"/>
      <c r="D218" s="1"/>
      <c r="E218" s="1"/>
      <c r="F218" s="1"/>
      <c r="G218" s="1"/>
      <c r="H218" s="1"/>
      <c r="I218" s="2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4.25" customHeight="1">
      <c r="A219" s="1"/>
      <c r="B219" s="1"/>
      <c r="C219" s="1"/>
      <c r="D219" s="1"/>
      <c r="E219" s="1"/>
      <c r="F219" s="1"/>
      <c r="G219" s="1"/>
      <c r="H219" s="1"/>
      <c r="I219" s="2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4.25" customHeight="1">
      <c r="A220" s="1"/>
      <c r="B220" s="1"/>
      <c r="C220" s="1"/>
      <c r="D220" s="1"/>
      <c r="E220" s="1"/>
      <c r="F220" s="1"/>
      <c r="G220" s="1"/>
      <c r="H220" s="1"/>
      <c r="I220" s="2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4.25" customHeight="1">
      <c r="A221" s="79" t="s">
        <v>177</v>
      </c>
      <c r="B221" s="1"/>
      <c r="C221" s="1"/>
      <c r="D221" s="1"/>
      <c r="E221" s="1"/>
      <c r="F221" s="1"/>
      <c r="G221" s="1"/>
      <c r="H221" s="1"/>
      <c r="I221" s="2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4.25" customHeight="1">
      <c r="A222" s="1"/>
      <c r="B222" s="1"/>
      <c r="C222" s="1"/>
      <c r="D222" s="1"/>
      <c r="E222" s="1"/>
      <c r="F222" s="1"/>
      <c r="G222" s="1"/>
      <c r="H222" s="1"/>
      <c r="I222" s="2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4.25" customHeight="1">
      <c r="A223" s="1"/>
      <c r="B223" s="1"/>
      <c r="C223" s="1"/>
      <c r="D223" s="1"/>
      <c r="E223" s="1"/>
      <c r="F223" s="1"/>
      <c r="G223" s="1"/>
      <c r="H223" s="1"/>
      <c r="I223" s="2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4.25" customHeight="1">
      <c r="A224" s="1"/>
      <c r="B224" s="1"/>
      <c r="C224" s="1"/>
      <c r="D224" s="1"/>
      <c r="E224" s="1"/>
      <c r="F224" s="1"/>
      <c r="G224" s="1"/>
      <c r="H224" s="1"/>
      <c r="I224" s="2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4.25" customHeight="1">
      <c r="A225" s="1"/>
      <c r="B225" s="1"/>
      <c r="C225" s="1"/>
      <c r="D225" s="1"/>
      <c r="E225" s="1"/>
      <c r="F225" s="1"/>
      <c r="G225" s="1"/>
      <c r="H225" s="1"/>
      <c r="I225" s="2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4.25" customHeight="1">
      <c r="A226" s="1"/>
      <c r="B226" s="1"/>
      <c r="C226" s="1"/>
      <c r="D226" s="1"/>
      <c r="E226" s="1"/>
      <c r="F226" s="1"/>
      <c r="G226" s="1"/>
      <c r="H226" s="1"/>
      <c r="I226" s="2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4.25" customHeight="1">
      <c r="A227" s="1"/>
      <c r="B227" s="1"/>
      <c r="C227" s="1"/>
      <c r="D227" s="1"/>
      <c r="E227" s="1"/>
      <c r="F227" s="1"/>
      <c r="G227" s="1"/>
      <c r="H227" s="1"/>
      <c r="I227" s="2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4.25" customHeight="1">
      <c r="A228" s="1"/>
      <c r="B228" s="1"/>
      <c r="C228" s="1"/>
      <c r="D228" s="1"/>
      <c r="E228" s="1"/>
      <c r="F228" s="1"/>
      <c r="G228" s="1"/>
      <c r="H228" s="1"/>
      <c r="I228" s="2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4.25" customHeight="1">
      <c r="A229" s="1"/>
      <c r="B229" s="1"/>
      <c r="C229" s="1"/>
      <c r="D229" s="1"/>
      <c r="E229" s="1"/>
      <c r="F229" s="1"/>
      <c r="G229" s="1"/>
      <c r="H229" s="1"/>
      <c r="I229" s="2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4.25" customHeight="1">
      <c r="A230" s="1"/>
      <c r="B230" s="1"/>
      <c r="C230" s="1"/>
      <c r="D230" s="1"/>
      <c r="E230" s="1"/>
      <c r="F230" s="1"/>
      <c r="G230" s="1"/>
      <c r="H230" s="1"/>
      <c r="I230" s="2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4.25" customHeight="1">
      <c r="A231" s="1"/>
      <c r="B231" s="1"/>
      <c r="C231" s="1"/>
      <c r="D231" s="1"/>
      <c r="E231" s="1"/>
      <c r="F231" s="1"/>
      <c r="G231" s="1"/>
      <c r="H231" s="1"/>
      <c r="I231" s="2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4.25" customHeight="1">
      <c r="A232" s="1"/>
      <c r="B232" s="1"/>
      <c r="C232" s="1"/>
      <c r="D232" s="1"/>
      <c r="E232" s="1"/>
      <c r="F232" s="1"/>
      <c r="G232" s="1"/>
      <c r="H232" s="1"/>
      <c r="I232" s="2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4.25" customHeight="1">
      <c r="A233" s="1"/>
      <c r="B233" s="1"/>
      <c r="C233" s="1"/>
      <c r="D233" s="1"/>
      <c r="E233" s="1"/>
      <c r="F233" s="1"/>
      <c r="G233" s="1"/>
      <c r="H233" s="1"/>
      <c r="I233" s="2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4.25" customHeight="1">
      <c r="A234" s="1"/>
      <c r="B234" s="1"/>
      <c r="C234" s="1"/>
      <c r="D234" s="1"/>
      <c r="E234" s="1"/>
      <c r="F234" s="1"/>
      <c r="G234" s="1"/>
      <c r="H234" s="1"/>
      <c r="I234" s="2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4.25" customHeight="1">
      <c r="A235" s="1"/>
      <c r="B235" s="1"/>
      <c r="C235" s="1"/>
      <c r="D235" s="1"/>
      <c r="E235" s="1"/>
      <c r="F235" s="1"/>
      <c r="G235" s="1"/>
      <c r="H235" s="1"/>
      <c r="I235" s="2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4.25" customHeight="1">
      <c r="A236" s="79" t="s">
        <v>178</v>
      </c>
      <c r="B236" s="1"/>
      <c r="C236" s="1"/>
      <c r="D236" s="1"/>
      <c r="E236" s="1"/>
      <c r="F236" s="1"/>
      <c r="G236" s="1"/>
      <c r="H236" s="1"/>
      <c r="I236" s="2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4.25" customHeight="1">
      <c r="A237" s="1"/>
      <c r="B237" s="1"/>
      <c r="C237" s="1"/>
      <c r="D237" s="1"/>
      <c r="E237" s="1"/>
      <c r="F237" s="1"/>
      <c r="G237" s="1"/>
      <c r="H237" s="1"/>
      <c r="I237" s="2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4.25" customHeight="1">
      <c r="A238" s="1"/>
      <c r="B238" s="1"/>
      <c r="C238" s="1"/>
      <c r="D238" s="1"/>
      <c r="E238" s="1"/>
      <c r="F238" s="1"/>
      <c r="G238" s="1"/>
      <c r="H238" s="1"/>
      <c r="I238" s="2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4.25" customHeight="1">
      <c r="A239" s="1"/>
      <c r="B239" s="1"/>
      <c r="C239" s="1"/>
      <c r="D239" s="1"/>
      <c r="E239" s="1"/>
      <c r="F239" s="1"/>
      <c r="G239" s="1"/>
      <c r="H239" s="1"/>
      <c r="I239" s="2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4.25" customHeight="1">
      <c r="A240" s="1"/>
      <c r="B240" s="1"/>
      <c r="C240" s="1"/>
      <c r="D240" s="1"/>
      <c r="E240" s="1"/>
      <c r="F240" s="1"/>
      <c r="G240" s="1"/>
      <c r="H240" s="1"/>
      <c r="I240" s="2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4.25" customHeight="1">
      <c r="A241" s="1"/>
      <c r="B241" s="1"/>
      <c r="C241" s="1"/>
      <c r="D241" s="1"/>
      <c r="E241" s="1"/>
      <c r="F241" s="1"/>
      <c r="G241" s="1"/>
      <c r="H241" s="1"/>
      <c r="I241" s="2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4.25" customHeight="1">
      <c r="A242" s="1"/>
      <c r="B242" s="1"/>
      <c r="C242" s="1"/>
      <c r="D242" s="1"/>
      <c r="E242" s="1"/>
      <c r="F242" s="1"/>
      <c r="G242" s="1"/>
      <c r="H242" s="1"/>
      <c r="I242" s="2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4.25" customHeight="1">
      <c r="A243" s="1"/>
      <c r="B243" s="1"/>
      <c r="C243" s="1"/>
      <c r="D243" s="1"/>
      <c r="E243" s="1"/>
      <c r="F243" s="1"/>
      <c r="G243" s="1"/>
      <c r="H243" s="1"/>
      <c r="I243" s="2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4.25" customHeight="1">
      <c r="A244" s="1"/>
      <c r="B244" s="1"/>
      <c r="C244" s="1"/>
      <c r="D244" s="1"/>
      <c r="E244" s="1"/>
      <c r="F244" s="1"/>
      <c r="G244" s="1"/>
      <c r="H244" s="1"/>
      <c r="I244" s="2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4.25" customHeight="1">
      <c r="A245" s="1"/>
      <c r="B245" s="1"/>
      <c r="C245" s="1"/>
      <c r="D245" s="1"/>
      <c r="E245" s="1"/>
      <c r="F245" s="1"/>
      <c r="G245" s="1"/>
      <c r="H245" s="1"/>
      <c r="I245" s="2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4.25" customHeight="1">
      <c r="A246" s="1"/>
      <c r="B246" s="1"/>
      <c r="C246" s="1"/>
      <c r="D246" s="1"/>
      <c r="E246" s="1"/>
      <c r="F246" s="1"/>
      <c r="G246" s="1"/>
      <c r="H246" s="1"/>
      <c r="I246" s="2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4.25" customHeight="1">
      <c r="A247" s="1"/>
      <c r="B247" s="1"/>
      <c r="C247" s="1"/>
      <c r="D247" s="1"/>
      <c r="E247" s="1"/>
      <c r="F247" s="1"/>
      <c r="G247" s="1"/>
      <c r="H247" s="1"/>
      <c r="I247" s="2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4.25" customHeight="1">
      <c r="A248" s="1"/>
      <c r="B248" s="1"/>
      <c r="C248" s="1"/>
      <c r="D248" s="1"/>
      <c r="E248" s="1"/>
      <c r="F248" s="1"/>
      <c r="G248" s="1"/>
      <c r="H248" s="1"/>
      <c r="I248" s="2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4.25" customHeight="1">
      <c r="A249" s="1"/>
      <c r="B249" s="1"/>
      <c r="C249" s="1"/>
      <c r="D249" s="1"/>
      <c r="E249" s="1"/>
      <c r="F249" s="1"/>
      <c r="G249" s="1"/>
      <c r="H249" s="1"/>
      <c r="I249" s="2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4.25" customHeight="1">
      <c r="A250" s="1"/>
      <c r="B250" s="1"/>
      <c r="C250" s="1"/>
      <c r="D250" s="1"/>
      <c r="E250" s="1"/>
      <c r="F250" s="1"/>
      <c r="G250" s="1"/>
      <c r="H250" s="1"/>
      <c r="I250" s="2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4.25" customHeight="1">
      <c r="A251" s="1"/>
      <c r="B251" s="1"/>
      <c r="C251" s="1"/>
      <c r="D251" s="1"/>
      <c r="E251" s="1"/>
      <c r="F251" s="1"/>
      <c r="G251" s="1"/>
      <c r="H251" s="1"/>
      <c r="I251" s="2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4.25" customHeight="1">
      <c r="A252" s="1"/>
      <c r="B252" s="1"/>
      <c r="C252" s="1"/>
      <c r="D252" s="1"/>
      <c r="E252" s="1"/>
      <c r="F252" s="1"/>
      <c r="G252" s="1"/>
      <c r="H252" s="1"/>
      <c r="I252" s="2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4.25" customHeight="1">
      <c r="A253" s="1"/>
      <c r="B253" s="1"/>
      <c r="C253" s="1"/>
      <c r="D253" s="1"/>
      <c r="E253" s="1"/>
      <c r="F253" s="1"/>
      <c r="G253" s="1"/>
      <c r="H253" s="1"/>
      <c r="I253" s="2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4.25" customHeight="1">
      <c r="A254" s="1"/>
      <c r="B254" s="1"/>
      <c r="C254" s="1"/>
      <c r="D254" s="1"/>
      <c r="E254" s="1"/>
      <c r="F254" s="1"/>
      <c r="G254" s="1"/>
      <c r="H254" s="1"/>
      <c r="I254" s="2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4.25" customHeight="1">
      <c r="A255" s="1"/>
      <c r="B255" s="1"/>
      <c r="C255" s="1"/>
      <c r="D255" s="1"/>
      <c r="E255" s="1"/>
      <c r="F255" s="1"/>
      <c r="G255" s="1"/>
      <c r="H255" s="1"/>
      <c r="I255" s="2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4.25" customHeight="1">
      <c r="A256" s="79" t="s">
        <v>179</v>
      </c>
      <c r="B256" s="1"/>
      <c r="C256" s="1"/>
      <c r="D256" s="1"/>
      <c r="E256" s="1"/>
      <c r="F256" s="1"/>
      <c r="G256" s="1"/>
      <c r="H256" s="1"/>
      <c r="I256" s="2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4.25" customHeight="1">
      <c r="A257" s="1"/>
      <c r="B257" s="1"/>
      <c r="C257" s="1"/>
      <c r="D257" s="1"/>
      <c r="E257" s="1"/>
      <c r="F257" s="1"/>
      <c r="G257" s="1"/>
      <c r="H257" s="1"/>
      <c r="I257" s="2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4.25" customHeight="1">
      <c r="A258" s="1"/>
      <c r="B258" s="1"/>
      <c r="C258" s="1"/>
      <c r="D258" s="1"/>
      <c r="E258" s="1"/>
      <c r="F258" s="1"/>
      <c r="G258" s="1"/>
      <c r="H258" s="1"/>
      <c r="I258" s="2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4.25" customHeight="1">
      <c r="A259" s="1"/>
      <c r="B259" s="1"/>
      <c r="C259" s="1"/>
      <c r="D259" s="1"/>
      <c r="E259" s="1"/>
      <c r="F259" s="1"/>
      <c r="G259" s="1"/>
      <c r="H259" s="1"/>
      <c r="I259" s="2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4.25" customHeight="1">
      <c r="A260" s="1"/>
      <c r="B260" s="1"/>
      <c r="C260" s="1"/>
      <c r="D260" s="1"/>
      <c r="E260" s="1"/>
      <c r="F260" s="1"/>
      <c r="G260" s="1"/>
      <c r="H260" s="1"/>
      <c r="I260" s="2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4.25" customHeight="1">
      <c r="A261" s="1"/>
      <c r="B261" s="1"/>
      <c r="C261" s="1"/>
      <c r="D261" s="1"/>
      <c r="E261" s="1"/>
      <c r="F261" s="1"/>
      <c r="G261" s="1"/>
      <c r="H261" s="1"/>
      <c r="I261" s="2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4.25" customHeight="1">
      <c r="A262" s="1"/>
      <c r="B262" s="1"/>
      <c r="C262" s="1"/>
      <c r="D262" s="1"/>
      <c r="E262" s="1"/>
      <c r="F262" s="1"/>
      <c r="G262" s="1"/>
      <c r="H262" s="1"/>
      <c r="I262" s="2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4.25" customHeight="1">
      <c r="A263" s="1"/>
      <c r="B263" s="1"/>
      <c r="C263" s="1"/>
      <c r="D263" s="1"/>
      <c r="E263" s="1"/>
      <c r="F263" s="1"/>
      <c r="G263" s="1"/>
      <c r="H263" s="1"/>
      <c r="I263" s="2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4.25" customHeight="1">
      <c r="A264" s="1"/>
      <c r="B264" s="1"/>
      <c r="C264" s="1"/>
      <c r="D264" s="1"/>
      <c r="E264" s="1"/>
      <c r="F264" s="1"/>
      <c r="G264" s="1"/>
      <c r="H264" s="1"/>
      <c r="I264" s="2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4.25" customHeight="1">
      <c r="A265" s="1"/>
      <c r="B265" s="1"/>
      <c r="C265" s="1"/>
      <c r="D265" s="1"/>
      <c r="E265" s="1"/>
      <c r="F265" s="1"/>
      <c r="G265" s="1"/>
      <c r="H265" s="1"/>
      <c r="I265" s="2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4.25" customHeight="1">
      <c r="A266" s="1"/>
      <c r="B266" s="1"/>
      <c r="C266" s="1"/>
      <c r="D266" s="1"/>
      <c r="E266" s="1"/>
      <c r="F266" s="1"/>
      <c r="G266" s="1"/>
      <c r="H266" s="1"/>
      <c r="I266" s="2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4.25" customHeight="1">
      <c r="A267" s="1"/>
      <c r="B267" s="1"/>
      <c r="C267" s="1"/>
      <c r="D267" s="1"/>
      <c r="E267" s="1"/>
      <c r="F267" s="1"/>
      <c r="G267" s="1"/>
      <c r="H267" s="1"/>
      <c r="I267" s="2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4.25" customHeight="1">
      <c r="A268" s="1"/>
      <c r="B268" s="1"/>
      <c r="C268" s="1"/>
      <c r="D268" s="1"/>
      <c r="E268" s="1"/>
      <c r="F268" s="1"/>
      <c r="G268" s="1"/>
      <c r="H268" s="1"/>
      <c r="I268" s="2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4.25" customHeight="1">
      <c r="A269" s="1"/>
      <c r="B269" s="1"/>
      <c r="C269" s="1"/>
      <c r="D269" s="1"/>
      <c r="E269" s="1"/>
      <c r="F269" s="1"/>
      <c r="G269" s="1"/>
      <c r="H269" s="1"/>
      <c r="I269" s="2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4.25" customHeight="1">
      <c r="A270" s="1"/>
      <c r="B270" s="1"/>
      <c r="C270" s="1"/>
      <c r="D270" s="1"/>
      <c r="E270" s="1"/>
      <c r="F270" s="1"/>
      <c r="G270" s="1"/>
      <c r="H270" s="1"/>
      <c r="I270" s="2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4.25" customHeight="1">
      <c r="A271" s="79" t="s">
        <v>180</v>
      </c>
      <c r="B271" s="1"/>
      <c r="C271" s="1"/>
      <c r="D271" s="1"/>
      <c r="E271" s="1"/>
      <c r="F271" s="1"/>
      <c r="G271" s="1"/>
      <c r="H271" s="1"/>
      <c r="I271" s="2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4.25" customHeight="1">
      <c r="A272" s="1"/>
      <c r="B272" s="1"/>
      <c r="C272" s="1"/>
      <c r="D272" s="1"/>
      <c r="E272" s="1"/>
      <c r="F272" s="1"/>
      <c r="G272" s="1"/>
      <c r="H272" s="1"/>
      <c r="I272" s="2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4.25" customHeight="1">
      <c r="A273" s="1"/>
      <c r="B273" s="1"/>
      <c r="C273" s="1"/>
      <c r="D273" s="1"/>
      <c r="E273" s="1"/>
      <c r="F273" s="1"/>
      <c r="G273" s="1"/>
      <c r="H273" s="1"/>
      <c r="I273" s="2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4.25" customHeight="1">
      <c r="A274" s="1"/>
      <c r="B274" s="1"/>
      <c r="C274" s="1"/>
      <c r="D274" s="1"/>
      <c r="E274" s="1"/>
      <c r="F274" s="1"/>
      <c r="G274" s="1"/>
      <c r="H274" s="1"/>
      <c r="I274" s="2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4.25" customHeight="1">
      <c r="A275" s="1"/>
      <c r="B275" s="1"/>
      <c r="C275" s="1"/>
      <c r="D275" s="1"/>
      <c r="E275" s="1"/>
      <c r="F275" s="1"/>
      <c r="G275" s="1"/>
      <c r="H275" s="1"/>
      <c r="I275" s="2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4.25" customHeight="1">
      <c r="A276" s="1"/>
      <c r="B276" s="1"/>
      <c r="C276" s="1"/>
      <c r="D276" s="1"/>
      <c r="E276" s="1"/>
      <c r="F276" s="1"/>
      <c r="G276" s="1"/>
      <c r="H276" s="1"/>
      <c r="I276" s="2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4.25" customHeight="1">
      <c r="A277" s="1"/>
      <c r="B277" s="1"/>
      <c r="C277" s="1"/>
      <c r="D277" s="1"/>
      <c r="E277" s="1"/>
      <c r="F277" s="1"/>
      <c r="G277" s="1"/>
      <c r="H277" s="1"/>
      <c r="I277" s="2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4.25" customHeight="1">
      <c r="A278" s="1"/>
      <c r="B278" s="1"/>
      <c r="C278" s="1"/>
      <c r="D278" s="1"/>
      <c r="E278" s="1"/>
      <c r="F278" s="1"/>
      <c r="G278" s="1"/>
      <c r="H278" s="1"/>
      <c r="I278" s="2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4.25" customHeight="1">
      <c r="A279" s="1"/>
      <c r="B279" s="1"/>
      <c r="C279" s="1"/>
      <c r="D279" s="1"/>
      <c r="E279" s="1"/>
      <c r="F279" s="1"/>
      <c r="G279" s="1"/>
      <c r="H279" s="1"/>
      <c r="I279" s="2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4.25" customHeight="1">
      <c r="A280" s="1"/>
      <c r="B280" s="1"/>
      <c r="C280" s="1"/>
      <c r="D280" s="1"/>
      <c r="E280" s="1"/>
      <c r="F280" s="1"/>
      <c r="G280" s="1"/>
      <c r="H280" s="1"/>
      <c r="I280" s="2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4.25" customHeight="1">
      <c r="A281" s="1"/>
      <c r="B281" s="1"/>
      <c r="C281" s="1"/>
      <c r="D281" s="1"/>
      <c r="E281" s="1"/>
      <c r="F281" s="1"/>
      <c r="G281" s="1"/>
      <c r="H281" s="1"/>
      <c r="I281" s="2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4.25" customHeight="1">
      <c r="A282" s="1"/>
      <c r="B282" s="1"/>
      <c r="C282" s="1"/>
      <c r="D282" s="1"/>
      <c r="E282" s="1"/>
      <c r="F282" s="1"/>
      <c r="G282" s="1"/>
      <c r="H282" s="1"/>
      <c r="I282" s="2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4.25" customHeight="1">
      <c r="A283" s="1"/>
      <c r="B283" s="1"/>
      <c r="C283" s="1"/>
      <c r="D283" s="1"/>
      <c r="E283" s="1"/>
      <c r="F283" s="1"/>
      <c r="G283" s="1"/>
      <c r="H283" s="1"/>
      <c r="I283" s="2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4.25" customHeight="1">
      <c r="A284" s="1"/>
      <c r="B284" s="1"/>
      <c r="C284" s="1"/>
      <c r="D284" s="1"/>
      <c r="E284" s="1"/>
      <c r="F284" s="1"/>
      <c r="G284" s="1"/>
      <c r="H284" s="1"/>
      <c r="I284" s="2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4.25" customHeight="1">
      <c r="A285" s="1"/>
      <c r="B285" s="1"/>
      <c r="C285" s="1"/>
      <c r="D285" s="1"/>
      <c r="E285" s="1"/>
      <c r="F285" s="1"/>
      <c r="G285" s="1"/>
      <c r="H285" s="1"/>
      <c r="I285" s="2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4.25" customHeight="1">
      <c r="A286" s="1"/>
      <c r="B286" s="1"/>
      <c r="C286" s="1"/>
      <c r="D286" s="1"/>
      <c r="E286" s="1"/>
      <c r="F286" s="1"/>
      <c r="G286" s="1"/>
      <c r="H286" s="1"/>
      <c r="I286" s="2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4.25" customHeight="1">
      <c r="A287" s="1"/>
      <c r="B287" s="1"/>
      <c r="C287" s="1"/>
      <c r="D287" s="1"/>
      <c r="E287" s="1"/>
      <c r="F287" s="1"/>
      <c r="G287" s="1"/>
      <c r="H287" s="1"/>
      <c r="I287" s="2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4.25" customHeight="1">
      <c r="A288" s="1"/>
      <c r="B288" s="1"/>
      <c r="C288" s="1"/>
      <c r="D288" s="1"/>
      <c r="E288" s="1"/>
      <c r="F288" s="1"/>
      <c r="G288" s="1"/>
      <c r="H288" s="1"/>
      <c r="I288" s="2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4.25" customHeight="1">
      <c r="A289" s="1"/>
      <c r="B289" s="1"/>
      <c r="C289" s="1"/>
      <c r="D289" s="1"/>
      <c r="E289" s="1"/>
      <c r="F289" s="1"/>
      <c r="G289" s="1"/>
      <c r="H289" s="1"/>
      <c r="I289" s="2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4.25" customHeight="1">
      <c r="A290" s="1"/>
      <c r="B290" s="1"/>
      <c r="C290" s="1"/>
      <c r="D290" s="1"/>
      <c r="E290" s="1"/>
      <c r="F290" s="1"/>
      <c r="G290" s="1"/>
      <c r="H290" s="1"/>
      <c r="I290" s="2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4.25" customHeight="1">
      <c r="A291" s="1"/>
      <c r="B291" s="1"/>
      <c r="C291" s="1"/>
      <c r="D291" s="1"/>
      <c r="E291" s="1"/>
      <c r="F291" s="1"/>
      <c r="G291" s="1"/>
      <c r="H291" s="1"/>
      <c r="I291" s="2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4.25" customHeight="1">
      <c r="A292" s="79" t="s">
        <v>181</v>
      </c>
      <c r="B292" s="1"/>
      <c r="C292" s="1"/>
      <c r="D292" s="1"/>
      <c r="E292" s="1"/>
      <c r="F292" s="1"/>
      <c r="G292" s="1"/>
      <c r="H292" s="1"/>
      <c r="I292" s="2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4.25" customHeight="1">
      <c r="A293" s="1"/>
      <c r="B293" s="1"/>
      <c r="C293" s="1"/>
      <c r="D293" s="1"/>
      <c r="E293" s="1"/>
      <c r="F293" s="1"/>
      <c r="G293" s="1"/>
      <c r="H293" s="1"/>
      <c r="I293" s="2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4.25" customHeight="1">
      <c r="A294" s="1"/>
      <c r="B294" s="1"/>
      <c r="C294" s="1"/>
      <c r="D294" s="1"/>
      <c r="E294" s="1"/>
      <c r="F294" s="1"/>
      <c r="G294" s="1"/>
      <c r="H294" s="1"/>
      <c r="I294" s="2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4.25" customHeight="1">
      <c r="A295" s="1"/>
      <c r="B295" s="1"/>
      <c r="C295" s="1"/>
      <c r="D295" s="1"/>
      <c r="E295" s="1"/>
      <c r="F295" s="1"/>
      <c r="G295" s="1"/>
      <c r="H295" s="1"/>
      <c r="I295" s="2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4.25" customHeight="1">
      <c r="A296" s="1"/>
      <c r="B296" s="1"/>
      <c r="C296" s="1"/>
      <c r="D296" s="1"/>
      <c r="E296" s="1"/>
      <c r="F296" s="1"/>
      <c r="G296" s="1"/>
      <c r="H296" s="1"/>
      <c r="I296" s="2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4.25" customHeight="1">
      <c r="A297" s="1"/>
      <c r="B297" s="1"/>
      <c r="C297" s="1"/>
      <c r="D297" s="1"/>
      <c r="E297" s="1"/>
      <c r="F297" s="1"/>
      <c r="G297" s="1"/>
      <c r="H297" s="1"/>
      <c r="I297" s="2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4.25" customHeight="1">
      <c r="A298" s="1"/>
      <c r="B298" s="1"/>
      <c r="C298" s="1"/>
      <c r="D298" s="1"/>
      <c r="E298" s="1"/>
      <c r="F298" s="1"/>
      <c r="G298" s="1"/>
      <c r="H298" s="1"/>
      <c r="I298" s="2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4.25" customHeight="1">
      <c r="A299" s="1"/>
      <c r="B299" s="1"/>
      <c r="C299" s="1"/>
      <c r="D299" s="1"/>
      <c r="E299" s="1"/>
      <c r="F299" s="1"/>
      <c r="G299" s="1"/>
      <c r="H299" s="1"/>
      <c r="I299" s="2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4.25" customHeight="1">
      <c r="A300" s="1"/>
      <c r="B300" s="1"/>
      <c r="C300" s="1"/>
      <c r="D300" s="1"/>
      <c r="E300" s="1"/>
      <c r="F300" s="1"/>
      <c r="G300" s="1"/>
      <c r="H300" s="1"/>
      <c r="I300" s="2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4.25" customHeight="1">
      <c r="A301" s="1"/>
      <c r="B301" s="1"/>
      <c r="C301" s="1"/>
      <c r="D301" s="1"/>
      <c r="E301" s="1"/>
      <c r="F301" s="1"/>
      <c r="G301" s="1"/>
      <c r="H301" s="1"/>
      <c r="I301" s="2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4.25" customHeight="1">
      <c r="A302" s="1"/>
      <c r="B302" s="1"/>
      <c r="C302" s="1"/>
      <c r="D302" s="1"/>
      <c r="E302" s="1"/>
      <c r="F302" s="1"/>
      <c r="G302" s="1"/>
      <c r="H302" s="1"/>
      <c r="I302" s="2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4.25" customHeight="1">
      <c r="A303" s="1"/>
      <c r="B303" s="1"/>
      <c r="C303" s="1"/>
      <c r="D303" s="1"/>
      <c r="E303" s="1"/>
      <c r="F303" s="1"/>
      <c r="G303" s="1"/>
      <c r="H303" s="1"/>
      <c r="I303" s="2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4.25" customHeight="1">
      <c r="A304" s="1"/>
      <c r="B304" s="1"/>
      <c r="C304" s="1"/>
      <c r="D304" s="1"/>
      <c r="E304" s="1"/>
      <c r="F304" s="1"/>
      <c r="G304" s="1"/>
      <c r="H304" s="1"/>
      <c r="I304" s="2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4.25" customHeight="1">
      <c r="A305" s="1"/>
      <c r="B305" s="1"/>
      <c r="C305" s="1"/>
      <c r="D305" s="1"/>
      <c r="E305" s="1"/>
      <c r="F305" s="1"/>
      <c r="G305" s="1"/>
      <c r="H305" s="1"/>
      <c r="I305" s="2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4.25" customHeight="1">
      <c r="A306" s="1"/>
      <c r="B306" s="1"/>
      <c r="C306" s="1"/>
      <c r="D306" s="1"/>
      <c r="E306" s="1"/>
      <c r="F306" s="1"/>
      <c r="G306" s="1"/>
      <c r="H306" s="1"/>
      <c r="I306" s="2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4.25" customHeight="1">
      <c r="A307" s="1"/>
      <c r="B307" s="1"/>
      <c r="C307" s="1"/>
      <c r="D307" s="1"/>
      <c r="E307" s="1"/>
      <c r="F307" s="1"/>
      <c r="G307" s="1"/>
      <c r="H307" s="1"/>
      <c r="I307" s="2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4.25" customHeight="1">
      <c r="A308" s="1"/>
      <c r="B308" s="1"/>
      <c r="C308" s="1"/>
      <c r="D308" s="1"/>
      <c r="E308" s="1"/>
      <c r="F308" s="1"/>
      <c r="G308" s="1"/>
      <c r="H308" s="1"/>
      <c r="I308" s="2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4.25" customHeight="1">
      <c r="A309" s="1"/>
      <c r="B309" s="1"/>
      <c r="C309" s="1"/>
      <c r="D309" s="1"/>
      <c r="E309" s="1"/>
      <c r="F309" s="1"/>
      <c r="G309" s="1"/>
      <c r="H309" s="1"/>
      <c r="I309" s="2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4.25" customHeight="1">
      <c r="A310" s="79" t="s">
        <v>182</v>
      </c>
      <c r="B310" s="1"/>
      <c r="C310" s="1"/>
      <c r="D310" s="1"/>
      <c r="E310" s="1"/>
      <c r="F310" s="1"/>
      <c r="G310" s="1"/>
      <c r="H310" s="1"/>
      <c r="I310" s="2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4.25" customHeight="1">
      <c r="A311" s="1"/>
      <c r="B311" s="1"/>
      <c r="C311" s="1"/>
      <c r="D311" s="1"/>
      <c r="E311" s="1"/>
      <c r="F311" s="1"/>
      <c r="G311" s="1"/>
      <c r="H311" s="1"/>
      <c r="I311" s="2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4.25" customHeight="1">
      <c r="A312" s="1"/>
      <c r="B312" s="1"/>
      <c r="C312" s="1"/>
      <c r="D312" s="1"/>
      <c r="E312" s="1"/>
      <c r="F312" s="1"/>
      <c r="G312" s="1"/>
      <c r="H312" s="1"/>
      <c r="I312" s="2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4.25" customHeight="1">
      <c r="A313" s="1"/>
      <c r="B313" s="1"/>
      <c r="C313" s="1"/>
      <c r="D313" s="1"/>
      <c r="E313" s="1"/>
      <c r="F313" s="1"/>
      <c r="G313" s="1"/>
      <c r="H313" s="1"/>
      <c r="I313" s="2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4.25" customHeight="1">
      <c r="A314" s="1"/>
      <c r="B314" s="1"/>
      <c r="C314" s="1"/>
      <c r="D314" s="1"/>
      <c r="E314" s="1"/>
      <c r="F314" s="1"/>
      <c r="G314" s="1"/>
      <c r="H314" s="1"/>
      <c r="I314" s="2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4.25" customHeight="1">
      <c r="A315" s="1"/>
      <c r="B315" s="1"/>
      <c r="C315" s="1"/>
      <c r="D315" s="1"/>
      <c r="E315" s="1"/>
      <c r="F315" s="1"/>
      <c r="G315" s="1"/>
      <c r="H315" s="1"/>
      <c r="I315" s="2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4.25" customHeight="1">
      <c r="A316" s="1"/>
      <c r="B316" s="1"/>
      <c r="C316" s="1"/>
      <c r="D316" s="1"/>
      <c r="E316" s="1"/>
      <c r="F316" s="1"/>
      <c r="G316" s="1"/>
      <c r="H316" s="1"/>
      <c r="I316" s="2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4.25" customHeight="1">
      <c r="A317" s="1"/>
      <c r="B317" s="1"/>
      <c r="C317" s="1"/>
      <c r="D317" s="1"/>
      <c r="E317" s="1"/>
      <c r="F317" s="1"/>
      <c r="G317" s="1"/>
      <c r="H317" s="1"/>
      <c r="I317" s="2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4.25" customHeight="1">
      <c r="A318" s="1"/>
      <c r="B318" s="1"/>
      <c r="C318" s="1"/>
      <c r="D318" s="1"/>
      <c r="E318" s="1"/>
      <c r="F318" s="1"/>
      <c r="G318" s="1"/>
      <c r="H318" s="1"/>
      <c r="I318" s="2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4.25" customHeight="1">
      <c r="A319" s="1"/>
      <c r="B319" s="1"/>
      <c r="C319" s="1"/>
      <c r="D319" s="1"/>
      <c r="E319" s="1"/>
      <c r="F319" s="1"/>
      <c r="G319" s="1"/>
      <c r="H319" s="1"/>
      <c r="I319" s="2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4.25" customHeight="1">
      <c r="A320" s="1"/>
      <c r="B320" s="1"/>
      <c r="C320" s="1"/>
      <c r="D320" s="1"/>
      <c r="E320" s="1"/>
      <c r="F320" s="1"/>
      <c r="G320" s="1"/>
      <c r="H320" s="1"/>
      <c r="I320" s="2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4.25" customHeight="1">
      <c r="A321" s="1"/>
      <c r="B321" s="1"/>
      <c r="C321" s="1"/>
      <c r="D321" s="1"/>
      <c r="E321" s="1"/>
      <c r="F321" s="1"/>
      <c r="G321" s="1"/>
      <c r="H321" s="1"/>
      <c r="I321" s="2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4.25" customHeight="1">
      <c r="A322" s="1"/>
      <c r="B322" s="1"/>
      <c r="C322" s="1"/>
      <c r="D322" s="1"/>
      <c r="E322" s="1"/>
      <c r="F322" s="1"/>
      <c r="G322" s="1"/>
      <c r="H322" s="1"/>
      <c r="I322" s="2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4.25" customHeight="1">
      <c r="A323" s="1"/>
      <c r="B323" s="1"/>
      <c r="C323" s="1"/>
      <c r="D323" s="1"/>
      <c r="E323" s="1"/>
      <c r="F323" s="1"/>
      <c r="G323" s="1"/>
      <c r="H323" s="1"/>
      <c r="I323" s="2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4.25" customHeight="1">
      <c r="A324" s="1"/>
      <c r="B324" s="1"/>
      <c r="C324" s="1"/>
      <c r="D324" s="1"/>
      <c r="E324" s="1"/>
      <c r="F324" s="1"/>
      <c r="G324" s="1"/>
      <c r="H324" s="1"/>
      <c r="I324" s="2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4.25" customHeight="1">
      <c r="A325" s="1"/>
      <c r="B325" s="1"/>
      <c r="C325" s="1"/>
      <c r="D325" s="1"/>
      <c r="E325" s="1"/>
      <c r="F325" s="1"/>
      <c r="G325" s="1"/>
      <c r="H325" s="1"/>
      <c r="I325" s="2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4.25" customHeight="1">
      <c r="A326" s="1"/>
      <c r="B326" s="1"/>
      <c r="C326" s="1"/>
      <c r="D326" s="1"/>
      <c r="E326" s="1"/>
      <c r="F326" s="1"/>
      <c r="G326" s="1"/>
      <c r="H326" s="1"/>
      <c r="I326" s="2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4.25" customHeight="1">
      <c r="A327" s="1"/>
      <c r="B327" s="1"/>
      <c r="C327" s="1"/>
      <c r="D327" s="1"/>
      <c r="E327" s="1"/>
      <c r="F327" s="1"/>
      <c r="G327" s="1"/>
      <c r="H327" s="1"/>
      <c r="I327" s="2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4.25" customHeight="1">
      <c r="A328" s="1"/>
      <c r="B328" s="1"/>
      <c r="C328" s="1"/>
      <c r="D328" s="1"/>
      <c r="E328" s="1"/>
      <c r="F328" s="1"/>
      <c r="G328" s="1"/>
      <c r="H328" s="1"/>
      <c r="I328" s="2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4.25" customHeight="1">
      <c r="A329" s="1"/>
      <c r="B329" s="1"/>
      <c r="C329" s="1"/>
      <c r="D329" s="1"/>
      <c r="E329" s="1"/>
      <c r="F329" s="1"/>
      <c r="G329" s="1"/>
      <c r="H329" s="1"/>
      <c r="I329" s="2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4.25" customHeight="1">
      <c r="A330" s="1"/>
      <c r="B330" s="1"/>
      <c r="C330" s="1"/>
      <c r="D330" s="1"/>
      <c r="E330" s="1"/>
      <c r="F330" s="1"/>
      <c r="G330" s="1"/>
      <c r="H330" s="1"/>
      <c r="I330" s="2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4.25" customHeight="1">
      <c r="A331" s="1"/>
      <c r="B331" s="1"/>
      <c r="C331" s="1"/>
      <c r="D331" s="1"/>
      <c r="E331" s="1"/>
      <c r="F331" s="1"/>
      <c r="G331" s="1"/>
      <c r="H331" s="1"/>
      <c r="I331" s="2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4.25" customHeight="1">
      <c r="A332" s="1"/>
      <c r="B332" s="1"/>
      <c r="C332" s="1"/>
      <c r="D332" s="1"/>
      <c r="E332" s="1"/>
      <c r="F332" s="1"/>
      <c r="G332" s="1"/>
      <c r="H332" s="1"/>
      <c r="I332" s="2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4.25" customHeight="1">
      <c r="A333" s="1"/>
      <c r="B333" s="1"/>
      <c r="C333" s="1"/>
      <c r="D333" s="1"/>
      <c r="E333" s="1"/>
      <c r="F333" s="1"/>
      <c r="G333" s="1"/>
      <c r="H333" s="1"/>
      <c r="I333" s="2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4.25" customHeight="1">
      <c r="A334" s="1"/>
      <c r="B334" s="1"/>
      <c r="C334" s="1"/>
      <c r="D334" s="1"/>
      <c r="E334" s="1"/>
      <c r="F334" s="1"/>
      <c r="G334" s="1"/>
      <c r="H334" s="1"/>
      <c r="I334" s="2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4.25" customHeight="1">
      <c r="A335" s="1"/>
      <c r="B335" s="1"/>
      <c r="C335" s="1"/>
      <c r="D335" s="1"/>
      <c r="E335" s="1"/>
      <c r="F335" s="1"/>
      <c r="G335" s="1"/>
      <c r="H335" s="1"/>
      <c r="I335" s="2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4.25" customHeight="1">
      <c r="A336" s="1"/>
      <c r="B336" s="1"/>
      <c r="C336" s="1"/>
      <c r="D336" s="1"/>
      <c r="E336" s="1"/>
      <c r="F336" s="1"/>
      <c r="G336" s="1"/>
      <c r="H336" s="1"/>
      <c r="I336" s="2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4.25" customHeight="1">
      <c r="A337" s="1"/>
      <c r="B337" s="1"/>
      <c r="C337" s="1"/>
      <c r="D337" s="1"/>
      <c r="E337" s="1"/>
      <c r="F337" s="1"/>
      <c r="G337" s="1"/>
      <c r="H337" s="1"/>
      <c r="I337" s="2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4.25" customHeight="1">
      <c r="A338" s="1"/>
      <c r="B338" s="1"/>
      <c r="C338" s="1"/>
      <c r="D338" s="1"/>
      <c r="E338" s="1"/>
      <c r="F338" s="1"/>
      <c r="G338" s="1"/>
      <c r="H338" s="1"/>
      <c r="I338" s="2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4.25" customHeight="1">
      <c r="A339" s="1"/>
      <c r="B339" s="1"/>
      <c r="C339" s="1"/>
      <c r="D339" s="1"/>
      <c r="E339" s="1"/>
      <c r="F339" s="1"/>
      <c r="G339" s="1"/>
      <c r="H339" s="1"/>
      <c r="I339" s="2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4.25" customHeight="1">
      <c r="A340" s="1"/>
      <c r="B340" s="1"/>
      <c r="C340" s="1"/>
      <c r="D340" s="1"/>
      <c r="E340" s="1"/>
      <c r="F340" s="1"/>
      <c r="G340" s="1"/>
      <c r="H340" s="1"/>
      <c r="I340" s="2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4.25" customHeight="1">
      <c r="A341" s="1"/>
      <c r="B341" s="1"/>
      <c r="C341" s="1"/>
      <c r="D341" s="1"/>
      <c r="E341" s="1"/>
      <c r="F341" s="1"/>
      <c r="G341" s="1"/>
      <c r="H341" s="1"/>
      <c r="I341" s="2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4.25" customHeight="1">
      <c r="A342" s="1"/>
      <c r="B342" s="1"/>
      <c r="C342" s="1"/>
      <c r="D342" s="1"/>
      <c r="E342" s="1"/>
      <c r="F342" s="1"/>
      <c r="G342" s="1"/>
      <c r="H342" s="1"/>
      <c r="I342" s="2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4.25" customHeight="1">
      <c r="A343" s="1"/>
      <c r="B343" s="1"/>
      <c r="C343" s="1"/>
      <c r="D343" s="1"/>
      <c r="E343" s="1"/>
      <c r="F343" s="1"/>
      <c r="G343" s="1"/>
      <c r="H343" s="1"/>
      <c r="I343" s="2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4.25" customHeight="1">
      <c r="A344" s="1"/>
      <c r="B344" s="1"/>
      <c r="C344" s="1"/>
      <c r="D344" s="1"/>
      <c r="E344" s="1"/>
      <c r="F344" s="1"/>
      <c r="G344" s="1"/>
      <c r="H344" s="1"/>
      <c r="I344" s="2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4.25" customHeight="1">
      <c r="A345" s="1"/>
      <c r="B345" s="1"/>
      <c r="C345" s="1"/>
      <c r="D345" s="1"/>
      <c r="E345" s="1"/>
      <c r="F345" s="1"/>
      <c r="G345" s="1"/>
      <c r="H345" s="1"/>
      <c r="I345" s="2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4.25" customHeight="1">
      <c r="A346" s="1"/>
      <c r="B346" s="1"/>
      <c r="C346" s="1"/>
      <c r="D346" s="1"/>
      <c r="E346" s="1"/>
      <c r="F346" s="1"/>
      <c r="G346" s="1"/>
      <c r="H346" s="1"/>
      <c r="I346" s="2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4.25" customHeight="1">
      <c r="A347" s="1"/>
      <c r="B347" s="1"/>
      <c r="C347" s="1"/>
      <c r="D347" s="1"/>
      <c r="E347" s="1"/>
      <c r="F347" s="1"/>
      <c r="G347" s="1"/>
      <c r="H347" s="1"/>
      <c r="I347" s="2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4.25" customHeight="1">
      <c r="A348" s="1"/>
      <c r="B348" s="1"/>
      <c r="C348" s="1"/>
      <c r="D348" s="1"/>
      <c r="E348" s="1"/>
      <c r="F348" s="1"/>
      <c r="G348" s="1"/>
      <c r="H348" s="1"/>
      <c r="I348" s="2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4.25" customHeight="1">
      <c r="A349" s="1"/>
      <c r="B349" s="1"/>
      <c r="C349" s="1"/>
      <c r="D349" s="1"/>
      <c r="E349" s="1"/>
      <c r="F349" s="1"/>
      <c r="G349" s="1"/>
      <c r="H349" s="1"/>
      <c r="I349" s="2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4.25" customHeight="1">
      <c r="A350" s="1"/>
      <c r="B350" s="1"/>
      <c r="C350" s="1"/>
      <c r="D350" s="1"/>
      <c r="E350" s="1"/>
      <c r="F350" s="1"/>
      <c r="G350" s="1"/>
      <c r="H350" s="1"/>
      <c r="I350" s="2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4.25" customHeight="1">
      <c r="A351" s="1"/>
      <c r="B351" s="1"/>
      <c r="C351" s="1"/>
      <c r="D351" s="1"/>
      <c r="E351" s="1"/>
      <c r="F351" s="1"/>
      <c r="G351" s="1"/>
      <c r="H351" s="1"/>
      <c r="I351" s="2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4.25" customHeight="1">
      <c r="A352" s="1"/>
      <c r="B352" s="1"/>
      <c r="C352" s="1"/>
      <c r="D352" s="1"/>
      <c r="E352" s="1"/>
      <c r="F352" s="1"/>
      <c r="G352" s="1"/>
      <c r="H352" s="1"/>
      <c r="I352" s="2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4.25" customHeight="1">
      <c r="A353" s="1"/>
      <c r="B353" s="1"/>
      <c r="C353" s="1"/>
      <c r="D353" s="1"/>
      <c r="E353" s="1"/>
      <c r="F353" s="1"/>
      <c r="G353" s="1"/>
      <c r="H353" s="1"/>
      <c r="I353" s="2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4.25" customHeight="1">
      <c r="A354" s="1"/>
      <c r="B354" s="1"/>
      <c r="C354" s="1"/>
      <c r="D354" s="1"/>
      <c r="E354" s="1"/>
      <c r="F354" s="1"/>
      <c r="G354" s="1"/>
      <c r="H354" s="1"/>
      <c r="I354" s="2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4.25" customHeight="1">
      <c r="A355" s="1"/>
      <c r="B355" s="1"/>
      <c r="C355" s="1"/>
      <c r="D355" s="1"/>
      <c r="E355" s="1"/>
      <c r="F355" s="1"/>
      <c r="G355" s="1"/>
      <c r="H355" s="1"/>
      <c r="I355" s="2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4.25" customHeight="1">
      <c r="A356" s="1"/>
      <c r="B356" s="1"/>
      <c r="C356" s="1"/>
      <c r="D356" s="1"/>
      <c r="E356" s="1"/>
      <c r="F356" s="1"/>
      <c r="G356" s="1"/>
      <c r="H356" s="1"/>
      <c r="I356" s="2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4.25" customHeight="1">
      <c r="A357" s="1"/>
      <c r="B357" s="1"/>
      <c r="C357" s="1"/>
      <c r="D357" s="1"/>
      <c r="E357" s="1"/>
      <c r="F357" s="1"/>
      <c r="G357" s="1"/>
      <c r="H357" s="1"/>
      <c r="I357" s="2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4.25" customHeight="1">
      <c r="A358" s="1"/>
      <c r="B358" s="1"/>
      <c r="C358" s="1"/>
      <c r="D358" s="1"/>
      <c r="E358" s="1"/>
      <c r="F358" s="1"/>
      <c r="G358" s="1"/>
      <c r="H358" s="1"/>
      <c r="I358" s="2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4.25" customHeight="1">
      <c r="A359" s="1"/>
      <c r="B359" s="1"/>
      <c r="C359" s="1"/>
      <c r="D359" s="1"/>
      <c r="E359" s="1"/>
      <c r="F359" s="1"/>
      <c r="G359" s="1"/>
      <c r="H359" s="1"/>
      <c r="I359" s="2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4.25" customHeight="1">
      <c r="A360" s="1"/>
      <c r="B360" s="1"/>
      <c r="C360" s="1"/>
      <c r="D360" s="1"/>
      <c r="E360" s="1"/>
      <c r="F360" s="1"/>
      <c r="G360" s="1"/>
      <c r="H360" s="1"/>
      <c r="I360" s="2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4.25" customHeight="1">
      <c r="A361" s="1"/>
      <c r="B361" s="1"/>
      <c r="C361" s="1"/>
      <c r="D361" s="1"/>
      <c r="E361" s="1"/>
      <c r="F361" s="1"/>
      <c r="G361" s="1"/>
      <c r="H361" s="1"/>
      <c r="I361" s="2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4.25" customHeight="1">
      <c r="A362" s="1"/>
      <c r="B362" s="1"/>
      <c r="C362" s="1"/>
      <c r="D362" s="1"/>
      <c r="E362" s="1"/>
      <c r="F362" s="1"/>
      <c r="G362" s="1"/>
      <c r="H362" s="1"/>
      <c r="I362" s="2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4.25" customHeight="1">
      <c r="A363" s="1"/>
      <c r="B363" s="1"/>
      <c r="C363" s="1"/>
      <c r="D363" s="1"/>
      <c r="E363" s="1"/>
      <c r="F363" s="1"/>
      <c r="G363" s="1"/>
      <c r="H363" s="1"/>
      <c r="I363" s="2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4.25" customHeight="1">
      <c r="A364" s="1"/>
      <c r="B364" s="1"/>
      <c r="C364" s="1"/>
      <c r="D364" s="1"/>
      <c r="E364" s="1"/>
      <c r="F364" s="1"/>
      <c r="G364" s="1"/>
      <c r="H364" s="1"/>
      <c r="I364" s="2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4.25" customHeight="1">
      <c r="A365" s="1"/>
      <c r="B365" s="1"/>
      <c r="C365" s="1"/>
      <c r="D365" s="1"/>
      <c r="E365" s="1"/>
      <c r="F365" s="1"/>
      <c r="G365" s="1"/>
      <c r="H365" s="1"/>
      <c r="I365" s="2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4.25" customHeight="1">
      <c r="A366" s="1"/>
      <c r="B366" s="1"/>
      <c r="C366" s="1"/>
      <c r="D366" s="1"/>
      <c r="E366" s="1"/>
      <c r="F366" s="1"/>
      <c r="G366" s="1"/>
      <c r="H366" s="1"/>
      <c r="I366" s="2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4.25" customHeight="1">
      <c r="A367" s="1"/>
      <c r="B367" s="1"/>
      <c r="C367" s="1"/>
      <c r="D367" s="1"/>
      <c r="E367" s="1"/>
      <c r="F367" s="1"/>
      <c r="G367" s="1"/>
      <c r="H367" s="1"/>
      <c r="I367" s="2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4.25" customHeight="1">
      <c r="A368" s="1"/>
      <c r="B368" s="1"/>
      <c r="C368" s="1"/>
      <c r="D368" s="1"/>
      <c r="E368" s="1"/>
      <c r="F368" s="1"/>
      <c r="G368" s="1"/>
      <c r="H368" s="1"/>
      <c r="I368" s="2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4.25" customHeight="1">
      <c r="A369" s="1"/>
      <c r="B369" s="1"/>
      <c r="C369" s="1"/>
      <c r="D369" s="1"/>
      <c r="E369" s="1"/>
      <c r="F369" s="1"/>
      <c r="G369" s="1"/>
      <c r="H369" s="1"/>
      <c r="I369" s="2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4.25" customHeight="1">
      <c r="A370" s="1"/>
      <c r="B370" s="1"/>
      <c r="C370" s="1"/>
      <c r="D370" s="1"/>
      <c r="E370" s="1"/>
      <c r="F370" s="1"/>
      <c r="G370" s="1"/>
      <c r="H370" s="1"/>
      <c r="I370" s="2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4.25" customHeight="1">
      <c r="A371" s="1"/>
      <c r="B371" s="1"/>
      <c r="C371" s="1"/>
      <c r="D371" s="1"/>
      <c r="E371" s="1"/>
      <c r="F371" s="1"/>
      <c r="G371" s="1"/>
      <c r="H371" s="1"/>
      <c r="I371" s="2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4.25" customHeight="1">
      <c r="A372" s="1"/>
      <c r="B372" s="1"/>
      <c r="C372" s="1"/>
      <c r="D372" s="1"/>
      <c r="E372" s="1"/>
      <c r="F372" s="1"/>
      <c r="G372" s="1"/>
      <c r="H372" s="1"/>
      <c r="I372" s="2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4.25" customHeight="1">
      <c r="A373" s="1"/>
      <c r="B373" s="1"/>
      <c r="C373" s="1"/>
      <c r="D373" s="1"/>
      <c r="E373" s="1"/>
      <c r="F373" s="1"/>
      <c r="G373" s="1"/>
      <c r="H373" s="1"/>
      <c r="I373" s="2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4.25" customHeight="1">
      <c r="A374" s="1"/>
      <c r="B374" s="1"/>
      <c r="C374" s="1"/>
      <c r="D374" s="1"/>
      <c r="E374" s="1"/>
      <c r="F374" s="1"/>
      <c r="G374" s="1"/>
      <c r="H374" s="1"/>
      <c r="I374" s="2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4.25" customHeight="1">
      <c r="A375" s="1"/>
      <c r="B375" s="1"/>
      <c r="C375" s="1"/>
      <c r="D375" s="1"/>
      <c r="E375" s="1"/>
      <c r="F375" s="1"/>
      <c r="G375" s="1"/>
      <c r="H375" s="1"/>
      <c r="I375" s="2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4.25" customHeight="1">
      <c r="A376" s="1"/>
      <c r="B376" s="1"/>
      <c r="C376" s="1"/>
      <c r="D376" s="1"/>
      <c r="E376" s="1"/>
      <c r="F376" s="1"/>
      <c r="G376" s="1"/>
      <c r="H376" s="1"/>
      <c r="I376" s="2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4.25" customHeight="1">
      <c r="A377" s="1"/>
      <c r="B377" s="1"/>
      <c r="C377" s="1"/>
      <c r="D377" s="1"/>
      <c r="E377" s="1"/>
      <c r="F377" s="1"/>
      <c r="G377" s="1"/>
      <c r="H377" s="1"/>
      <c r="I377" s="2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4.25" customHeight="1">
      <c r="A378" s="1"/>
      <c r="B378" s="1"/>
      <c r="C378" s="1"/>
      <c r="D378" s="1"/>
      <c r="E378" s="1"/>
      <c r="F378" s="1"/>
      <c r="G378" s="1"/>
      <c r="H378" s="1"/>
      <c r="I378" s="2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4.25" customHeight="1">
      <c r="A379" s="1"/>
      <c r="B379" s="1"/>
      <c r="C379" s="1"/>
      <c r="D379" s="1"/>
      <c r="E379" s="1"/>
      <c r="F379" s="1"/>
      <c r="G379" s="1"/>
      <c r="H379" s="1"/>
      <c r="I379" s="2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4.25" customHeight="1">
      <c r="A380" s="1"/>
      <c r="B380" s="1"/>
      <c r="C380" s="1"/>
      <c r="D380" s="1"/>
      <c r="E380" s="1"/>
      <c r="F380" s="1"/>
      <c r="G380" s="1"/>
      <c r="H380" s="1"/>
      <c r="I380" s="2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4.25" customHeight="1">
      <c r="A381" s="1"/>
      <c r="B381" s="1"/>
      <c r="C381" s="1"/>
      <c r="D381" s="1"/>
      <c r="E381" s="1"/>
      <c r="F381" s="1"/>
      <c r="G381" s="1"/>
      <c r="H381" s="1"/>
      <c r="I381" s="2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4.25" customHeight="1">
      <c r="A382" s="1"/>
      <c r="B382" s="1"/>
      <c r="C382" s="1"/>
      <c r="D382" s="1"/>
      <c r="E382" s="1"/>
      <c r="F382" s="1"/>
      <c r="G382" s="1"/>
      <c r="H382" s="1"/>
      <c r="I382" s="2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4.25" customHeight="1">
      <c r="A383" s="1"/>
      <c r="B383" s="1"/>
      <c r="C383" s="1"/>
      <c r="D383" s="1"/>
      <c r="E383" s="1"/>
      <c r="F383" s="1"/>
      <c r="G383" s="1"/>
      <c r="H383" s="1"/>
      <c r="I383" s="2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4.25" customHeight="1">
      <c r="A384" s="1"/>
      <c r="B384" s="1"/>
      <c r="C384" s="1"/>
      <c r="D384" s="1"/>
      <c r="E384" s="1"/>
      <c r="F384" s="1"/>
      <c r="G384" s="1"/>
      <c r="H384" s="1"/>
      <c r="I384" s="2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4.25" customHeight="1">
      <c r="A385" s="1"/>
      <c r="B385" s="1"/>
      <c r="C385" s="1"/>
      <c r="D385" s="1"/>
      <c r="E385" s="1"/>
      <c r="F385" s="1"/>
      <c r="G385" s="1"/>
      <c r="H385" s="1"/>
      <c r="I385" s="2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4.25" customHeight="1">
      <c r="A386" s="1"/>
      <c r="B386" s="1"/>
      <c r="C386" s="1"/>
      <c r="D386" s="1"/>
      <c r="E386" s="1"/>
      <c r="F386" s="1"/>
      <c r="G386" s="1"/>
      <c r="H386" s="1"/>
      <c r="I386" s="2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4.25" customHeight="1">
      <c r="A387" s="1"/>
      <c r="B387" s="1"/>
      <c r="C387" s="1"/>
      <c r="D387" s="1"/>
      <c r="E387" s="1"/>
      <c r="F387" s="1"/>
      <c r="G387" s="1"/>
      <c r="H387" s="1"/>
      <c r="I387" s="2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4.25" customHeight="1">
      <c r="A388" s="1"/>
      <c r="B388" s="1"/>
      <c r="C388" s="1"/>
      <c r="D388" s="1"/>
      <c r="E388" s="1"/>
      <c r="F388" s="1"/>
      <c r="G388" s="1"/>
      <c r="H388" s="1"/>
      <c r="I388" s="2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4.25" customHeight="1">
      <c r="A389" s="1"/>
      <c r="B389" s="1"/>
      <c r="C389" s="1"/>
      <c r="D389" s="1"/>
      <c r="E389" s="1"/>
      <c r="F389" s="1"/>
      <c r="G389" s="1"/>
      <c r="H389" s="1"/>
      <c r="I389" s="2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4.25" customHeight="1">
      <c r="A390" s="1"/>
      <c r="B390" s="1"/>
      <c r="C390" s="1"/>
      <c r="D390" s="1"/>
      <c r="E390" s="1"/>
      <c r="F390" s="1"/>
      <c r="G390" s="1"/>
      <c r="H390" s="1"/>
      <c r="I390" s="2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4.25" customHeight="1">
      <c r="A391" s="1"/>
      <c r="B391" s="1"/>
      <c r="C391" s="1"/>
      <c r="D391" s="1"/>
      <c r="E391" s="1"/>
      <c r="F391" s="1"/>
      <c r="G391" s="1"/>
      <c r="H391" s="1"/>
      <c r="I391" s="2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4.25" customHeight="1">
      <c r="A392" s="1"/>
      <c r="B392" s="1"/>
      <c r="C392" s="1"/>
      <c r="D392" s="1"/>
      <c r="E392" s="1"/>
      <c r="F392" s="1"/>
      <c r="G392" s="1"/>
      <c r="H392" s="1"/>
      <c r="I392" s="2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4.25" customHeight="1">
      <c r="A393" s="1"/>
      <c r="B393" s="1"/>
      <c r="C393" s="1"/>
      <c r="D393" s="1"/>
      <c r="E393" s="1"/>
      <c r="F393" s="1"/>
      <c r="G393" s="1"/>
      <c r="H393" s="1"/>
      <c r="I393" s="2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4.25" customHeight="1">
      <c r="A394" s="1"/>
      <c r="B394" s="1"/>
      <c r="C394" s="1"/>
      <c r="D394" s="1"/>
      <c r="E394" s="1"/>
      <c r="F394" s="1"/>
      <c r="G394" s="1"/>
      <c r="H394" s="1"/>
      <c r="I394" s="2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4.25" customHeight="1">
      <c r="A395" s="1"/>
      <c r="B395" s="1"/>
      <c r="C395" s="1"/>
      <c r="D395" s="1"/>
      <c r="E395" s="1"/>
      <c r="F395" s="1"/>
      <c r="G395" s="1"/>
      <c r="H395" s="1"/>
      <c r="I395" s="2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4.25" customHeight="1">
      <c r="A396" s="1"/>
      <c r="B396" s="1"/>
      <c r="C396" s="1"/>
      <c r="D396" s="1"/>
      <c r="E396" s="1"/>
      <c r="F396" s="1"/>
      <c r="G396" s="1"/>
      <c r="H396" s="1"/>
      <c r="I396" s="2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4.25" customHeight="1">
      <c r="A397" s="1"/>
      <c r="B397" s="1"/>
      <c r="C397" s="1"/>
      <c r="D397" s="1"/>
      <c r="E397" s="1"/>
      <c r="F397" s="1"/>
      <c r="G397" s="1"/>
      <c r="H397" s="1"/>
      <c r="I397" s="2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4.25" customHeight="1">
      <c r="A398" s="1"/>
      <c r="B398" s="1"/>
      <c r="C398" s="1"/>
      <c r="D398" s="1"/>
      <c r="E398" s="1"/>
      <c r="F398" s="1"/>
      <c r="G398" s="1"/>
      <c r="H398" s="1"/>
      <c r="I398" s="2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4.25" customHeight="1">
      <c r="A399" s="1"/>
      <c r="B399" s="1"/>
      <c r="C399" s="1"/>
      <c r="D399" s="1"/>
      <c r="E399" s="1"/>
      <c r="F399" s="1"/>
      <c r="G399" s="1"/>
      <c r="H399" s="1"/>
      <c r="I399" s="2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4.25" customHeight="1">
      <c r="A400" s="1"/>
      <c r="B400" s="1"/>
      <c r="C400" s="1"/>
      <c r="D400" s="1"/>
      <c r="E400" s="1"/>
      <c r="F400" s="1"/>
      <c r="G400" s="1"/>
      <c r="H400" s="1"/>
      <c r="I400" s="2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4.25" customHeight="1">
      <c r="A401" s="1"/>
      <c r="B401" s="1"/>
      <c r="C401" s="1"/>
      <c r="D401" s="1"/>
      <c r="E401" s="1"/>
      <c r="F401" s="1"/>
      <c r="G401" s="1"/>
      <c r="H401" s="1"/>
      <c r="I401" s="2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4.25" customHeight="1">
      <c r="A402" s="1"/>
      <c r="B402" s="1"/>
      <c r="C402" s="1"/>
      <c r="D402" s="1"/>
      <c r="E402" s="1"/>
      <c r="F402" s="1"/>
      <c r="G402" s="1"/>
      <c r="H402" s="1"/>
      <c r="I402" s="2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4.25" customHeight="1">
      <c r="A403" s="1"/>
      <c r="B403" s="1"/>
      <c r="C403" s="1"/>
      <c r="D403" s="1"/>
      <c r="E403" s="1"/>
      <c r="F403" s="1"/>
      <c r="G403" s="1"/>
      <c r="H403" s="1"/>
      <c r="I403" s="2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4.25" customHeight="1">
      <c r="A404" s="1"/>
      <c r="B404" s="1"/>
      <c r="C404" s="1"/>
      <c r="D404" s="1"/>
      <c r="E404" s="1"/>
      <c r="F404" s="1"/>
      <c r="G404" s="1"/>
      <c r="H404" s="1"/>
      <c r="I404" s="2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4.25" customHeight="1">
      <c r="A405" s="1"/>
      <c r="B405" s="1"/>
      <c r="C405" s="1"/>
      <c r="D405" s="1"/>
      <c r="E405" s="1"/>
      <c r="F405" s="1"/>
      <c r="G405" s="1"/>
      <c r="H405" s="1"/>
      <c r="I405" s="2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4.25" customHeight="1">
      <c r="A406" s="1"/>
      <c r="B406" s="1"/>
      <c r="C406" s="1"/>
      <c r="D406" s="1"/>
      <c r="E406" s="1"/>
      <c r="F406" s="1"/>
      <c r="G406" s="1"/>
      <c r="H406" s="1"/>
      <c r="I406" s="2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4.25" customHeight="1">
      <c r="A407" s="1"/>
      <c r="B407" s="1"/>
      <c r="C407" s="1"/>
      <c r="D407" s="1"/>
      <c r="E407" s="1"/>
      <c r="F407" s="1"/>
      <c r="G407" s="1"/>
      <c r="H407" s="1"/>
      <c r="I407" s="2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4.25" customHeight="1">
      <c r="A408" s="1"/>
      <c r="B408" s="1"/>
      <c r="C408" s="1"/>
      <c r="D408" s="1"/>
      <c r="E408" s="1"/>
      <c r="F408" s="1"/>
      <c r="G408" s="1"/>
      <c r="H408" s="1"/>
      <c r="I408" s="2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4.25" customHeight="1">
      <c r="A409" s="1"/>
      <c r="B409" s="1"/>
      <c r="C409" s="1"/>
      <c r="D409" s="1"/>
      <c r="E409" s="1"/>
      <c r="F409" s="1"/>
      <c r="G409" s="1"/>
      <c r="H409" s="1"/>
      <c r="I409" s="2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4.25" customHeight="1">
      <c r="A410" s="1"/>
      <c r="B410" s="1"/>
      <c r="C410" s="1"/>
      <c r="D410" s="1"/>
      <c r="E410" s="1"/>
      <c r="F410" s="1"/>
      <c r="G410" s="1"/>
      <c r="H410" s="1"/>
      <c r="I410" s="2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4.25" customHeight="1">
      <c r="A411" s="1"/>
      <c r="B411" s="1"/>
      <c r="C411" s="1"/>
      <c r="D411" s="1"/>
      <c r="E411" s="1"/>
      <c r="F411" s="1"/>
      <c r="G411" s="1"/>
      <c r="H411" s="1"/>
      <c r="I411" s="2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4.25" customHeight="1">
      <c r="A412" s="1"/>
      <c r="B412" s="1"/>
      <c r="C412" s="1"/>
      <c r="D412" s="1"/>
      <c r="E412" s="1"/>
      <c r="F412" s="1"/>
      <c r="G412" s="1"/>
      <c r="H412" s="1"/>
      <c r="I412" s="2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4.25" customHeight="1">
      <c r="A413" s="1"/>
      <c r="B413" s="1"/>
      <c r="C413" s="1"/>
      <c r="D413" s="1"/>
      <c r="E413" s="1"/>
      <c r="F413" s="1"/>
      <c r="G413" s="1"/>
      <c r="H413" s="1"/>
      <c r="I413" s="2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4.25" customHeight="1">
      <c r="A414" s="1"/>
      <c r="B414" s="1"/>
      <c r="C414" s="1"/>
      <c r="D414" s="1"/>
      <c r="E414" s="1"/>
      <c r="F414" s="1"/>
      <c r="G414" s="1"/>
      <c r="H414" s="1"/>
      <c r="I414" s="2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4.25" customHeight="1">
      <c r="A415" s="1"/>
      <c r="B415" s="1"/>
      <c r="C415" s="1"/>
      <c r="D415" s="1"/>
      <c r="E415" s="1"/>
      <c r="F415" s="1"/>
      <c r="G415" s="1"/>
      <c r="H415" s="1"/>
      <c r="I415" s="2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4.25" customHeight="1">
      <c r="A416" s="1"/>
      <c r="B416" s="1"/>
      <c r="C416" s="1"/>
      <c r="D416" s="1"/>
      <c r="E416" s="1"/>
      <c r="F416" s="1"/>
      <c r="G416" s="1"/>
      <c r="H416" s="1"/>
      <c r="I416" s="2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4.25" customHeight="1">
      <c r="A417" s="1"/>
      <c r="B417" s="1"/>
      <c r="C417" s="1"/>
      <c r="D417" s="1"/>
      <c r="E417" s="1"/>
      <c r="F417" s="1"/>
      <c r="G417" s="1"/>
      <c r="H417" s="1"/>
      <c r="I417" s="2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4.25" customHeight="1">
      <c r="A418" s="1"/>
      <c r="B418" s="1"/>
      <c r="C418" s="1"/>
      <c r="D418" s="1"/>
      <c r="E418" s="1"/>
      <c r="F418" s="1"/>
      <c r="G418" s="1"/>
      <c r="H418" s="1"/>
      <c r="I418" s="2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4.25" customHeight="1">
      <c r="A419" s="1"/>
      <c r="B419" s="1"/>
      <c r="C419" s="1"/>
      <c r="D419" s="1"/>
      <c r="E419" s="1"/>
      <c r="F419" s="1"/>
      <c r="G419" s="1"/>
      <c r="H419" s="1"/>
      <c r="I419" s="2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4.25" customHeight="1">
      <c r="A420" s="1"/>
      <c r="B420" s="1"/>
      <c r="C420" s="1"/>
      <c r="D420" s="1"/>
      <c r="E420" s="1"/>
      <c r="F420" s="1"/>
      <c r="G420" s="1"/>
      <c r="H420" s="1"/>
      <c r="I420" s="2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4.25" customHeight="1">
      <c r="A421" s="1"/>
      <c r="B421" s="1"/>
      <c r="C421" s="1"/>
      <c r="D421" s="1"/>
      <c r="E421" s="1"/>
      <c r="F421" s="1"/>
      <c r="G421" s="1"/>
      <c r="H421" s="1"/>
      <c r="I421" s="2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4.25" customHeight="1">
      <c r="A422" s="1"/>
      <c r="B422" s="1"/>
      <c r="C422" s="1"/>
      <c r="D422" s="1"/>
      <c r="E422" s="1"/>
      <c r="F422" s="1"/>
      <c r="G422" s="1"/>
      <c r="H422" s="1"/>
      <c r="I422" s="2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4.25" customHeight="1">
      <c r="A423" s="1"/>
      <c r="B423" s="1"/>
      <c r="C423" s="1"/>
      <c r="D423" s="1"/>
      <c r="E423" s="1"/>
      <c r="F423" s="1"/>
      <c r="G423" s="1"/>
      <c r="H423" s="1"/>
      <c r="I423" s="2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4.25" customHeight="1">
      <c r="A424" s="1"/>
      <c r="B424" s="1"/>
      <c r="C424" s="1"/>
      <c r="D424" s="1"/>
      <c r="E424" s="1"/>
      <c r="F424" s="1"/>
      <c r="G424" s="1"/>
      <c r="H424" s="1"/>
      <c r="I424" s="2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4.25" customHeight="1">
      <c r="A425" s="1"/>
      <c r="B425" s="1"/>
      <c r="C425" s="1"/>
      <c r="D425" s="1"/>
      <c r="E425" s="1"/>
      <c r="F425" s="1"/>
      <c r="G425" s="1"/>
      <c r="H425" s="1"/>
      <c r="I425" s="2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4.25" customHeight="1">
      <c r="A426" s="1"/>
      <c r="B426" s="1"/>
      <c r="C426" s="1"/>
      <c r="D426" s="1"/>
      <c r="E426" s="1"/>
      <c r="F426" s="1"/>
      <c r="G426" s="1"/>
      <c r="H426" s="1"/>
      <c r="I426" s="2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4.25" customHeight="1">
      <c r="A427" s="1"/>
      <c r="B427" s="1"/>
      <c r="C427" s="1"/>
      <c r="D427" s="1"/>
      <c r="E427" s="1"/>
      <c r="F427" s="1"/>
      <c r="G427" s="1"/>
      <c r="H427" s="1"/>
      <c r="I427" s="2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4.25" customHeight="1">
      <c r="A428" s="1"/>
      <c r="B428" s="1"/>
      <c r="C428" s="1"/>
      <c r="D428" s="1"/>
      <c r="E428" s="1"/>
      <c r="F428" s="1"/>
      <c r="G428" s="1"/>
      <c r="H428" s="1"/>
      <c r="I428" s="2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4.25" customHeight="1">
      <c r="A429" s="1"/>
      <c r="B429" s="1"/>
      <c r="C429" s="1"/>
      <c r="D429" s="1"/>
      <c r="E429" s="1"/>
      <c r="F429" s="1"/>
      <c r="G429" s="1"/>
      <c r="H429" s="1"/>
      <c r="I429" s="2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4.25" customHeight="1">
      <c r="A430" s="1"/>
      <c r="B430" s="1"/>
      <c r="C430" s="1"/>
      <c r="D430" s="1"/>
      <c r="E430" s="1"/>
      <c r="F430" s="1"/>
      <c r="G430" s="1"/>
      <c r="H430" s="1"/>
      <c r="I430" s="2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4.25" customHeight="1">
      <c r="A431" s="1"/>
      <c r="B431" s="1"/>
      <c r="C431" s="1"/>
      <c r="D431" s="1"/>
      <c r="E431" s="1"/>
      <c r="F431" s="1"/>
      <c r="G431" s="1"/>
      <c r="H431" s="1"/>
      <c r="I431" s="2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4.25" customHeight="1">
      <c r="A432" s="1"/>
      <c r="B432" s="1"/>
      <c r="C432" s="1"/>
      <c r="D432" s="1"/>
      <c r="E432" s="1"/>
      <c r="F432" s="1"/>
      <c r="G432" s="1"/>
      <c r="H432" s="1"/>
      <c r="I432" s="2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4.25" customHeight="1">
      <c r="A433" s="1"/>
      <c r="B433" s="1"/>
      <c r="C433" s="1"/>
      <c r="D433" s="1"/>
      <c r="E433" s="1"/>
      <c r="F433" s="1"/>
      <c r="G433" s="1"/>
      <c r="H433" s="1"/>
      <c r="I433" s="2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4.25" customHeight="1">
      <c r="A434" s="1"/>
      <c r="B434" s="1"/>
      <c r="C434" s="1"/>
      <c r="D434" s="1"/>
      <c r="E434" s="1"/>
      <c r="F434" s="1"/>
      <c r="G434" s="1"/>
      <c r="H434" s="1"/>
      <c r="I434" s="2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4.25" customHeight="1">
      <c r="A435" s="1"/>
      <c r="B435" s="1"/>
      <c r="C435" s="1"/>
      <c r="D435" s="1"/>
      <c r="E435" s="1"/>
      <c r="F435" s="1"/>
      <c r="G435" s="1"/>
      <c r="H435" s="1"/>
      <c r="I435" s="2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4.25" customHeight="1">
      <c r="A436" s="1"/>
      <c r="B436" s="1"/>
      <c r="C436" s="1"/>
      <c r="D436" s="1"/>
      <c r="E436" s="1"/>
      <c r="F436" s="1"/>
      <c r="G436" s="1"/>
      <c r="H436" s="1"/>
      <c r="I436" s="2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4.25" customHeight="1">
      <c r="A437" s="1"/>
      <c r="B437" s="1"/>
      <c r="C437" s="1"/>
      <c r="D437" s="1"/>
      <c r="E437" s="1"/>
      <c r="F437" s="1"/>
      <c r="G437" s="1"/>
      <c r="H437" s="1"/>
      <c r="I437" s="2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4.25" customHeight="1">
      <c r="A438" s="1"/>
      <c r="B438" s="1"/>
      <c r="C438" s="1"/>
      <c r="D438" s="1"/>
      <c r="E438" s="1"/>
      <c r="F438" s="1"/>
      <c r="G438" s="1"/>
      <c r="H438" s="1"/>
      <c r="I438" s="2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4.25" customHeight="1">
      <c r="A439" s="1"/>
      <c r="B439" s="1"/>
      <c r="C439" s="1"/>
      <c r="D439" s="1"/>
      <c r="E439" s="1"/>
      <c r="F439" s="1"/>
      <c r="G439" s="1"/>
      <c r="H439" s="1"/>
      <c r="I439" s="2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4.25" customHeight="1">
      <c r="A440" s="1"/>
      <c r="B440" s="1"/>
      <c r="C440" s="1"/>
      <c r="D440" s="1"/>
      <c r="E440" s="1"/>
      <c r="F440" s="1"/>
      <c r="G440" s="1"/>
      <c r="H440" s="1"/>
      <c r="I440" s="2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4.25" customHeight="1">
      <c r="A441" s="1"/>
      <c r="B441" s="1"/>
      <c r="C441" s="1"/>
      <c r="D441" s="1"/>
      <c r="E441" s="1"/>
      <c r="F441" s="1"/>
      <c r="G441" s="1"/>
      <c r="H441" s="1"/>
      <c r="I441" s="2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4.25" customHeight="1">
      <c r="A442" s="1"/>
      <c r="B442" s="1"/>
      <c r="C442" s="1"/>
      <c r="D442" s="1"/>
      <c r="E442" s="1"/>
      <c r="F442" s="1"/>
      <c r="G442" s="1"/>
      <c r="H442" s="1"/>
      <c r="I442" s="2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4.25" customHeight="1">
      <c r="A443" s="1"/>
      <c r="B443" s="1"/>
      <c r="C443" s="1"/>
      <c r="D443" s="1"/>
      <c r="E443" s="1"/>
      <c r="F443" s="1"/>
      <c r="G443" s="1"/>
      <c r="H443" s="1"/>
      <c r="I443" s="2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4.25" customHeight="1">
      <c r="A444" s="1"/>
      <c r="B444" s="1"/>
      <c r="C444" s="1"/>
      <c r="D444" s="1"/>
      <c r="E444" s="1"/>
      <c r="F444" s="1"/>
      <c r="G444" s="1"/>
      <c r="H444" s="1"/>
      <c r="I444" s="2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4.25" customHeight="1">
      <c r="A445" s="1"/>
      <c r="B445" s="1"/>
      <c r="C445" s="1"/>
      <c r="D445" s="1"/>
      <c r="E445" s="1"/>
      <c r="F445" s="1"/>
      <c r="G445" s="1"/>
      <c r="H445" s="1"/>
      <c r="I445" s="2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4.25" customHeight="1">
      <c r="A446" s="1"/>
      <c r="B446" s="1"/>
      <c r="C446" s="1"/>
      <c r="D446" s="1"/>
      <c r="E446" s="1"/>
      <c r="F446" s="1"/>
      <c r="G446" s="1"/>
      <c r="H446" s="1"/>
      <c r="I446" s="2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4.25" customHeight="1">
      <c r="A447" s="1"/>
      <c r="B447" s="1"/>
      <c r="C447" s="1"/>
      <c r="D447" s="1"/>
      <c r="E447" s="1"/>
      <c r="F447" s="1"/>
      <c r="G447" s="1"/>
      <c r="H447" s="1"/>
      <c r="I447" s="2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4.25" customHeight="1">
      <c r="A448" s="1"/>
      <c r="B448" s="1"/>
      <c r="C448" s="1"/>
      <c r="D448" s="1"/>
      <c r="E448" s="1"/>
      <c r="F448" s="1"/>
      <c r="G448" s="1"/>
      <c r="H448" s="1"/>
      <c r="I448" s="2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4.25" customHeight="1">
      <c r="A449" s="1"/>
      <c r="B449" s="1"/>
      <c r="C449" s="1"/>
      <c r="D449" s="1"/>
      <c r="E449" s="1"/>
      <c r="F449" s="1"/>
      <c r="G449" s="1"/>
      <c r="H449" s="1"/>
      <c r="I449" s="2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4.25" customHeight="1">
      <c r="A450" s="1"/>
      <c r="B450" s="1"/>
      <c r="C450" s="1"/>
      <c r="D450" s="1"/>
      <c r="E450" s="1"/>
      <c r="F450" s="1"/>
      <c r="G450" s="1"/>
      <c r="H450" s="1"/>
      <c r="I450" s="2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4.25" customHeight="1">
      <c r="A451" s="1"/>
      <c r="B451" s="1"/>
      <c r="C451" s="1"/>
      <c r="D451" s="1"/>
      <c r="E451" s="1"/>
      <c r="F451" s="1"/>
      <c r="G451" s="1"/>
      <c r="H451" s="1"/>
      <c r="I451" s="2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4.25" customHeight="1">
      <c r="A452" s="1"/>
      <c r="B452" s="1"/>
      <c r="C452" s="1"/>
      <c r="D452" s="1"/>
      <c r="E452" s="1"/>
      <c r="F452" s="1"/>
      <c r="G452" s="1"/>
      <c r="H452" s="1"/>
      <c r="I452" s="2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4.25" customHeight="1">
      <c r="A453" s="1"/>
      <c r="B453" s="1"/>
      <c r="C453" s="1"/>
      <c r="D453" s="1"/>
      <c r="E453" s="1"/>
      <c r="F453" s="1"/>
      <c r="G453" s="1"/>
      <c r="H453" s="1"/>
      <c r="I453" s="2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4.25" customHeight="1">
      <c r="A454" s="1"/>
      <c r="B454" s="1"/>
      <c r="C454" s="1"/>
      <c r="D454" s="1"/>
      <c r="E454" s="1"/>
      <c r="F454" s="1"/>
      <c r="G454" s="1"/>
      <c r="H454" s="1"/>
      <c r="I454" s="2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4.25" customHeight="1">
      <c r="A455" s="1"/>
      <c r="B455" s="1"/>
      <c r="C455" s="1"/>
      <c r="D455" s="1"/>
      <c r="E455" s="1"/>
      <c r="F455" s="1"/>
      <c r="G455" s="1"/>
      <c r="H455" s="1"/>
      <c r="I455" s="2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4.25" customHeight="1">
      <c r="A456" s="1"/>
      <c r="B456" s="1"/>
      <c r="C456" s="1"/>
      <c r="D456" s="1"/>
      <c r="E456" s="1"/>
      <c r="F456" s="1"/>
      <c r="G456" s="1"/>
      <c r="H456" s="1"/>
      <c r="I456" s="2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4.25" customHeight="1">
      <c r="A457" s="1"/>
      <c r="B457" s="1"/>
      <c r="C457" s="1"/>
      <c r="D457" s="1"/>
      <c r="E457" s="1"/>
      <c r="F457" s="1"/>
      <c r="G457" s="1"/>
      <c r="H457" s="1"/>
      <c r="I457" s="2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4.25" customHeight="1">
      <c r="A458" s="1"/>
      <c r="B458" s="1"/>
      <c r="C458" s="1"/>
      <c r="D458" s="1"/>
      <c r="E458" s="1"/>
      <c r="F458" s="1"/>
      <c r="G458" s="1"/>
      <c r="H458" s="1"/>
      <c r="I458" s="2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4.25" customHeight="1">
      <c r="A459" s="1"/>
      <c r="B459" s="1"/>
      <c r="C459" s="1"/>
      <c r="D459" s="1"/>
      <c r="E459" s="1"/>
      <c r="F459" s="1"/>
      <c r="G459" s="1"/>
      <c r="H459" s="1"/>
      <c r="I459" s="2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4.25" customHeight="1">
      <c r="A460" s="1"/>
      <c r="B460" s="1"/>
      <c r="C460" s="1"/>
      <c r="D460" s="1"/>
      <c r="E460" s="1"/>
      <c r="F460" s="1"/>
      <c r="G460" s="1"/>
      <c r="H460" s="1"/>
      <c r="I460" s="2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4.25" customHeight="1">
      <c r="A461" s="1"/>
      <c r="B461" s="1"/>
      <c r="C461" s="1"/>
      <c r="D461" s="1"/>
      <c r="E461" s="1"/>
      <c r="F461" s="1"/>
      <c r="G461" s="1"/>
      <c r="H461" s="1"/>
      <c r="I461" s="2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4.25" customHeight="1">
      <c r="A462" s="1"/>
      <c r="B462" s="1"/>
      <c r="C462" s="1"/>
      <c r="D462" s="1"/>
      <c r="E462" s="1"/>
      <c r="F462" s="1"/>
      <c r="G462" s="1"/>
      <c r="H462" s="1"/>
      <c r="I462" s="2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4.25" customHeight="1">
      <c r="A463" s="1"/>
      <c r="B463" s="1"/>
      <c r="C463" s="1"/>
      <c r="D463" s="1"/>
      <c r="E463" s="1"/>
      <c r="F463" s="1"/>
      <c r="G463" s="1"/>
      <c r="H463" s="1"/>
      <c r="I463" s="2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4.25" customHeight="1">
      <c r="A464" s="1"/>
      <c r="B464" s="1"/>
      <c r="C464" s="1"/>
      <c r="D464" s="1"/>
      <c r="E464" s="1"/>
      <c r="F464" s="1"/>
      <c r="G464" s="1"/>
      <c r="H464" s="1"/>
      <c r="I464" s="2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4.25" customHeight="1">
      <c r="A465" s="1"/>
      <c r="B465" s="1"/>
      <c r="C465" s="1"/>
      <c r="D465" s="1"/>
      <c r="E465" s="1"/>
      <c r="F465" s="1"/>
      <c r="G465" s="1"/>
      <c r="H465" s="1"/>
      <c r="I465" s="2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4.25" customHeight="1">
      <c r="A466" s="1"/>
      <c r="B466" s="1"/>
      <c r="C466" s="1"/>
      <c r="D466" s="1"/>
      <c r="E466" s="1"/>
      <c r="F466" s="1"/>
      <c r="G466" s="1"/>
      <c r="H466" s="1"/>
      <c r="I466" s="2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4.25" customHeight="1">
      <c r="A467" s="1"/>
      <c r="B467" s="1"/>
      <c r="C467" s="1"/>
      <c r="D467" s="1"/>
      <c r="E467" s="1"/>
      <c r="F467" s="1"/>
      <c r="G467" s="1"/>
      <c r="H467" s="1"/>
      <c r="I467" s="2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4.25" customHeight="1">
      <c r="A468" s="1"/>
      <c r="B468" s="1"/>
      <c r="C468" s="1"/>
      <c r="D468" s="1"/>
      <c r="E468" s="1"/>
      <c r="F468" s="1"/>
      <c r="G468" s="1"/>
      <c r="H468" s="1"/>
      <c r="I468" s="2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4.25" customHeight="1">
      <c r="A469" s="1"/>
      <c r="B469" s="1"/>
      <c r="C469" s="1"/>
      <c r="D469" s="1"/>
      <c r="E469" s="1"/>
      <c r="F469" s="1"/>
      <c r="G469" s="1"/>
      <c r="H469" s="1"/>
      <c r="I469" s="2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4.25" customHeight="1">
      <c r="A470" s="1"/>
      <c r="B470" s="1"/>
      <c r="C470" s="1"/>
      <c r="D470" s="1"/>
      <c r="E470" s="1"/>
      <c r="F470" s="1"/>
      <c r="G470" s="1"/>
      <c r="H470" s="1"/>
      <c r="I470" s="2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4.25" customHeight="1">
      <c r="A471" s="1"/>
      <c r="B471" s="1"/>
      <c r="C471" s="1"/>
      <c r="D471" s="1"/>
      <c r="E471" s="1"/>
      <c r="F471" s="1"/>
      <c r="G471" s="1"/>
      <c r="H471" s="1"/>
      <c r="I471" s="2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4.25" customHeight="1">
      <c r="A472" s="1"/>
      <c r="B472" s="1"/>
      <c r="C472" s="1"/>
      <c r="D472" s="1"/>
      <c r="E472" s="1"/>
      <c r="F472" s="1"/>
      <c r="G472" s="1"/>
      <c r="H472" s="1"/>
      <c r="I472" s="2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4.25" customHeight="1">
      <c r="A473" s="1"/>
      <c r="B473" s="1"/>
      <c r="C473" s="1"/>
      <c r="D473" s="1"/>
      <c r="E473" s="1"/>
      <c r="F473" s="1"/>
      <c r="G473" s="1"/>
      <c r="H473" s="1"/>
      <c r="I473" s="2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4.25" customHeight="1">
      <c r="A474" s="1"/>
      <c r="B474" s="1"/>
      <c r="C474" s="1"/>
      <c r="D474" s="1"/>
      <c r="E474" s="1"/>
      <c r="F474" s="1"/>
      <c r="G474" s="1"/>
      <c r="H474" s="1"/>
      <c r="I474" s="2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4.25" customHeight="1">
      <c r="A475" s="1"/>
      <c r="B475" s="1"/>
      <c r="C475" s="1"/>
      <c r="D475" s="1"/>
      <c r="E475" s="1"/>
      <c r="F475" s="1"/>
      <c r="G475" s="1"/>
      <c r="H475" s="1"/>
      <c r="I475" s="2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4.25" customHeight="1">
      <c r="A476" s="1"/>
      <c r="B476" s="1"/>
      <c r="C476" s="1"/>
      <c r="D476" s="1"/>
      <c r="E476" s="1"/>
      <c r="F476" s="1"/>
      <c r="G476" s="1"/>
      <c r="H476" s="1"/>
      <c r="I476" s="2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4.25" customHeight="1">
      <c r="A477" s="1"/>
      <c r="B477" s="1"/>
      <c r="C477" s="1"/>
      <c r="D477" s="1"/>
      <c r="E477" s="1"/>
      <c r="F477" s="1"/>
      <c r="G477" s="1"/>
      <c r="H477" s="1"/>
      <c r="I477" s="2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4.25" customHeight="1">
      <c r="A478" s="1"/>
      <c r="B478" s="1"/>
      <c r="C478" s="1"/>
      <c r="D478" s="1"/>
      <c r="E478" s="1"/>
      <c r="F478" s="1"/>
      <c r="G478" s="1"/>
      <c r="H478" s="1"/>
      <c r="I478" s="2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4.25" customHeight="1">
      <c r="A479" s="1"/>
      <c r="B479" s="1"/>
      <c r="C479" s="1"/>
      <c r="D479" s="1"/>
      <c r="E479" s="1"/>
      <c r="F479" s="1"/>
      <c r="G479" s="1"/>
      <c r="H479" s="1"/>
      <c r="I479" s="2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4.25" customHeight="1">
      <c r="A480" s="1"/>
      <c r="B480" s="1"/>
      <c r="C480" s="1"/>
      <c r="D480" s="1"/>
      <c r="E480" s="1"/>
      <c r="F480" s="1"/>
      <c r="G480" s="1"/>
      <c r="H480" s="1"/>
      <c r="I480" s="2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4.25" customHeight="1">
      <c r="A481" s="1"/>
      <c r="B481" s="1"/>
      <c r="C481" s="1"/>
      <c r="D481" s="1"/>
      <c r="E481" s="1"/>
      <c r="F481" s="1"/>
      <c r="G481" s="1"/>
      <c r="H481" s="1"/>
      <c r="I481" s="2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4.25" customHeight="1">
      <c r="A482" s="1"/>
      <c r="B482" s="1"/>
      <c r="C482" s="1"/>
      <c r="D482" s="1"/>
      <c r="E482" s="1"/>
      <c r="F482" s="1"/>
      <c r="G482" s="1"/>
      <c r="H482" s="1"/>
      <c r="I482" s="2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4.25" customHeight="1">
      <c r="A483" s="1"/>
      <c r="B483" s="1"/>
      <c r="C483" s="1"/>
      <c r="D483" s="1"/>
      <c r="E483" s="1"/>
      <c r="F483" s="1"/>
      <c r="G483" s="1"/>
      <c r="H483" s="1"/>
      <c r="I483" s="2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4.25" customHeight="1">
      <c r="A484" s="1"/>
      <c r="B484" s="1"/>
      <c r="C484" s="1"/>
      <c r="D484" s="1"/>
      <c r="E484" s="1"/>
      <c r="F484" s="1"/>
      <c r="G484" s="1"/>
      <c r="H484" s="1"/>
      <c r="I484" s="2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4.25" customHeight="1">
      <c r="A485" s="1"/>
      <c r="B485" s="1"/>
      <c r="C485" s="1"/>
      <c r="D485" s="1"/>
      <c r="E485" s="1"/>
      <c r="F485" s="1"/>
      <c r="G485" s="1"/>
      <c r="H485" s="1"/>
      <c r="I485" s="2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4.25" customHeight="1">
      <c r="A486" s="1"/>
      <c r="B486" s="1"/>
      <c r="C486" s="1"/>
      <c r="D486" s="1"/>
      <c r="E486" s="1"/>
      <c r="F486" s="1"/>
      <c r="G486" s="1"/>
      <c r="H486" s="1"/>
      <c r="I486" s="2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4.25" customHeight="1">
      <c r="A487" s="1"/>
      <c r="B487" s="1"/>
      <c r="C487" s="1"/>
      <c r="D487" s="1"/>
      <c r="E487" s="1"/>
      <c r="F487" s="1"/>
      <c r="G487" s="1"/>
      <c r="H487" s="1"/>
      <c r="I487" s="2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4.25" customHeight="1">
      <c r="A488" s="1"/>
      <c r="B488" s="1"/>
      <c r="C488" s="1"/>
      <c r="D488" s="1"/>
      <c r="E488" s="1"/>
      <c r="F488" s="1"/>
      <c r="G488" s="1"/>
      <c r="H488" s="1"/>
      <c r="I488" s="2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4.25" customHeight="1">
      <c r="A489" s="1"/>
      <c r="B489" s="1"/>
      <c r="C489" s="1"/>
      <c r="D489" s="1"/>
      <c r="E489" s="1"/>
      <c r="F489" s="1"/>
      <c r="G489" s="1"/>
      <c r="H489" s="1"/>
      <c r="I489" s="2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4.25" customHeight="1">
      <c r="A490" s="1"/>
      <c r="B490" s="1"/>
      <c r="C490" s="1"/>
      <c r="D490" s="1"/>
      <c r="E490" s="1"/>
      <c r="F490" s="1"/>
      <c r="G490" s="1"/>
      <c r="H490" s="1"/>
      <c r="I490" s="2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4.25" customHeight="1">
      <c r="A491" s="1"/>
      <c r="B491" s="1"/>
      <c r="C491" s="1"/>
      <c r="D491" s="1"/>
      <c r="E491" s="1"/>
      <c r="F491" s="1"/>
      <c r="G491" s="1"/>
      <c r="H491" s="1"/>
      <c r="I491" s="2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4.25" customHeight="1">
      <c r="A492" s="1"/>
      <c r="B492" s="1"/>
      <c r="C492" s="1"/>
      <c r="D492" s="1"/>
      <c r="E492" s="1"/>
      <c r="F492" s="1"/>
      <c r="G492" s="1"/>
      <c r="H492" s="1"/>
      <c r="I492" s="2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4.25" customHeight="1">
      <c r="A493" s="1"/>
      <c r="B493" s="1"/>
      <c r="C493" s="1"/>
      <c r="D493" s="1"/>
      <c r="E493" s="1"/>
      <c r="F493" s="1"/>
      <c r="G493" s="1"/>
      <c r="H493" s="1"/>
      <c r="I493" s="2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4.25" customHeight="1">
      <c r="A494" s="1"/>
      <c r="B494" s="1"/>
      <c r="C494" s="1"/>
      <c r="D494" s="1"/>
      <c r="E494" s="1"/>
      <c r="F494" s="1"/>
      <c r="G494" s="1"/>
      <c r="H494" s="1"/>
      <c r="I494" s="2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4.25" customHeight="1">
      <c r="A495" s="1"/>
      <c r="B495" s="1"/>
      <c r="C495" s="1"/>
      <c r="D495" s="1"/>
      <c r="E495" s="1"/>
      <c r="F495" s="1"/>
      <c r="G495" s="1"/>
      <c r="H495" s="1"/>
      <c r="I495" s="2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4.25" customHeight="1">
      <c r="A496" s="1"/>
      <c r="B496" s="1"/>
      <c r="C496" s="1"/>
      <c r="D496" s="1"/>
      <c r="E496" s="1"/>
      <c r="F496" s="1"/>
      <c r="G496" s="1"/>
      <c r="H496" s="1"/>
      <c r="I496" s="2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4.25" customHeight="1">
      <c r="A497" s="1"/>
      <c r="B497" s="1"/>
      <c r="C497" s="1"/>
      <c r="D497" s="1"/>
      <c r="E497" s="1"/>
      <c r="F497" s="1"/>
      <c r="G497" s="1"/>
      <c r="H497" s="1"/>
      <c r="I497" s="2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4.25" customHeight="1">
      <c r="A498" s="1"/>
      <c r="B498" s="1"/>
      <c r="C498" s="1"/>
      <c r="D498" s="1"/>
      <c r="E498" s="1"/>
      <c r="F498" s="1"/>
      <c r="G498" s="1"/>
      <c r="H498" s="1"/>
      <c r="I498" s="2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4.25" customHeight="1">
      <c r="A499" s="1"/>
      <c r="B499" s="1"/>
      <c r="C499" s="1"/>
      <c r="D499" s="1"/>
      <c r="E499" s="1"/>
      <c r="F499" s="1"/>
      <c r="G499" s="1"/>
      <c r="H499" s="1"/>
      <c r="I499" s="2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4.25" customHeight="1">
      <c r="A500" s="1"/>
      <c r="B500" s="1"/>
      <c r="C500" s="1"/>
      <c r="D500" s="1"/>
      <c r="E500" s="1"/>
      <c r="F500" s="1"/>
      <c r="G500" s="1"/>
      <c r="H500" s="1"/>
      <c r="I500" s="2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4.25" customHeight="1">
      <c r="A501" s="1"/>
      <c r="B501" s="1"/>
      <c r="C501" s="1"/>
      <c r="D501" s="1"/>
      <c r="E501" s="1"/>
      <c r="F501" s="1"/>
      <c r="G501" s="1"/>
      <c r="H501" s="1"/>
      <c r="I501" s="2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4.25" customHeight="1">
      <c r="A502" s="1"/>
      <c r="B502" s="1"/>
      <c r="C502" s="1"/>
      <c r="D502" s="1"/>
      <c r="E502" s="1"/>
      <c r="F502" s="1"/>
      <c r="G502" s="1"/>
      <c r="H502" s="1"/>
      <c r="I502" s="2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4.25" customHeight="1">
      <c r="A503" s="1"/>
      <c r="B503" s="1"/>
      <c r="C503" s="1"/>
      <c r="D503" s="1"/>
      <c r="E503" s="1"/>
      <c r="F503" s="1"/>
      <c r="G503" s="1"/>
      <c r="H503" s="1"/>
      <c r="I503" s="2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4.25" customHeight="1">
      <c r="A504" s="1"/>
      <c r="B504" s="1"/>
      <c r="C504" s="1"/>
      <c r="D504" s="1"/>
      <c r="E504" s="1"/>
      <c r="F504" s="1"/>
      <c r="G504" s="1"/>
      <c r="H504" s="1"/>
      <c r="I504" s="2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4.25" customHeight="1">
      <c r="A505" s="1"/>
      <c r="B505" s="1"/>
      <c r="C505" s="1"/>
      <c r="D505" s="1"/>
      <c r="E505" s="1"/>
      <c r="F505" s="1"/>
      <c r="G505" s="1"/>
      <c r="H505" s="1"/>
      <c r="I505" s="2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4.25" customHeight="1">
      <c r="A506" s="1"/>
      <c r="B506" s="1"/>
      <c r="C506" s="1"/>
      <c r="D506" s="1"/>
      <c r="E506" s="1"/>
      <c r="F506" s="1"/>
      <c r="G506" s="1"/>
      <c r="H506" s="1"/>
      <c r="I506" s="2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4.25" customHeight="1">
      <c r="A507" s="1"/>
      <c r="B507" s="1"/>
      <c r="C507" s="1"/>
      <c r="D507" s="1"/>
      <c r="E507" s="1"/>
      <c r="F507" s="1"/>
      <c r="G507" s="1"/>
      <c r="H507" s="1"/>
      <c r="I507" s="2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4.25" customHeight="1">
      <c r="A508" s="1"/>
      <c r="B508" s="1"/>
      <c r="C508" s="1"/>
      <c r="D508" s="1"/>
      <c r="E508" s="1"/>
      <c r="F508" s="1"/>
      <c r="G508" s="1"/>
      <c r="H508" s="1"/>
      <c r="I508" s="2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4.25" customHeight="1">
      <c r="A509" s="1"/>
      <c r="B509" s="1"/>
      <c r="C509" s="1"/>
      <c r="D509" s="1"/>
      <c r="E509" s="1"/>
      <c r="F509" s="1"/>
      <c r="G509" s="1"/>
      <c r="H509" s="1"/>
      <c r="I509" s="2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4.25" customHeight="1">
      <c r="A510" s="1"/>
      <c r="B510" s="1"/>
      <c r="C510" s="1"/>
      <c r="D510" s="1"/>
      <c r="E510" s="1"/>
      <c r="F510" s="1"/>
      <c r="G510" s="1"/>
      <c r="H510" s="1"/>
      <c r="I510" s="2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4.25" customHeight="1">
      <c r="A511" s="1"/>
      <c r="B511" s="1"/>
      <c r="C511" s="1"/>
      <c r="D511" s="1"/>
      <c r="E511" s="1"/>
      <c r="F511" s="1"/>
      <c r="G511" s="1"/>
      <c r="H511" s="1"/>
      <c r="I511" s="2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4.25" customHeight="1">
      <c r="A512" s="1"/>
      <c r="B512" s="1"/>
      <c r="C512" s="1"/>
      <c r="D512" s="1"/>
      <c r="E512" s="1"/>
      <c r="F512" s="1"/>
      <c r="G512" s="1"/>
      <c r="H512" s="1"/>
      <c r="I512" s="2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4.25" customHeight="1">
      <c r="A513" s="1"/>
      <c r="B513" s="1"/>
      <c r="C513" s="1"/>
      <c r="D513" s="1"/>
      <c r="E513" s="1"/>
      <c r="F513" s="1"/>
      <c r="G513" s="1"/>
      <c r="H513" s="1"/>
      <c r="I513" s="2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4.25" customHeight="1">
      <c r="A514" s="1"/>
      <c r="B514" s="1"/>
      <c r="C514" s="1"/>
      <c r="D514" s="1"/>
      <c r="E514" s="1"/>
      <c r="F514" s="1"/>
      <c r="G514" s="1"/>
      <c r="H514" s="1"/>
      <c r="I514" s="2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4.25" customHeight="1">
      <c r="A515" s="1"/>
      <c r="B515" s="1"/>
      <c r="C515" s="1"/>
      <c r="D515" s="1"/>
      <c r="E515" s="1"/>
      <c r="F515" s="1"/>
      <c r="G515" s="1"/>
      <c r="H515" s="1"/>
      <c r="I515" s="2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4.25" customHeight="1">
      <c r="A516" s="1"/>
      <c r="B516" s="1"/>
      <c r="C516" s="1"/>
      <c r="D516" s="1"/>
      <c r="E516" s="1"/>
      <c r="F516" s="1"/>
      <c r="G516" s="1"/>
      <c r="H516" s="1"/>
      <c r="I516" s="2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4.25" customHeight="1">
      <c r="A517" s="1"/>
      <c r="B517" s="1"/>
      <c r="C517" s="1"/>
      <c r="D517" s="1"/>
      <c r="E517" s="1"/>
      <c r="F517" s="1"/>
      <c r="G517" s="1"/>
      <c r="H517" s="1"/>
      <c r="I517" s="2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4.25" customHeight="1">
      <c r="A518" s="1"/>
      <c r="B518" s="1"/>
      <c r="C518" s="1"/>
      <c r="D518" s="1"/>
      <c r="E518" s="1"/>
      <c r="F518" s="1"/>
      <c r="G518" s="1"/>
      <c r="H518" s="1"/>
      <c r="I518" s="2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4.25" customHeight="1">
      <c r="A519" s="1"/>
      <c r="B519" s="1"/>
      <c r="C519" s="1"/>
      <c r="D519" s="1"/>
      <c r="E519" s="1"/>
      <c r="F519" s="1"/>
      <c r="G519" s="1"/>
      <c r="H519" s="1"/>
      <c r="I519" s="2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4.25" customHeight="1">
      <c r="A520" s="1"/>
      <c r="B520" s="1"/>
      <c r="C520" s="1"/>
      <c r="D520" s="1"/>
      <c r="E520" s="1"/>
      <c r="F520" s="1"/>
      <c r="G520" s="1"/>
      <c r="H520" s="1"/>
      <c r="I520" s="2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4.25" customHeight="1">
      <c r="A521" s="1"/>
      <c r="B521" s="1"/>
      <c r="C521" s="1"/>
      <c r="D521" s="1"/>
      <c r="E521" s="1"/>
      <c r="F521" s="1"/>
      <c r="G521" s="1"/>
      <c r="H521" s="1"/>
      <c r="I521" s="2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4.25" customHeight="1">
      <c r="A522" s="1"/>
      <c r="B522" s="1"/>
      <c r="C522" s="1"/>
      <c r="D522" s="1"/>
      <c r="E522" s="1"/>
      <c r="F522" s="1"/>
      <c r="G522" s="1"/>
      <c r="H522" s="1"/>
      <c r="I522" s="2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4.25" customHeight="1">
      <c r="A523" s="1"/>
      <c r="B523" s="1"/>
      <c r="C523" s="1"/>
      <c r="D523" s="1"/>
      <c r="E523" s="1"/>
      <c r="F523" s="1"/>
      <c r="G523" s="1"/>
      <c r="H523" s="1"/>
      <c r="I523" s="2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4.25" customHeight="1">
      <c r="A524" s="1"/>
      <c r="B524" s="1"/>
      <c r="C524" s="1"/>
      <c r="D524" s="1"/>
      <c r="E524" s="1"/>
      <c r="F524" s="1"/>
      <c r="G524" s="1"/>
      <c r="H524" s="1"/>
      <c r="I524" s="2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4.25" customHeight="1">
      <c r="A525" s="1"/>
      <c r="B525" s="1"/>
      <c r="C525" s="1"/>
      <c r="D525" s="1"/>
      <c r="E525" s="1"/>
      <c r="F525" s="1"/>
      <c r="G525" s="1"/>
      <c r="H525" s="1"/>
      <c r="I525" s="2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4.25" customHeight="1">
      <c r="A526" s="1"/>
      <c r="B526" s="1"/>
      <c r="C526" s="1"/>
      <c r="D526" s="1"/>
      <c r="E526" s="1"/>
      <c r="F526" s="1"/>
      <c r="G526" s="1"/>
      <c r="H526" s="1"/>
      <c r="I526" s="2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4.25" customHeight="1">
      <c r="A527" s="1"/>
      <c r="B527" s="1"/>
      <c r="C527" s="1"/>
      <c r="D527" s="1"/>
      <c r="E527" s="1"/>
      <c r="F527" s="1"/>
      <c r="G527" s="1"/>
      <c r="H527" s="1"/>
      <c r="I527" s="2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4.25" customHeight="1">
      <c r="A528" s="1"/>
      <c r="B528" s="1"/>
      <c r="C528" s="1"/>
      <c r="D528" s="1"/>
      <c r="E528" s="1"/>
      <c r="F528" s="1"/>
      <c r="G528" s="1"/>
      <c r="H528" s="1"/>
      <c r="I528" s="2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4.25" customHeight="1">
      <c r="A529" s="1"/>
      <c r="B529" s="1"/>
      <c r="C529" s="1"/>
      <c r="D529" s="1"/>
      <c r="E529" s="1"/>
      <c r="F529" s="1"/>
      <c r="G529" s="1"/>
      <c r="H529" s="1"/>
      <c r="I529" s="2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4.25" customHeight="1">
      <c r="A530" s="1"/>
      <c r="B530" s="1"/>
      <c r="C530" s="1"/>
      <c r="D530" s="1"/>
      <c r="E530" s="1"/>
      <c r="F530" s="1"/>
      <c r="G530" s="1"/>
      <c r="H530" s="1"/>
      <c r="I530" s="2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4.25" customHeight="1">
      <c r="A531" s="1"/>
      <c r="B531" s="1"/>
      <c r="C531" s="1"/>
      <c r="D531" s="1"/>
      <c r="E531" s="1"/>
      <c r="F531" s="1"/>
      <c r="G531" s="1"/>
      <c r="H531" s="1"/>
      <c r="I531" s="2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4.25" customHeight="1">
      <c r="A532" s="1"/>
      <c r="B532" s="1"/>
      <c r="C532" s="1"/>
      <c r="D532" s="1"/>
      <c r="E532" s="1"/>
      <c r="F532" s="1"/>
      <c r="G532" s="1"/>
      <c r="H532" s="1"/>
      <c r="I532" s="2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4.25" customHeight="1">
      <c r="A533" s="1"/>
      <c r="B533" s="1"/>
      <c r="C533" s="1"/>
      <c r="D533" s="1"/>
      <c r="E533" s="1"/>
      <c r="F533" s="1"/>
      <c r="G533" s="1"/>
      <c r="H533" s="1"/>
      <c r="I533" s="2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4.25" customHeight="1">
      <c r="A534" s="1"/>
      <c r="B534" s="1"/>
      <c r="C534" s="1"/>
      <c r="D534" s="1"/>
      <c r="E534" s="1"/>
      <c r="F534" s="1"/>
      <c r="G534" s="1"/>
      <c r="H534" s="1"/>
      <c r="I534" s="2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4.25" customHeight="1">
      <c r="A535" s="1"/>
      <c r="B535" s="1"/>
      <c r="C535" s="1"/>
      <c r="D535" s="1"/>
      <c r="E535" s="1"/>
      <c r="F535" s="1"/>
      <c r="G535" s="1"/>
      <c r="H535" s="1"/>
      <c r="I535" s="2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4.25" customHeight="1">
      <c r="A536" s="1"/>
      <c r="B536" s="1"/>
      <c r="C536" s="1"/>
      <c r="D536" s="1"/>
      <c r="E536" s="1"/>
      <c r="F536" s="1"/>
      <c r="G536" s="1"/>
      <c r="H536" s="1"/>
      <c r="I536" s="2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4.25" customHeight="1">
      <c r="A537" s="1"/>
      <c r="B537" s="1"/>
      <c r="C537" s="1"/>
      <c r="D537" s="1"/>
      <c r="E537" s="1"/>
      <c r="F537" s="1"/>
      <c r="G537" s="1"/>
      <c r="H537" s="1"/>
      <c r="I537" s="2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4.25" customHeight="1">
      <c r="A538" s="1"/>
      <c r="B538" s="1"/>
      <c r="C538" s="1"/>
      <c r="D538" s="1"/>
      <c r="E538" s="1"/>
      <c r="F538" s="1"/>
      <c r="G538" s="1"/>
      <c r="H538" s="1"/>
      <c r="I538" s="2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4.25" customHeight="1">
      <c r="A539" s="1"/>
      <c r="B539" s="1"/>
      <c r="C539" s="1"/>
      <c r="D539" s="1"/>
      <c r="E539" s="1"/>
      <c r="F539" s="1"/>
      <c r="G539" s="1"/>
      <c r="H539" s="1"/>
      <c r="I539" s="2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4.25" customHeight="1">
      <c r="A540" s="1"/>
      <c r="B540" s="1"/>
      <c r="C540" s="1"/>
      <c r="D540" s="1"/>
      <c r="E540" s="1"/>
      <c r="F540" s="1"/>
      <c r="G540" s="1"/>
      <c r="H540" s="1"/>
      <c r="I540" s="2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4.25" customHeight="1">
      <c r="A541" s="1"/>
      <c r="B541" s="1"/>
      <c r="C541" s="1"/>
      <c r="D541" s="1"/>
      <c r="E541" s="1"/>
      <c r="F541" s="1"/>
      <c r="G541" s="1"/>
      <c r="H541" s="1"/>
      <c r="I541" s="2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4.25" customHeight="1">
      <c r="A542" s="1"/>
      <c r="B542" s="1"/>
      <c r="C542" s="1"/>
      <c r="D542" s="1"/>
      <c r="E542" s="1"/>
      <c r="F542" s="1"/>
      <c r="G542" s="1"/>
      <c r="H542" s="1"/>
      <c r="I542" s="2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4.25" customHeight="1">
      <c r="A543" s="1"/>
      <c r="B543" s="1"/>
      <c r="C543" s="1"/>
      <c r="D543" s="1"/>
      <c r="E543" s="1"/>
      <c r="F543" s="1"/>
      <c r="G543" s="1"/>
      <c r="H543" s="1"/>
      <c r="I543" s="2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4.25" customHeight="1">
      <c r="A544" s="1"/>
      <c r="B544" s="1"/>
      <c r="C544" s="1"/>
      <c r="D544" s="1"/>
      <c r="E544" s="1"/>
      <c r="F544" s="1"/>
      <c r="G544" s="1"/>
      <c r="H544" s="1"/>
      <c r="I544" s="2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4.25" customHeight="1">
      <c r="A545" s="1"/>
      <c r="B545" s="1"/>
      <c r="C545" s="1"/>
      <c r="D545" s="1"/>
      <c r="E545" s="1"/>
      <c r="F545" s="1"/>
      <c r="G545" s="1"/>
      <c r="H545" s="1"/>
      <c r="I545" s="2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4.25" customHeight="1">
      <c r="A546" s="1"/>
      <c r="B546" s="1"/>
      <c r="C546" s="1"/>
      <c r="D546" s="1"/>
      <c r="E546" s="1"/>
      <c r="F546" s="1"/>
      <c r="G546" s="1"/>
      <c r="H546" s="1"/>
      <c r="I546" s="2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4.25" customHeight="1">
      <c r="A547" s="1"/>
      <c r="B547" s="1"/>
      <c r="C547" s="1"/>
      <c r="D547" s="1"/>
      <c r="E547" s="1"/>
      <c r="F547" s="1"/>
      <c r="G547" s="1"/>
      <c r="H547" s="1"/>
      <c r="I547" s="2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4.25" customHeight="1">
      <c r="A548" s="1"/>
      <c r="B548" s="1"/>
      <c r="C548" s="1"/>
      <c r="D548" s="1"/>
      <c r="E548" s="1"/>
      <c r="F548" s="1"/>
      <c r="G548" s="1"/>
      <c r="H548" s="1"/>
      <c r="I548" s="2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4.25" customHeight="1">
      <c r="A549" s="1"/>
      <c r="B549" s="1"/>
      <c r="C549" s="1"/>
      <c r="D549" s="1"/>
      <c r="E549" s="1"/>
      <c r="F549" s="1"/>
      <c r="G549" s="1"/>
      <c r="H549" s="1"/>
      <c r="I549" s="2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4.25" customHeight="1">
      <c r="A550" s="1"/>
      <c r="B550" s="1"/>
      <c r="C550" s="1"/>
      <c r="D550" s="1"/>
      <c r="E550" s="1"/>
      <c r="F550" s="1"/>
      <c r="G550" s="1"/>
      <c r="H550" s="1"/>
      <c r="I550" s="2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4.25" customHeight="1">
      <c r="A551" s="1"/>
      <c r="B551" s="1"/>
      <c r="C551" s="1"/>
      <c r="D551" s="1"/>
      <c r="E551" s="1"/>
      <c r="F551" s="1"/>
      <c r="G551" s="1"/>
      <c r="H551" s="1"/>
      <c r="I551" s="2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4.25" customHeight="1">
      <c r="A552" s="1"/>
      <c r="B552" s="1"/>
      <c r="C552" s="1"/>
      <c r="D552" s="1"/>
      <c r="E552" s="1"/>
      <c r="F552" s="1"/>
      <c r="G552" s="1"/>
      <c r="H552" s="1"/>
      <c r="I552" s="2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4.25" customHeight="1">
      <c r="A553" s="1"/>
      <c r="B553" s="1"/>
      <c r="C553" s="1"/>
      <c r="D553" s="1"/>
      <c r="E553" s="1"/>
      <c r="F553" s="1"/>
      <c r="G553" s="1"/>
      <c r="H553" s="1"/>
      <c r="I553" s="2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4.25" customHeight="1">
      <c r="A554" s="1"/>
      <c r="B554" s="1"/>
      <c r="C554" s="1"/>
      <c r="D554" s="1"/>
      <c r="E554" s="1"/>
      <c r="F554" s="1"/>
      <c r="G554" s="1"/>
      <c r="H554" s="1"/>
      <c r="I554" s="2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4.25" customHeight="1">
      <c r="A555" s="1"/>
      <c r="B555" s="1"/>
      <c r="C555" s="1"/>
      <c r="D555" s="1"/>
      <c r="E555" s="1"/>
      <c r="F555" s="1"/>
      <c r="G555" s="1"/>
      <c r="H555" s="1"/>
      <c r="I555" s="2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4.25" customHeight="1">
      <c r="A556" s="1"/>
      <c r="B556" s="1"/>
      <c r="C556" s="1"/>
      <c r="D556" s="1"/>
      <c r="E556" s="1"/>
      <c r="F556" s="1"/>
      <c r="G556" s="1"/>
      <c r="H556" s="1"/>
      <c r="I556" s="2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4.25" customHeight="1">
      <c r="A557" s="1"/>
      <c r="B557" s="1"/>
      <c r="C557" s="1"/>
      <c r="D557" s="1"/>
      <c r="E557" s="1"/>
      <c r="F557" s="1"/>
      <c r="G557" s="1"/>
      <c r="H557" s="1"/>
      <c r="I557" s="2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4.25" customHeight="1">
      <c r="A558" s="1"/>
      <c r="B558" s="1"/>
      <c r="C558" s="1"/>
      <c r="D558" s="1"/>
      <c r="E558" s="1"/>
      <c r="F558" s="1"/>
      <c r="G558" s="1"/>
      <c r="H558" s="1"/>
      <c r="I558" s="2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4.25" customHeight="1">
      <c r="A559" s="1"/>
      <c r="B559" s="1"/>
      <c r="C559" s="1"/>
      <c r="D559" s="1"/>
      <c r="E559" s="1"/>
      <c r="F559" s="1"/>
      <c r="G559" s="1"/>
      <c r="H559" s="1"/>
      <c r="I559" s="2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4.25" customHeight="1">
      <c r="A560" s="1"/>
      <c r="B560" s="1"/>
      <c r="C560" s="1"/>
      <c r="D560" s="1"/>
      <c r="E560" s="1"/>
      <c r="F560" s="1"/>
      <c r="G560" s="1"/>
      <c r="H560" s="1"/>
      <c r="I560" s="2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4.25" customHeight="1">
      <c r="A561" s="1"/>
      <c r="B561" s="1"/>
      <c r="C561" s="1"/>
      <c r="D561" s="1"/>
      <c r="E561" s="1"/>
      <c r="F561" s="1"/>
      <c r="G561" s="1"/>
      <c r="H561" s="1"/>
      <c r="I561" s="2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4.25" customHeight="1">
      <c r="A562" s="1"/>
      <c r="B562" s="1"/>
      <c r="C562" s="1"/>
      <c r="D562" s="1"/>
      <c r="E562" s="1"/>
      <c r="F562" s="1"/>
      <c r="G562" s="1"/>
      <c r="H562" s="1"/>
      <c r="I562" s="2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4.25" customHeight="1">
      <c r="A563" s="1"/>
      <c r="B563" s="1"/>
      <c r="C563" s="1"/>
      <c r="D563" s="1"/>
      <c r="E563" s="1"/>
      <c r="F563" s="1"/>
      <c r="G563" s="1"/>
      <c r="H563" s="1"/>
      <c r="I563" s="2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4.25" customHeight="1">
      <c r="A564" s="1"/>
      <c r="B564" s="1"/>
      <c r="C564" s="1"/>
      <c r="D564" s="1"/>
      <c r="E564" s="1"/>
      <c r="F564" s="1"/>
      <c r="G564" s="1"/>
      <c r="H564" s="1"/>
      <c r="I564" s="2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4.25" customHeight="1">
      <c r="A565" s="1"/>
      <c r="B565" s="1"/>
      <c r="C565" s="1"/>
      <c r="D565" s="1"/>
      <c r="E565" s="1"/>
      <c r="F565" s="1"/>
      <c r="G565" s="1"/>
      <c r="H565" s="1"/>
      <c r="I565" s="2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4.25" customHeight="1">
      <c r="A566" s="1"/>
      <c r="B566" s="1"/>
      <c r="C566" s="1"/>
      <c r="D566" s="1"/>
      <c r="E566" s="1"/>
      <c r="F566" s="1"/>
      <c r="G566" s="1"/>
      <c r="H566" s="1"/>
      <c r="I566" s="2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4.25" customHeight="1">
      <c r="A567" s="1"/>
      <c r="B567" s="1"/>
      <c r="C567" s="1"/>
      <c r="D567" s="1"/>
      <c r="E567" s="1"/>
      <c r="F567" s="1"/>
      <c r="G567" s="1"/>
      <c r="H567" s="1"/>
      <c r="I567" s="2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4.25" customHeight="1">
      <c r="A568" s="1"/>
      <c r="B568" s="1"/>
      <c r="C568" s="1"/>
      <c r="D568" s="1"/>
      <c r="E568" s="1"/>
      <c r="F568" s="1"/>
      <c r="G568" s="1"/>
      <c r="H568" s="1"/>
      <c r="I568" s="2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4.25" customHeight="1">
      <c r="A569" s="1"/>
      <c r="B569" s="1"/>
      <c r="C569" s="1"/>
      <c r="D569" s="1"/>
      <c r="E569" s="1"/>
      <c r="F569" s="1"/>
      <c r="G569" s="1"/>
      <c r="H569" s="1"/>
      <c r="I569" s="2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4.25" customHeight="1">
      <c r="A570" s="1"/>
      <c r="B570" s="1"/>
      <c r="C570" s="1"/>
      <c r="D570" s="1"/>
      <c r="E570" s="1"/>
      <c r="F570" s="1"/>
      <c r="G570" s="1"/>
      <c r="H570" s="1"/>
      <c r="I570" s="2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4.25" customHeight="1">
      <c r="A571" s="1"/>
      <c r="B571" s="1"/>
      <c r="C571" s="1"/>
      <c r="D571" s="1"/>
      <c r="E571" s="1"/>
      <c r="F571" s="1"/>
      <c r="G571" s="1"/>
      <c r="H571" s="1"/>
      <c r="I571" s="2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4.25" customHeight="1">
      <c r="A572" s="1"/>
      <c r="B572" s="1"/>
      <c r="C572" s="1"/>
      <c r="D572" s="1"/>
      <c r="E572" s="1"/>
      <c r="F572" s="1"/>
      <c r="G572" s="1"/>
      <c r="H572" s="1"/>
      <c r="I572" s="2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4.25" customHeight="1">
      <c r="A573" s="1"/>
      <c r="B573" s="1"/>
      <c r="C573" s="1"/>
      <c r="D573" s="1"/>
      <c r="E573" s="1"/>
      <c r="F573" s="1"/>
      <c r="G573" s="1"/>
      <c r="H573" s="1"/>
      <c r="I573" s="2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4.25" customHeight="1">
      <c r="A574" s="1"/>
      <c r="B574" s="1"/>
      <c r="C574" s="1"/>
      <c r="D574" s="1"/>
      <c r="E574" s="1"/>
      <c r="F574" s="1"/>
      <c r="G574" s="1"/>
      <c r="H574" s="1"/>
      <c r="I574" s="2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4.25" customHeight="1">
      <c r="A575" s="1"/>
      <c r="B575" s="1"/>
      <c r="C575" s="1"/>
      <c r="D575" s="1"/>
      <c r="E575" s="1"/>
      <c r="F575" s="1"/>
      <c r="G575" s="1"/>
      <c r="H575" s="1"/>
      <c r="I575" s="2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4.25" customHeight="1">
      <c r="A576" s="1"/>
      <c r="B576" s="1"/>
      <c r="C576" s="1"/>
      <c r="D576" s="1"/>
      <c r="E576" s="1"/>
      <c r="F576" s="1"/>
      <c r="G576" s="1"/>
      <c r="H576" s="1"/>
      <c r="I576" s="2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4.25" customHeight="1">
      <c r="A577" s="1"/>
      <c r="B577" s="1"/>
      <c r="C577" s="1"/>
      <c r="D577" s="1"/>
      <c r="E577" s="1"/>
      <c r="F577" s="1"/>
      <c r="G577" s="1"/>
      <c r="H577" s="1"/>
      <c r="I577" s="2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4.25" customHeight="1">
      <c r="A578" s="1"/>
      <c r="B578" s="1"/>
      <c r="C578" s="1"/>
      <c r="D578" s="1"/>
      <c r="E578" s="1"/>
      <c r="F578" s="1"/>
      <c r="G578" s="1"/>
      <c r="H578" s="1"/>
      <c r="I578" s="2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4.25" customHeight="1">
      <c r="A579" s="1"/>
      <c r="B579" s="1"/>
      <c r="C579" s="1"/>
      <c r="D579" s="1"/>
      <c r="E579" s="1"/>
      <c r="F579" s="1"/>
      <c r="G579" s="1"/>
      <c r="H579" s="1"/>
      <c r="I579" s="2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4.25" customHeight="1">
      <c r="A580" s="1"/>
      <c r="B580" s="1"/>
      <c r="C580" s="1"/>
      <c r="D580" s="1"/>
      <c r="E580" s="1"/>
      <c r="F580" s="1"/>
      <c r="G580" s="1"/>
      <c r="H580" s="1"/>
      <c r="I580" s="2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4.25" customHeight="1">
      <c r="A581" s="1"/>
      <c r="B581" s="1"/>
      <c r="C581" s="1"/>
      <c r="D581" s="1"/>
      <c r="E581" s="1"/>
      <c r="F581" s="1"/>
      <c r="G581" s="1"/>
      <c r="H581" s="1"/>
      <c r="I581" s="2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4.25" customHeight="1">
      <c r="A582" s="1"/>
      <c r="B582" s="1"/>
      <c r="C582" s="1"/>
      <c r="D582" s="1"/>
      <c r="E582" s="1"/>
      <c r="F582" s="1"/>
      <c r="G582" s="1"/>
      <c r="H582" s="1"/>
      <c r="I582" s="2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4.25" customHeight="1">
      <c r="A583" s="1"/>
      <c r="B583" s="1"/>
      <c r="C583" s="1"/>
      <c r="D583" s="1"/>
      <c r="E583" s="1"/>
      <c r="F583" s="1"/>
      <c r="G583" s="1"/>
      <c r="H583" s="1"/>
      <c r="I583" s="2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4.25" customHeight="1">
      <c r="A584" s="1"/>
      <c r="B584" s="1"/>
      <c r="C584" s="1"/>
      <c r="D584" s="1"/>
      <c r="E584" s="1"/>
      <c r="F584" s="1"/>
      <c r="G584" s="1"/>
      <c r="H584" s="1"/>
      <c r="I584" s="2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4.25" customHeight="1">
      <c r="A585" s="1"/>
      <c r="B585" s="1"/>
      <c r="C585" s="1"/>
      <c r="D585" s="1"/>
      <c r="E585" s="1"/>
      <c r="F585" s="1"/>
      <c r="G585" s="1"/>
      <c r="H585" s="1"/>
      <c r="I585" s="2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4.25" customHeight="1">
      <c r="A586" s="1"/>
      <c r="B586" s="1"/>
      <c r="C586" s="1"/>
      <c r="D586" s="1"/>
      <c r="E586" s="1"/>
      <c r="F586" s="1"/>
      <c r="G586" s="1"/>
      <c r="H586" s="1"/>
      <c r="I586" s="2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4.25" customHeight="1">
      <c r="A587" s="1"/>
      <c r="B587" s="1"/>
      <c r="C587" s="1"/>
      <c r="D587" s="1"/>
      <c r="E587" s="1"/>
      <c r="F587" s="1"/>
      <c r="G587" s="1"/>
      <c r="H587" s="1"/>
      <c r="I587" s="2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4.25" customHeight="1">
      <c r="A588" s="1"/>
      <c r="B588" s="1"/>
      <c r="C588" s="1"/>
      <c r="D588" s="1"/>
      <c r="E588" s="1"/>
      <c r="F588" s="1"/>
      <c r="G588" s="1"/>
      <c r="H588" s="1"/>
      <c r="I588" s="2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4.25" customHeight="1">
      <c r="A589" s="1"/>
      <c r="B589" s="1"/>
      <c r="C589" s="1"/>
      <c r="D589" s="1"/>
      <c r="E589" s="1"/>
      <c r="F589" s="1"/>
      <c r="G589" s="1"/>
      <c r="H589" s="1"/>
      <c r="I589" s="2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4.25" customHeight="1">
      <c r="A590" s="1"/>
      <c r="B590" s="1"/>
      <c r="C590" s="1"/>
      <c r="D590" s="1"/>
      <c r="E590" s="1"/>
      <c r="F590" s="1"/>
      <c r="G590" s="1"/>
      <c r="H590" s="1"/>
      <c r="I590" s="2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4.25" customHeight="1">
      <c r="A591" s="1"/>
      <c r="B591" s="1"/>
      <c r="C591" s="1"/>
      <c r="D591" s="1"/>
      <c r="E591" s="1"/>
      <c r="F591" s="1"/>
      <c r="G591" s="1"/>
      <c r="H591" s="1"/>
      <c r="I591" s="2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4.25" customHeight="1">
      <c r="A592" s="1"/>
      <c r="B592" s="1"/>
      <c r="C592" s="1"/>
      <c r="D592" s="1"/>
      <c r="E592" s="1"/>
      <c r="F592" s="1"/>
      <c r="G592" s="1"/>
      <c r="H592" s="1"/>
      <c r="I592" s="2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4.25" customHeight="1">
      <c r="A593" s="1"/>
      <c r="B593" s="1"/>
      <c r="C593" s="1"/>
      <c r="D593" s="1"/>
      <c r="E593" s="1"/>
      <c r="F593" s="1"/>
      <c r="G593" s="1"/>
      <c r="H593" s="1"/>
      <c r="I593" s="2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4.25" customHeight="1">
      <c r="A594" s="1"/>
      <c r="B594" s="1"/>
      <c r="C594" s="1"/>
      <c r="D594" s="1"/>
      <c r="E594" s="1"/>
      <c r="F594" s="1"/>
      <c r="G594" s="1"/>
      <c r="H594" s="1"/>
      <c r="I594" s="2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4.25" customHeight="1">
      <c r="A595" s="1"/>
      <c r="B595" s="1"/>
      <c r="C595" s="1"/>
      <c r="D595" s="1"/>
      <c r="E595" s="1"/>
      <c r="F595" s="1"/>
      <c r="G595" s="1"/>
      <c r="H595" s="1"/>
      <c r="I595" s="2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4.25" customHeight="1">
      <c r="A596" s="1"/>
      <c r="B596" s="1"/>
      <c r="C596" s="1"/>
      <c r="D596" s="1"/>
      <c r="E596" s="1"/>
      <c r="F596" s="1"/>
      <c r="G596" s="1"/>
      <c r="H596" s="1"/>
      <c r="I596" s="2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4.25" customHeight="1">
      <c r="A597" s="1"/>
      <c r="B597" s="1"/>
      <c r="C597" s="1"/>
      <c r="D597" s="1"/>
      <c r="E597" s="1"/>
      <c r="F597" s="1"/>
      <c r="G597" s="1"/>
      <c r="H597" s="1"/>
      <c r="I597" s="2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4.25" customHeight="1">
      <c r="A598" s="1"/>
      <c r="B598" s="1"/>
      <c r="C598" s="1"/>
      <c r="D598" s="1"/>
      <c r="E598" s="1"/>
      <c r="F598" s="1"/>
      <c r="G598" s="1"/>
      <c r="H598" s="1"/>
      <c r="I598" s="2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4.25" customHeight="1">
      <c r="A599" s="1"/>
      <c r="B599" s="1"/>
      <c r="C599" s="1"/>
      <c r="D599" s="1"/>
      <c r="E599" s="1"/>
      <c r="F599" s="1"/>
      <c r="G599" s="1"/>
      <c r="H599" s="1"/>
      <c r="I599" s="2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4.25" customHeight="1">
      <c r="A600" s="1"/>
      <c r="B600" s="1"/>
      <c r="C600" s="1"/>
      <c r="D600" s="1"/>
      <c r="E600" s="1"/>
      <c r="F600" s="1"/>
      <c r="G600" s="1"/>
      <c r="H600" s="1"/>
      <c r="I600" s="2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4.25" customHeight="1">
      <c r="A601" s="1"/>
      <c r="B601" s="1"/>
      <c r="C601" s="1"/>
      <c r="D601" s="1"/>
      <c r="E601" s="1"/>
      <c r="F601" s="1"/>
      <c r="G601" s="1"/>
      <c r="H601" s="1"/>
      <c r="I601" s="2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4.25" customHeight="1">
      <c r="A602" s="1"/>
      <c r="B602" s="1"/>
      <c r="C602" s="1"/>
      <c r="D602" s="1"/>
      <c r="E602" s="1"/>
      <c r="F602" s="1"/>
      <c r="G602" s="1"/>
      <c r="H602" s="1"/>
      <c r="I602" s="2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4.25" customHeight="1">
      <c r="A603" s="1"/>
      <c r="B603" s="1"/>
      <c r="C603" s="1"/>
      <c r="D603" s="1"/>
      <c r="E603" s="1"/>
      <c r="F603" s="1"/>
      <c r="G603" s="1"/>
      <c r="H603" s="1"/>
      <c r="I603" s="2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4.25" customHeight="1">
      <c r="A604" s="1"/>
      <c r="B604" s="1"/>
      <c r="C604" s="1"/>
      <c r="D604" s="1"/>
      <c r="E604" s="1"/>
      <c r="F604" s="1"/>
      <c r="G604" s="1"/>
      <c r="H604" s="1"/>
      <c r="I604" s="2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4.25" customHeight="1">
      <c r="A605" s="1"/>
      <c r="B605" s="1"/>
      <c r="C605" s="1"/>
      <c r="D605" s="1"/>
      <c r="E605" s="1"/>
      <c r="F605" s="1"/>
      <c r="G605" s="1"/>
      <c r="H605" s="1"/>
      <c r="I605" s="2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4.25" customHeight="1">
      <c r="A606" s="1"/>
      <c r="B606" s="1"/>
      <c r="C606" s="1"/>
      <c r="D606" s="1"/>
      <c r="E606" s="1"/>
      <c r="F606" s="1"/>
      <c r="G606" s="1"/>
      <c r="H606" s="1"/>
      <c r="I606" s="2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4.25" customHeight="1">
      <c r="A607" s="1"/>
      <c r="B607" s="1"/>
      <c r="C607" s="1"/>
      <c r="D607" s="1"/>
      <c r="E607" s="1"/>
      <c r="F607" s="1"/>
      <c r="G607" s="1"/>
      <c r="H607" s="1"/>
      <c r="I607" s="2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4.25" customHeight="1">
      <c r="A608" s="1"/>
      <c r="B608" s="1"/>
      <c r="C608" s="1"/>
      <c r="D608" s="1"/>
      <c r="E608" s="1"/>
      <c r="F608" s="1"/>
      <c r="G608" s="1"/>
      <c r="H608" s="1"/>
      <c r="I608" s="2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4.25" customHeight="1">
      <c r="A609" s="1"/>
      <c r="B609" s="1"/>
      <c r="C609" s="1"/>
      <c r="D609" s="1"/>
      <c r="E609" s="1"/>
      <c r="F609" s="1"/>
      <c r="G609" s="1"/>
      <c r="H609" s="1"/>
      <c r="I609" s="2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4.25" customHeight="1">
      <c r="A610" s="1"/>
      <c r="B610" s="1"/>
      <c r="C610" s="1"/>
      <c r="D610" s="1"/>
      <c r="E610" s="1"/>
      <c r="F610" s="1"/>
      <c r="G610" s="1"/>
      <c r="H610" s="1"/>
      <c r="I610" s="2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4.25" customHeight="1">
      <c r="A611" s="1"/>
      <c r="B611" s="1"/>
      <c r="C611" s="1"/>
      <c r="D611" s="1"/>
      <c r="E611" s="1"/>
      <c r="F611" s="1"/>
      <c r="G611" s="1"/>
      <c r="H611" s="1"/>
      <c r="I611" s="2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4.25" customHeight="1">
      <c r="A612" s="1"/>
      <c r="B612" s="1"/>
      <c r="C612" s="1"/>
      <c r="D612" s="1"/>
      <c r="E612" s="1"/>
      <c r="F612" s="1"/>
      <c r="G612" s="1"/>
      <c r="H612" s="1"/>
      <c r="I612" s="2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4.25" customHeight="1">
      <c r="A613" s="1"/>
      <c r="B613" s="1"/>
      <c r="C613" s="1"/>
      <c r="D613" s="1"/>
      <c r="E613" s="1"/>
      <c r="F613" s="1"/>
      <c r="G613" s="1"/>
      <c r="H613" s="1"/>
      <c r="I613" s="2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4.25" customHeight="1">
      <c r="A614" s="1"/>
      <c r="B614" s="1"/>
      <c r="C614" s="1"/>
      <c r="D614" s="1"/>
      <c r="E614" s="1"/>
      <c r="F614" s="1"/>
      <c r="G614" s="1"/>
      <c r="H614" s="1"/>
      <c r="I614" s="2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4.25" customHeight="1">
      <c r="A615" s="1"/>
      <c r="B615" s="1"/>
      <c r="C615" s="1"/>
      <c r="D615" s="1"/>
      <c r="E615" s="1"/>
      <c r="F615" s="1"/>
      <c r="G615" s="1"/>
      <c r="H615" s="1"/>
      <c r="I615" s="2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4.25" customHeight="1">
      <c r="A616" s="1"/>
      <c r="B616" s="1"/>
      <c r="C616" s="1"/>
      <c r="D616" s="1"/>
      <c r="E616" s="1"/>
      <c r="F616" s="1"/>
      <c r="G616" s="1"/>
      <c r="H616" s="1"/>
      <c r="I616" s="2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4.25" customHeight="1">
      <c r="A617" s="1"/>
      <c r="B617" s="1"/>
      <c r="C617" s="1"/>
      <c r="D617" s="1"/>
      <c r="E617" s="1"/>
      <c r="F617" s="1"/>
      <c r="G617" s="1"/>
      <c r="H617" s="1"/>
      <c r="I617" s="2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4.25" customHeight="1">
      <c r="A618" s="1"/>
      <c r="B618" s="1"/>
      <c r="C618" s="1"/>
      <c r="D618" s="1"/>
      <c r="E618" s="1"/>
      <c r="F618" s="1"/>
      <c r="G618" s="1"/>
      <c r="H618" s="1"/>
      <c r="I618" s="2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4.25" customHeight="1">
      <c r="A619" s="1"/>
      <c r="B619" s="1"/>
      <c r="C619" s="1"/>
      <c r="D619" s="1"/>
      <c r="E619" s="1"/>
      <c r="F619" s="1"/>
      <c r="G619" s="1"/>
      <c r="H619" s="1"/>
      <c r="I619" s="2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4.25" customHeight="1">
      <c r="A620" s="1"/>
      <c r="B620" s="1"/>
      <c r="C620" s="1"/>
      <c r="D620" s="1"/>
      <c r="E620" s="1"/>
      <c r="F620" s="1"/>
      <c r="G620" s="1"/>
      <c r="H620" s="1"/>
      <c r="I620" s="2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4.25" customHeight="1">
      <c r="A621" s="1"/>
      <c r="B621" s="1"/>
      <c r="C621" s="1"/>
      <c r="D621" s="1"/>
      <c r="E621" s="1"/>
      <c r="F621" s="1"/>
      <c r="G621" s="1"/>
      <c r="H621" s="1"/>
      <c r="I621" s="2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4.25" customHeight="1">
      <c r="A622" s="1"/>
      <c r="B622" s="1"/>
      <c r="C622" s="1"/>
      <c r="D622" s="1"/>
      <c r="E622" s="1"/>
      <c r="F622" s="1"/>
      <c r="G622" s="1"/>
      <c r="H622" s="1"/>
      <c r="I622" s="2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4.25" customHeight="1">
      <c r="A623" s="1"/>
      <c r="B623" s="1"/>
      <c r="C623" s="1"/>
      <c r="D623" s="1"/>
      <c r="E623" s="1"/>
      <c r="F623" s="1"/>
      <c r="G623" s="1"/>
      <c r="H623" s="1"/>
      <c r="I623" s="2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4.25" customHeight="1">
      <c r="A624" s="1"/>
      <c r="B624" s="1"/>
      <c r="C624" s="1"/>
      <c r="D624" s="1"/>
      <c r="E624" s="1"/>
      <c r="F624" s="1"/>
      <c r="G624" s="1"/>
      <c r="H624" s="1"/>
      <c r="I624" s="2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4.25" customHeight="1">
      <c r="A625" s="1"/>
      <c r="B625" s="1"/>
      <c r="C625" s="1"/>
      <c r="D625" s="1"/>
      <c r="E625" s="1"/>
      <c r="F625" s="1"/>
      <c r="G625" s="1"/>
      <c r="H625" s="1"/>
      <c r="I625" s="2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4.25" customHeight="1">
      <c r="A626" s="1"/>
      <c r="B626" s="1"/>
      <c r="C626" s="1"/>
      <c r="D626" s="1"/>
      <c r="E626" s="1"/>
      <c r="F626" s="1"/>
      <c r="G626" s="1"/>
      <c r="H626" s="1"/>
      <c r="I626" s="2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4.25" customHeight="1">
      <c r="A627" s="1"/>
      <c r="B627" s="1"/>
      <c r="C627" s="1"/>
      <c r="D627" s="1"/>
      <c r="E627" s="1"/>
      <c r="F627" s="1"/>
      <c r="G627" s="1"/>
      <c r="H627" s="1"/>
      <c r="I627" s="2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4.25" customHeight="1">
      <c r="A628" s="1"/>
      <c r="B628" s="1"/>
      <c r="C628" s="1"/>
      <c r="D628" s="1"/>
      <c r="E628" s="1"/>
      <c r="F628" s="1"/>
      <c r="G628" s="1"/>
      <c r="H628" s="1"/>
      <c r="I628" s="2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4.25" customHeight="1">
      <c r="A629" s="1"/>
      <c r="B629" s="1"/>
      <c r="C629" s="1"/>
      <c r="D629" s="1"/>
      <c r="E629" s="1"/>
      <c r="F629" s="1"/>
      <c r="G629" s="1"/>
      <c r="H629" s="1"/>
      <c r="I629" s="2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4.25" customHeight="1">
      <c r="A630" s="1"/>
      <c r="B630" s="1"/>
      <c r="C630" s="1"/>
      <c r="D630" s="1"/>
      <c r="E630" s="1"/>
      <c r="F630" s="1"/>
      <c r="G630" s="1"/>
      <c r="H630" s="1"/>
      <c r="I630" s="2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4.25" customHeight="1">
      <c r="A631" s="1"/>
      <c r="B631" s="1"/>
      <c r="C631" s="1"/>
      <c r="D631" s="1"/>
      <c r="E631" s="1"/>
      <c r="F631" s="1"/>
      <c r="G631" s="1"/>
      <c r="H631" s="1"/>
      <c r="I631" s="2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4.25" customHeight="1">
      <c r="A632" s="1"/>
      <c r="B632" s="1"/>
      <c r="C632" s="1"/>
      <c r="D632" s="1"/>
      <c r="E632" s="1"/>
      <c r="F632" s="1"/>
      <c r="G632" s="1"/>
      <c r="H632" s="1"/>
      <c r="I632" s="2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4.25" customHeight="1">
      <c r="A633" s="1"/>
      <c r="B633" s="1"/>
      <c r="C633" s="1"/>
      <c r="D633" s="1"/>
      <c r="E633" s="1"/>
      <c r="F633" s="1"/>
      <c r="G633" s="1"/>
      <c r="H633" s="1"/>
      <c r="I633" s="2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4.25" customHeight="1">
      <c r="A634" s="1"/>
      <c r="B634" s="1"/>
      <c r="C634" s="1"/>
      <c r="D634" s="1"/>
      <c r="E634" s="1"/>
      <c r="F634" s="1"/>
      <c r="G634" s="1"/>
      <c r="H634" s="1"/>
      <c r="I634" s="2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4.25" customHeight="1">
      <c r="A635" s="1"/>
      <c r="B635" s="1"/>
      <c r="C635" s="1"/>
      <c r="D635" s="1"/>
      <c r="E635" s="1"/>
      <c r="F635" s="1"/>
      <c r="G635" s="1"/>
      <c r="H635" s="1"/>
      <c r="I635" s="2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4.25" customHeight="1">
      <c r="A636" s="1"/>
      <c r="B636" s="1"/>
      <c r="C636" s="1"/>
      <c r="D636" s="1"/>
      <c r="E636" s="1"/>
      <c r="F636" s="1"/>
      <c r="G636" s="1"/>
      <c r="H636" s="1"/>
      <c r="I636" s="2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4.25" customHeight="1">
      <c r="A637" s="1"/>
      <c r="B637" s="1"/>
      <c r="C637" s="1"/>
      <c r="D637" s="1"/>
      <c r="E637" s="1"/>
      <c r="F637" s="1"/>
      <c r="G637" s="1"/>
      <c r="H637" s="1"/>
      <c r="I637" s="2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4.25" customHeight="1">
      <c r="A638" s="1"/>
      <c r="B638" s="1"/>
      <c r="C638" s="1"/>
      <c r="D638" s="1"/>
      <c r="E638" s="1"/>
      <c r="F638" s="1"/>
      <c r="G638" s="1"/>
      <c r="H638" s="1"/>
      <c r="I638" s="2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4.25" customHeight="1">
      <c r="A639" s="1"/>
      <c r="B639" s="1"/>
      <c r="C639" s="1"/>
      <c r="D639" s="1"/>
      <c r="E639" s="1"/>
      <c r="F639" s="1"/>
      <c r="G639" s="1"/>
      <c r="H639" s="1"/>
      <c r="I639" s="2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4.25" customHeight="1">
      <c r="A640" s="1"/>
      <c r="B640" s="1"/>
      <c r="C640" s="1"/>
      <c r="D640" s="1"/>
      <c r="E640" s="1"/>
      <c r="F640" s="1"/>
      <c r="G640" s="1"/>
      <c r="H640" s="1"/>
      <c r="I640" s="2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4.25" customHeight="1">
      <c r="A641" s="1"/>
      <c r="B641" s="1"/>
      <c r="C641" s="1"/>
      <c r="D641" s="1"/>
      <c r="E641" s="1"/>
      <c r="F641" s="1"/>
      <c r="G641" s="1"/>
      <c r="H641" s="1"/>
      <c r="I641" s="2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4.25" customHeight="1">
      <c r="A642" s="1"/>
      <c r="B642" s="1"/>
      <c r="C642" s="1"/>
      <c r="D642" s="1"/>
      <c r="E642" s="1"/>
      <c r="F642" s="1"/>
      <c r="G642" s="1"/>
      <c r="H642" s="1"/>
      <c r="I642" s="2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4.25" customHeight="1">
      <c r="A643" s="1"/>
      <c r="B643" s="1"/>
      <c r="C643" s="1"/>
      <c r="D643" s="1"/>
      <c r="E643" s="1"/>
      <c r="F643" s="1"/>
      <c r="G643" s="1"/>
      <c r="H643" s="1"/>
      <c r="I643" s="2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4.25" customHeight="1">
      <c r="A644" s="1"/>
      <c r="B644" s="1"/>
      <c r="C644" s="1"/>
      <c r="D644" s="1"/>
      <c r="E644" s="1"/>
      <c r="F644" s="1"/>
      <c r="G644" s="1"/>
      <c r="H644" s="1"/>
      <c r="I644" s="2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4.25" customHeight="1">
      <c r="A645" s="1"/>
      <c r="B645" s="1"/>
      <c r="C645" s="1"/>
      <c r="D645" s="1"/>
      <c r="E645" s="1"/>
      <c r="F645" s="1"/>
      <c r="G645" s="1"/>
      <c r="H645" s="1"/>
      <c r="I645" s="2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4.25" customHeight="1">
      <c r="A646" s="1"/>
      <c r="B646" s="1"/>
      <c r="C646" s="1"/>
      <c r="D646" s="1"/>
      <c r="E646" s="1"/>
      <c r="F646" s="1"/>
      <c r="G646" s="1"/>
      <c r="H646" s="1"/>
      <c r="I646" s="2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4.25" customHeight="1">
      <c r="A647" s="1"/>
      <c r="B647" s="1"/>
      <c r="C647" s="1"/>
      <c r="D647" s="1"/>
      <c r="E647" s="1"/>
      <c r="F647" s="1"/>
      <c r="G647" s="1"/>
      <c r="H647" s="1"/>
      <c r="I647" s="2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4.25" customHeight="1">
      <c r="A648" s="1"/>
      <c r="B648" s="1"/>
      <c r="C648" s="1"/>
      <c r="D648" s="1"/>
      <c r="E648" s="1"/>
      <c r="F648" s="1"/>
      <c r="G648" s="1"/>
      <c r="H648" s="1"/>
      <c r="I648" s="2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4.25" customHeight="1">
      <c r="A649" s="1"/>
      <c r="B649" s="1"/>
      <c r="C649" s="1"/>
      <c r="D649" s="1"/>
      <c r="E649" s="1"/>
      <c r="F649" s="1"/>
      <c r="G649" s="1"/>
      <c r="H649" s="1"/>
      <c r="I649" s="2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4.25" customHeight="1">
      <c r="A650" s="1"/>
      <c r="B650" s="1"/>
      <c r="C650" s="1"/>
      <c r="D650" s="1"/>
      <c r="E650" s="1"/>
      <c r="F650" s="1"/>
      <c r="G650" s="1"/>
      <c r="H650" s="1"/>
      <c r="I650" s="2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4.25" customHeight="1">
      <c r="A651" s="1"/>
      <c r="B651" s="1"/>
      <c r="C651" s="1"/>
      <c r="D651" s="1"/>
      <c r="E651" s="1"/>
      <c r="F651" s="1"/>
      <c r="G651" s="1"/>
      <c r="H651" s="1"/>
      <c r="I651" s="2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4.25" customHeight="1">
      <c r="A652" s="1"/>
      <c r="B652" s="1"/>
      <c r="C652" s="1"/>
      <c r="D652" s="1"/>
      <c r="E652" s="1"/>
      <c r="F652" s="1"/>
      <c r="G652" s="1"/>
      <c r="H652" s="1"/>
      <c r="I652" s="2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4.25" customHeight="1">
      <c r="A653" s="1"/>
      <c r="B653" s="1"/>
      <c r="C653" s="1"/>
      <c r="D653" s="1"/>
      <c r="E653" s="1"/>
      <c r="F653" s="1"/>
      <c r="G653" s="1"/>
      <c r="H653" s="1"/>
      <c r="I653" s="2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4.25" customHeight="1">
      <c r="A654" s="1"/>
      <c r="B654" s="1"/>
      <c r="C654" s="1"/>
      <c r="D654" s="1"/>
      <c r="E654" s="1"/>
      <c r="F654" s="1"/>
      <c r="G654" s="1"/>
      <c r="H654" s="1"/>
      <c r="I654" s="2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4.25" customHeight="1">
      <c r="A655" s="1"/>
      <c r="B655" s="1"/>
      <c r="C655" s="1"/>
      <c r="D655" s="1"/>
      <c r="E655" s="1"/>
      <c r="F655" s="1"/>
      <c r="G655" s="1"/>
      <c r="H655" s="1"/>
      <c r="I655" s="2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4.25" customHeight="1">
      <c r="A656" s="1"/>
      <c r="B656" s="1"/>
      <c r="C656" s="1"/>
      <c r="D656" s="1"/>
      <c r="E656" s="1"/>
      <c r="F656" s="1"/>
      <c r="G656" s="1"/>
      <c r="H656" s="1"/>
      <c r="I656" s="2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4.25" customHeight="1">
      <c r="A657" s="1"/>
      <c r="B657" s="1"/>
      <c r="C657" s="1"/>
      <c r="D657" s="1"/>
      <c r="E657" s="1"/>
      <c r="F657" s="1"/>
      <c r="G657" s="1"/>
      <c r="H657" s="1"/>
      <c r="I657" s="2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4.25" customHeight="1">
      <c r="A658" s="1"/>
      <c r="B658" s="1"/>
      <c r="C658" s="1"/>
      <c r="D658" s="1"/>
      <c r="E658" s="1"/>
      <c r="F658" s="1"/>
      <c r="G658" s="1"/>
      <c r="H658" s="1"/>
      <c r="I658" s="2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4.25" customHeight="1">
      <c r="A659" s="1"/>
      <c r="B659" s="1"/>
      <c r="C659" s="1"/>
      <c r="D659" s="1"/>
      <c r="E659" s="1"/>
      <c r="F659" s="1"/>
      <c r="G659" s="1"/>
      <c r="H659" s="1"/>
      <c r="I659" s="2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4.25" customHeight="1">
      <c r="A660" s="1"/>
      <c r="B660" s="1"/>
      <c r="C660" s="1"/>
      <c r="D660" s="1"/>
      <c r="E660" s="1"/>
      <c r="F660" s="1"/>
      <c r="G660" s="1"/>
      <c r="H660" s="1"/>
      <c r="I660" s="2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4.25" customHeight="1">
      <c r="A661" s="1"/>
      <c r="B661" s="1"/>
      <c r="C661" s="1"/>
      <c r="D661" s="1"/>
      <c r="E661" s="1"/>
      <c r="F661" s="1"/>
      <c r="G661" s="1"/>
      <c r="H661" s="1"/>
      <c r="I661" s="2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4.25" customHeight="1">
      <c r="A662" s="1"/>
      <c r="B662" s="1"/>
      <c r="C662" s="1"/>
      <c r="D662" s="1"/>
      <c r="E662" s="1"/>
      <c r="F662" s="1"/>
      <c r="G662" s="1"/>
      <c r="H662" s="1"/>
      <c r="I662" s="2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4.25" customHeight="1">
      <c r="A663" s="1"/>
      <c r="B663" s="1"/>
      <c r="C663" s="1"/>
      <c r="D663" s="1"/>
      <c r="E663" s="1"/>
      <c r="F663" s="1"/>
      <c r="G663" s="1"/>
      <c r="H663" s="1"/>
      <c r="I663" s="2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4.25" customHeight="1">
      <c r="A664" s="1"/>
      <c r="B664" s="1"/>
      <c r="C664" s="1"/>
      <c r="D664" s="1"/>
      <c r="E664" s="1"/>
      <c r="F664" s="1"/>
      <c r="G664" s="1"/>
      <c r="H664" s="1"/>
      <c r="I664" s="2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4.25" customHeight="1">
      <c r="A665" s="1"/>
      <c r="B665" s="1"/>
      <c r="C665" s="1"/>
      <c r="D665" s="1"/>
      <c r="E665" s="1"/>
      <c r="F665" s="1"/>
      <c r="G665" s="1"/>
      <c r="H665" s="1"/>
      <c r="I665" s="2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4.25" customHeight="1">
      <c r="A666" s="1"/>
      <c r="B666" s="1"/>
      <c r="C666" s="1"/>
      <c r="D666" s="1"/>
      <c r="E666" s="1"/>
      <c r="F666" s="1"/>
      <c r="G666" s="1"/>
      <c r="H666" s="1"/>
      <c r="I666" s="2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4.25" customHeight="1">
      <c r="A667" s="1"/>
      <c r="B667" s="1"/>
      <c r="C667" s="1"/>
      <c r="D667" s="1"/>
      <c r="E667" s="1"/>
      <c r="F667" s="1"/>
      <c r="G667" s="1"/>
      <c r="H667" s="1"/>
      <c r="I667" s="2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4.25" customHeight="1">
      <c r="A668" s="1"/>
      <c r="B668" s="1"/>
      <c r="C668" s="1"/>
      <c r="D668" s="1"/>
      <c r="E668" s="1"/>
      <c r="F668" s="1"/>
      <c r="G668" s="1"/>
      <c r="H668" s="1"/>
      <c r="I668" s="2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4.25" customHeight="1">
      <c r="A669" s="1"/>
      <c r="B669" s="1"/>
      <c r="C669" s="1"/>
      <c r="D669" s="1"/>
      <c r="E669" s="1"/>
      <c r="F669" s="1"/>
      <c r="G669" s="1"/>
      <c r="H669" s="1"/>
      <c r="I669" s="2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4.25" customHeight="1">
      <c r="A670" s="1"/>
      <c r="B670" s="1"/>
      <c r="C670" s="1"/>
      <c r="D670" s="1"/>
      <c r="E670" s="1"/>
      <c r="F670" s="1"/>
      <c r="G670" s="1"/>
      <c r="H670" s="1"/>
      <c r="I670" s="2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4.25" customHeight="1">
      <c r="A671" s="1"/>
      <c r="B671" s="1"/>
      <c r="C671" s="1"/>
      <c r="D671" s="1"/>
      <c r="E671" s="1"/>
      <c r="F671" s="1"/>
      <c r="G671" s="1"/>
      <c r="H671" s="1"/>
      <c r="I671" s="2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4.25" customHeight="1">
      <c r="A672" s="1"/>
      <c r="B672" s="1"/>
      <c r="C672" s="1"/>
      <c r="D672" s="1"/>
      <c r="E672" s="1"/>
      <c r="F672" s="1"/>
      <c r="G672" s="1"/>
      <c r="H672" s="1"/>
      <c r="I672" s="2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4.25" customHeight="1">
      <c r="A673" s="1"/>
      <c r="B673" s="1"/>
      <c r="C673" s="1"/>
      <c r="D673" s="1"/>
      <c r="E673" s="1"/>
      <c r="F673" s="1"/>
      <c r="G673" s="1"/>
      <c r="H673" s="1"/>
      <c r="I673" s="2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4.25" customHeight="1">
      <c r="A674" s="1"/>
      <c r="B674" s="1"/>
      <c r="C674" s="1"/>
      <c r="D674" s="1"/>
      <c r="E674" s="1"/>
      <c r="F674" s="1"/>
      <c r="G674" s="1"/>
      <c r="H674" s="1"/>
      <c r="I674" s="2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4.25" customHeight="1">
      <c r="A675" s="1"/>
      <c r="B675" s="1"/>
      <c r="C675" s="1"/>
      <c r="D675" s="1"/>
      <c r="E675" s="1"/>
      <c r="F675" s="1"/>
      <c r="G675" s="1"/>
      <c r="H675" s="1"/>
      <c r="I675" s="2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4.25" customHeight="1">
      <c r="A676" s="1"/>
      <c r="B676" s="1"/>
      <c r="C676" s="1"/>
      <c r="D676" s="1"/>
      <c r="E676" s="1"/>
      <c r="F676" s="1"/>
      <c r="G676" s="1"/>
      <c r="H676" s="1"/>
      <c r="I676" s="2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4.25" customHeight="1">
      <c r="A677" s="1"/>
      <c r="B677" s="1"/>
      <c r="C677" s="1"/>
      <c r="D677" s="1"/>
      <c r="E677" s="1"/>
      <c r="F677" s="1"/>
      <c r="G677" s="1"/>
      <c r="H677" s="1"/>
      <c r="I677" s="2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4.25" customHeight="1">
      <c r="A678" s="1"/>
      <c r="B678" s="1"/>
      <c r="C678" s="1"/>
      <c r="D678" s="1"/>
      <c r="E678" s="1"/>
      <c r="F678" s="1"/>
      <c r="G678" s="1"/>
      <c r="H678" s="1"/>
      <c r="I678" s="2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4.25" customHeight="1">
      <c r="A679" s="1"/>
      <c r="B679" s="1"/>
      <c r="C679" s="1"/>
      <c r="D679" s="1"/>
      <c r="E679" s="1"/>
      <c r="F679" s="1"/>
      <c r="G679" s="1"/>
      <c r="H679" s="1"/>
      <c r="I679" s="2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4.25" customHeight="1">
      <c r="A680" s="1"/>
      <c r="B680" s="1"/>
      <c r="C680" s="1"/>
      <c r="D680" s="1"/>
      <c r="E680" s="1"/>
      <c r="F680" s="1"/>
      <c r="G680" s="1"/>
      <c r="H680" s="1"/>
      <c r="I680" s="2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4.25" customHeight="1">
      <c r="A681" s="1"/>
      <c r="B681" s="1"/>
      <c r="C681" s="1"/>
      <c r="D681" s="1"/>
      <c r="E681" s="1"/>
      <c r="F681" s="1"/>
      <c r="G681" s="1"/>
      <c r="H681" s="1"/>
      <c r="I681" s="2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4.25" customHeight="1">
      <c r="A682" s="1"/>
      <c r="B682" s="1"/>
      <c r="C682" s="1"/>
      <c r="D682" s="1"/>
      <c r="E682" s="1"/>
      <c r="F682" s="1"/>
      <c r="G682" s="1"/>
      <c r="H682" s="1"/>
      <c r="I682" s="2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4.25" customHeight="1">
      <c r="A683" s="1"/>
      <c r="B683" s="1"/>
      <c r="C683" s="1"/>
      <c r="D683" s="1"/>
      <c r="E683" s="1"/>
      <c r="F683" s="1"/>
      <c r="G683" s="1"/>
      <c r="H683" s="1"/>
      <c r="I683" s="2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4.25" customHeight="1">
      <c r="A684" s="1"/>
      <c r="B684" s="1"/>
      <c r="C684" s="1"/>
      <c r="D684" s="1"/>
      <c r="E684" s="1"/>
      <c r="F684" s="1"/>
      <c r="G684" s="1"/>
      <c r="H684" s="1"/>
      <c r="I684" s="2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4.25" customHeight="1">
      <c r="A685" s="1"/>
      <c r="B685" s="1"/>
      <c r="C685" s="1"/>
      <c r="D685" s="1"/>
      <c r="E685" s="1"/>
      <c r="F685" s="1"/>
      <c r="G685" s="1"/>
      <c r="H685" s="1"/>
      <c r="I685" s="2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4.25" customHeight="1">
      <c r="A686" s="1"/>
      <c r="B686" s="1"/>
      <c r="C686" s="1"/>
      <c r="D686" s="1"/>
      <c r="E686" s="1"/>
      <c r="F686" s="1"/>
      <c r="G686" s="1"/>
      <c r="H686" s="1"/>
      <c r="I686" s="2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4.25" customHeight="1">
      <c r="A687" s="1"/>
      <c r="B687" s="1"/>
      <c r="C687" s="1"/>
      <c r="D687" s="1"/>
      <c r="E687" s="1"/>
      <c r="F687" s="1"/>
      <c r="G687" s="1"/>
      <c r="H687" s="1"/>
      <c r="I687" s="2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4.25" customHeight="1">
      <c r="A688" s="1"/>
      <c r="B688" s="1"/>
      <c r="C688" s="1"/>
      <c r="D688" s="1"/>
      <c r="E688" s="1"/>
      <c r="F688" s="1"/>
      <c r="G688" s="1"/>
      <c r="H688" s="1"/>
      <c r="I688" s="2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4.25" customHeight="1">
      <c r="A689" s="1"/>
      <c r="B689" s="1"/>
      <c r="C689" s="1"/>
      <c r="D689" s="1"/>
      <c r="E689" s="1"/>
      <c r="F689" s="1"/>
      <c r="G689" s="1"/>
      <c r="H689" s="1"/>
      <c r="I689" s="2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4.25" customHeight="1">
      <c r="A690" s="1"/>
      <c r="B690" s="1"/>
      <c r="C690" s="1"/>
      <c r="D690" s="1"/>
      <c r="E690" s="1"/>
      <c r="F690" s="1"/>
      <c r="G690" s="1"/>
      <c r="H690" s="1"/>
      <c r="I690" s="2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4.25" customHeight="1">
      <c r="A691" s="1"/>
      <c r="B691" s="1"/>
      <c r="C691" s="1"/>
      <c r="D691" s="1"/>
      <c r="E691" s="1"/>
      <c r="F691" s="1"/>
      <c r="G691" s="1"/>
      <c r="H691" s="1"/>
      <c r="I691" s="2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4.25" customHeight="1">
      <c r="A692" s="1"/>
      <c r="B692" s="1"/>
      <c r="C692" s="1"/>
      <c r="D692" s="1"/>
      <c r="E692" s="1"/>
      <c r="F692" s="1"/>
      <c r="G692" s="1"/>
      <c r="H692" s="1"/>
      <c r="I692" s="2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4.25" customHeight="1">
      <c r="A693" s="1"/>
      <c r="B693" s="1"/>
      <c r="C693" s="1"/>
      <c r="D693" s="1"/>
      <c r="E693" s="1"/>
      <c r="F693" s="1"/>
      <c r="G693" s="1"/>
      <c r="H693" s="1"/>
      <c r="I693" s="2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4.25" customHeight="1">
      <c r="A694" s="1"/>
      <c r="B694" s="1"/>
      <c r="C694" s="1"/>
      <c r="D694" s="1"/>
      <c r="E694" s="1"/>
      <c r="F694" s="1"/>
      <c r="G694" s="1"/>
      <c r="H694" s="1"/>
      <c r="I694" s="2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4.25" customHeight="1">
      <c r="A695" s="1"/>
      <c r="B695" s="1"/>
      <c r="C695" s="1"/>
      <c r="D695" s="1"/>
      <c r="E695" s="1"/>
      <c r="F695" s="1"/>
      <c r="G695" s="1"/>
      <c r="H695" s="1"/>
      <c r="I695" s="2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4.25" customHeight="1">
      <c r="A696" s="1"/>
      <c r="B696" s="1"/>
      <c r="C696" s="1"/>
      <c r="D696" s="1"/>
      <c r="E696" s="1"/>
      <c r="F696" s="1"/>
      <c r="G696" s="1"/>
      <c r="H696" s="1"/>
      <c r="I696" s="2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4.25" customHeight="1">
      <c r="A697" s="1"/>
      <c r="B697" s="1"/>
      <c r="C697" s="1"/>
      <c r="D697" s="1"/>
      <c r="E697" s="1"/>
      <c r="F697" s="1"/>
      <c r="G697" s="1"/>
      <c r="H697" s="1"/>
      <c r="I697" s="2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4.25" customHeight="1">
      <c r="A698" s="1"/>
      <c r="B698" s="1"/>
      <c r="C698" s="1"/>
      <c r="D698" s="1"/>
      <c r="E698" s="1"/>
      <c r="F698" s="1"/>
      <c r="G698" s="1"/>
      <c r="H698" s="1"/>
      <c r="I698" s="2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4.25" customHeight="1">
      <c r="A699" s="1"/>
      <c r="B699" s="1"/>
      <c r="C699" s="1"/>
      <c r="D699" s="1"/>
      <c r="E699" s="1"/>
      <c r="F699" s="1"/>
      <c r="G699" s="1"/>
      <c r="H699" s="1"/>
      <c r="I699" s="2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4.25" customHeight="1">
      <c r="A700" s="1"/>
      <c r="B700" s="1"/>
      <c r="C700" s="1"/>
      <c r="D700" s="1"/>
      <c r="E700" s="1"/>
      <c r="F700" s="1"/>
      <c r="G700" s="1"/>
      <c r="H700" s="1"/>
      <c r="I700" s="2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4.25" customHeight="1">
      <c r="A701" s="1"/>
      <c r="B701" s="1"/>
      <c r="C701" s="1"/>
      <c r="D701" s="1"/>
      <c r="E701" s="1"/>
      <c r="F701" s="1"/>
      <c r="G701" s="1"/>
      <c r="H701" s="1"/>
      <c r="I701" s="2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4.25" customHeight="1">
      <c r="A702" s="1"/>
      <c r="B702" s="1"/>
      <c r="C702" s="1"/>
      <c r="D702" s="1"/>
      <c r="E702" s="1"/>
      <c r="F702" s="1"/>
      <c r="G702" s="1"/>
      <c r="H702" s="1"/>
      <c r="I702" s="2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4.25" customHeight="1">
      <c r="A703" s="1"/>
      <c r="B703" s="1"/>
      <c r="C703" s="1"/>
      <c r="D703" s="1"/>
      <c r="E703" s="1"/>
      <c r="F703" s="1"/>
      <c r="G703" s="1"/>
      <c r="H703" s="1"/>
      <c r="I703" s="2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4.25" customHeight="1">
      <c r="A704" s="1"/>
      <c r="B704" s="1"/>
      <c r="C704" s="1"/>
      <c r="D704" s="1"/>
      <c r="E704" s="1"/>
      <c r="F704" s="1"/>
      <c r="G704" s="1"/>
      <c r="H704" s="1"/>
      <c r="I704" s="2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4.25" customHeight="1">
      <c r="A705" s="1"/>
      <c r="B705" s="1"/>
      <c r="C705" s="1"/>
      <c r="D705" s="1"/>
      <c r="E705" s="1"/>
      <c r="F705" s="1"/>
      <c r="G705" s="1"/>
      <c r="H705" s="1"/>
      <c r="I705" s="2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4.25" customHeight="1">
      <c r="A706" s="1"/>
      <c r="B706" s="1"/>
      <c r="C706" s="1"/>
      <c r="D706" s="1"/>
      <c r="E706" s="1"/>
      <c r="F706" s="1"/>
      <c r="G706" s="1"/>
      <c r="H706" s="1"/>
      <c r="I706" s="2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4.25" customHeight="1">
      <c r="A707" s="1"/>
      <c r="B707" s="1"/>
      <c r="C707" s="1"/>
      <c r="D707" s="1"/>
      <c r="E707" s="1"/>
      <c r="F707" s="1"/>
      <c r="G707" s="1"/>
      <c r="H707" s="1"/>
      <c r="I707" s="2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4.25" customHeight="1">
      <c r="A708" s="1"/>
      <c r="B708" s="1"/>
      <c r="C708" s="1"/>
      <c r="D708" s="1"/>
      <c r="E708" s="1"/>
      <c r="F708" s="1"/>
      <c r="G708" s="1"/>
      <c r="H708" s="1"/>
      <c r="I708" s="2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4.25" customHeight="1">
      <c r="A709" s="1"/>
      <c r="B709" s="1"/>
      <c r="C709" s="1"/>
      <c r="D709" s="1"/>
      <c r="E709" s="1"/>
      <c r="F709" s="1"/>
      <c r="G709" s="1"/>
      <c r="H709" s="1"/>
      <c r="I709" s="2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4.25" customHeight="1">
      <c r="A710" s="1"/>
      <c r="B710" s="1"/>
      <c r="C710" s="1"/>
      <c r="D710" s="1"/>
      <c r="E710" s="1"/>
      <c r="F710" s="1"/>
      <c r="G710" s="1"/>
      <c r="H710" s="1"/>
      <c r="I710" s="2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4.25" customHeight="1">
      <c r="A711" s="1"/>
      <c r="B711" s="1"/>
      <c r="C711" s="1"/>
      <c r="D711" s="1"/>
      <c r="E711" s="1"/>
      <c r="F711" s="1"/>
      <c r="G711" s="1"/>
      <c r="H711" s="1"/>
      <c r="I711" s="2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4.25" customHeight="1">
      <c r="A712" s="1"/>
      <c r="B712" s="1"/>
      <c r="C712" s="1"/>
      <c r="D712" s="1"/>
      <c r="E712" s="1"/>
      <c r="F712" s="1"/>
      <c r="G712" s="1"/>
      <c r="H712" s="1"/>
      <c r="I712" s="2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4.25" customHeight="1">
      <c r="A713" s="1"/>
      <c r="B713" s="1"/>
      <c r="C713" s="1"/>
      <c r="D713" s="1"/>
      <c r="E713" s="1"/>
      <c r="F713" s="1"/>
      <c r="G713" s="1"/>
      <c r="H713" s="1"/>
      <c r="I713" s="2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4.25" customHeight="1">
      <c r="A714" s="1"/>
      <c r="B714" s="1"/>
      <c r="C714" s="1"/>
      <c r="D714" s="1"/>
      <c r="E714" s="1"/>
      <c r="F714" s="1"/>
      <c r="G714" s="1"/>
      <c r="H714" s="1"/>
      <c r="I714" s="2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4.25" customHeight="1">
      <c r="A715" s="1"/>
      <c r="B715" s="1"/>
      <c r="C715" s="1"/>
      <c r="D715" s="1"/>
      <c r="E715" s="1"/>
      <c r="F715" s="1"/>
      <c r="G715" s="1"/>
      <c r="H715" s="1"/>
      <c r="I715" s="2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4.25" customHeight="1">
      <c r="A716" s="1"/>
      <c r="B716" s="1"/>
      <c r="C716" s="1"/>
      <c r="D716" s="1"/>
      <c r="E716" s="1"/>
      <c r="F716" s="1"/>
      <c r="G716" s="1"/>
      <c r="H716" s="1"/>
      <c r="I716" s="2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4.25" customHeight="1">
      <c r="A717" s="1"/>
      <c r="B717" s="1"/>
      <c r="C717" s="1"/>
      <c r="D717" s="1"/>
      <c r="E717" s="1"/>
      <c r="F717" s="1"/>
      <c r="G717" s="1"/>
      <c r="H717" s="1"/>
      <c r="I717" s="2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4.25" customHeight="1">
      <c r="A718" s="1"/>
      <c r="B718" s="1"/>
      <c r="C718" s="1"/>
      <c r="D718" s="1"/>
      <c r="E718" s="1"/>
      <c r="F718" s="1"/>
      <c r="G718" s="1"/>
      <c r="H718" s="1"/>
      <c r="I718" s="2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4.25" customHeight="1">
      <c r="A719" s="1"/>
      <c r="B719" s="1"/>
      <c r="C719" s="1"/>
      <c r="D719" s="1"/>
      <c r="E719" s="1"/>
      <c r="F719" s="1"/>
      <c r="G719" s="1"/>
      <c r="H719" s="1"/>
      <c r="I719" s="2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4.25" customHeight="1">
      <c r="A720" s="1"/>
      <c r="B720" s="1"/>
      <c r="C720" s="1"/>
      <c r="D720" s="1"/>
      <c r="E720" s="1"/>
      <c r="F720" s="1"/>
      <c r="G720" s="1"/>
      <c r="H720" s="1"/>
      <c r="I720" s="2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4.25" customHeight="1">
      <c r="A721" s="1"/>
      <c r="B721" s="1"/>
      <c r="C721" s="1"/>
      <c r="D721" s="1"/>
      <c r="E721" s="1"/>
      <c r="F721" s="1"/>
      <c r="G721" s="1"/>
      <c r="H721" s="1"/>
      <c r="I721" s="2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4.25" customHeight="1">
      <c r="A722" s="1"/>
      <c r="B722" s="1"/>
      <c r="C722" s="1"/>
      <c r="D722" s="1"/>
      <c r="E722" s="1"/>
      <c r="F722" s="1"/>
      <c r="G722" s="1"/>
      <c r="H722" s="1"/>
      <c r="I722" s="2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4.25" customHeight="1">
      <c r="A723" s="1"/>
      <c r="B723" s="1"/>
      <c r="C723" s="1"/>
      <c r="D723" s="1"/>
      <c r="E723" s="1"/>
      <c r="F723" s="1"/>
      <c r="G723" s="1"/>
      <c r="H723" s="1"/>
      <c r="I723" s="2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4.25" customHeight="1">
      <c r="A724" s="1"/>
      <c r="B724" s="1"/>
      <c r="C724" s="1"/>
      <c r="D724" s="1"/>
      <c r="E724" s="1"/>
      <c r="F724" s="1"/>
      <c r="G724" s="1"/>
      <c r="H724" s="1"/>
      <c r="I724" s="2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4.25" customHeight="1">
      <c r="A725" s="1"/>
      <c r="B725" s="1"/>
      <c r="C725" s="1"/>
      <c r="D725" s="1"/>
      <c r="E725" s="1"/>
      <c r="F725" s="1"/>
      <c r="G725" s="1"/>
      <c r="H725" s="1"/>
      <c r="I725" s="2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4.25" customHeight="1">
      <c r="A726" s="1"/>
      <c r="B726" s="1"/>
      <c r="C726" s="1"/>
      <c r="D726" s="1"/>
      <c r="E726" s="1"/>
      <c r="F726" s="1"/>
      <c r="G726" s="1"/>
      <c r="H726" s="1"/>
      <c r="I726" s="2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4.25" customHeight="1">
      <c r="A727" s="1"/>
      <c r="B727" s="1"/>
      <c r="C727" s="1"/>
      <c r="D727" s="1"/>
      <c r="E727" s="1"/>
      <c r="F727" s="1"/>
      <c r="G727" s="1"/>
      <c r="H727" s="1"/>
      <c r="I727" s="2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4.25" customHeight="1">
      <c r="A728" s="1"/>
      <c r="B728" s="1"/>
      <c r="C728" s="1"/>
      <c r="D728" s="1"/>
      <c r="E728" s="1"/>
      <c r="F728" s="1"/>
      <c r="G728" s="1"/>
      <c r="H728" s="1"/>
      <c r="I728" s="2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4.25" customHeight="1">
      <c r="A729" s="1"/>
      <c r="B729" s="1"/>
      <c r="C729" s="1"/>
      <c r="D729" s="1"/>
      <c r="E729" s="1"/>
      <c r="F729" s="1"/>
      <c r="G729" s="1"/>
      <c r="H729" s="1"/>
      <c r="I729" s="2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4.25" customHeight="1">
      <c r="A730" s="1"/>
      <c r="B730" s="1"/>
      <c r="C730" s="1"/>
      <c r="D730" s="1"/>
      <c r="E730" s="1"/>
      <c r="F730" s="1"/>
      <c r="G730" s="1"/>
      <c r="H730" s="1"/>
      <c r="I730" s="2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4.25" customHeight="1">
      <c r="A731" s="1"/>
      <c r="B731" s="1"/>
      <c r="C731" s="1"/>
      <c r="D731" s="1"/>
      <c r="E731" s="1"/>
      <c r="F731" s="1"/>
      <c r="G731" s="1"/>
      <c r="H731" s="1"/>
      <c r="I731" s="2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4.25" customHeight="1">
      <c r="A732" s="1"/>
      <c r="B732" s="1"/>
      <c r="C732" s="1"/>
      <c r="D732" s="1"/>
      <c r="E732" s="1"/>
      <c r="F732" s="1"/>
      <c r="G732" s="1"/>
      <c r="H732" s="1"/>
      <c r="I732" s="2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4.25" customHeight="1">
      <c r="A733" s="1"/>
      <c r="B733" s="1"/>
      <c r="C733" s="1"/>
      <c r="D733" s="1"/>
      <c r="E733" s="1"/>
      <c r="F733" s="1"/>
      <c r="G733" s="1"/>
      <c r="H733" s="1"/>
      <c r="I733" s="2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4.25" customHeight="1">
      <c r="A734" s="1"/>
      <c r="B734" s="1"/>
      <c r="C734" s="1"/>
      <c r="D734" s="1"/>
      <c r="E734" s="1"/>
      <c r="F734" s="1"/>
      <c r="G734" s="1"/>
      <c r="H734" s="1"/>
      <c r="I734" s="2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4.25" customHeight="1">
      <c r="A735" s="1"/>
      <c r="B735" s="1"/>
      <c r="C735" s="1"/>
      <c r="D735" s="1"/>
      <c r="E735" s="1"/>
      <c r="F735" s="1"/>
      <c r="G735" s="1"/>
      <c r="H735" s="1"/>
      <c r="I735" s="2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4.25" customHeight="1">
      <c r="A736" s="1"/>
      <c r="B736" s="1"/>
      <c r="C736" s="1"/>
      <c r="D736" s="1"/>
      <c r="E736" s="1"/>
      <c r="F736" s="1"/>
      <c r="G736" s="1"/>
      <c r="H736" s="1"/>
      <c r="I736" s="2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4.25" customHeight="1">
      <c r="A737" s="1"/>
      <c r="B737" s="1"/>
      <c r="C737" s="1"/>
      <c r="D737" s="1"/>
      <c r="E737" s="1"/>
      <c r="F737" s="1"/>
      <c r="G737" s="1"/>
      <c r="H737" s="1"/>
      <c r="I737" s="2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4.25" customHeight="1">
      <c r="A738" s="1"/>
      <c r="B738" s="1"/>
      <c r="C738" s="1"/>
      <c r="D738" s="1"/>
      <c r="E738" s="1"/>
      <c r="F738" s="1"/>
      <c r="G738" s="1"/>
      <c r="H738" s="1"/>
      <c r="I738" s="2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4.25" customHeight="1">
      <c r="A739" s="1"/>
      <c r="B739" s="1"/>
      <c r="C739" s="1"/>
      <c r="D739" s="1"/>
      <c r="E739" s="1"/>
      <c r="F739" s="1"/>
      <c r="G739" s="1"/>
      <c r="H739" s="1"/>
      <c r="I739" s="2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4.25" customHeight="1">
      <c r="A740" s="1"/>
      <c r="B740" s="1"/>
      <c r="C740" s="1"/>
      <c r="D740" s="1"/>
      <c r="E740" s="1"/>
      <c r="F740" s="1"/>
      <c r="G740" s="1"/>
      <c r="H740" s="1"/>
      <c r="I740" s="2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4.25" customHeight="1">
      <c r="A741" s="1"/>
      <c r="B741" s="1"/>
      <c r="C741" s="1"/>
      <c r="D741" s="1"/>
      <c r="E741" s="1"/>
      <c r="F741" s="1"/>
      <c r="G741" s="1"/>
      <c r="H741" s="1"/>
      <c r="I741" s="2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4.25" customHeight="1">
      <c r="A742" s="1"/>
      <c r="B742" s="1"/>
      <c r="C742" s="1"/>
      <c r="D742" s="1"/>
      <c r="E742" s="1"/>
      <c r="F742" s="1"/>
      <c r="G742" s="1"/>
      <c r="H742" s="1"/>
      <c r="I742" s="2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4.25" customHeight="1">
      <c r="A743" s="1"/>
      <c r="B743" s="1"/>
      <c r="C743" s="1"/>
      <c r="D743" s="1"/>
      <c r="E743" s="1"/>
      <c r="F743" s="1"/>
      <c r="G743" s="1"/>
      <c r="H743" s="1"/>
      <c r="I743" s="2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4.25" customHeight="1">
      <c r="A744" s="1"/>
      <c r="B744" s="1"/>
      <c r="C744" s="1"/>
      <c r="D744" s="1"/>
      <c r="E744" s="1"/>
      <c r="F744" s="1"/>
      <c r="G744" s="1"/>
      <c r="H744" s="1"/>
      <c r="I744" s="2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4.25" customHeight="1">
      <c r="A745" s="1"/>
      <c r="B745" s="1"/>
      <c r="C745" s="1"/>
      <c r="D745" s="1"/>
      <c r="E745" s="1"/>
      <c r="F745" s="1"/>
      <c r="G745" s="1"/>
      <c r="H745" s="1"/>
      <c r="I745" s="2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4.25" customHeight="1">
      <c r="A746" s="1"/>
      <c r="B746" s="1"/>
      <c r="C746" s="1"/>
      <c r="D746" s="1"/>
      <c r="E746" s="1"/>
      <c r="F746" s="1"/>
      <c r="G746" s="1"/>
      <c r="H746" s="1"/>
      <c r="I746" s="2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4.25" customHeight="1">
      <c r="A747" s="1"/>
      <c r="B747" s="1"/>
      <c r="C747" s="1"/>
      <c r="D747" s="1"/>
      <c r="E747" s="1"/>
      <c r="F747" s="1"/>
      <c r="G747" s="1"/>
      <c r="H747" s="1"/>
      <c r="I747" s="2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4.25" customHeight="1">
      <c r="A748" s="1"/>
      <c r="B748" s="1"/>
      <c r="C748" s="1"/>
      <c r="D748" s="1"/>
      <c r="E748" s="1"/>
      <c r="F748" s="1"/>
      <c r="G748" s="1"/>
      <c r="H748" s="1"/>
      <c r="I748" s="2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4.25" customHeight="1">
      <c r="A749" s="1"/>
      <c r="B749" s="1"/>
      <c r="C749" s="1"/>
      <c r="D749" s="1"/>
      <c r="E749" s="1"/>
      <c r="F749" s="1"/>
      <c r="G749" s="1"/>
      <c r="H749" s="1"/>
      <c r="I749" s="2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4.25" customHeight="1">
      <c r="A750" s="1"/>
      <c r="B750" s="1"/>
      <c r="C750" s="1"/>
      <c r="D750" s="1"/>
      <c r="E750" s="1"/>
      <c r="F750" s="1"/>
      <c r="G750" s="1"/>
      <c r="H750" s="1"/>
      <c r="I750" s="2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4.25" customHeight="1">
      <c r="A751" s="1"/>
      <c r="B751" s="1"/>
      <c r="C751" s="1"/>
      <c r="D751" s="1"/>
      <c r="E751" s="1"/>
      <c r="F751" s="1"/>
      <c r="G751" s="1"/>
      <c r="H751" s="1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4.25" customHeight="1">
      <c r="A752" s="1"/>
      <c r="B752" s="1"/>
      <c r="C752" s="1"/>
      <c r="D752" s="1"/>
      <c r="E752" s="1"/>
      <c r="F752" s="1"/>
      <c r="G752" s="1"/>
      <c r="H752" s="1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4.25" customHeight="1">
      <c r="A753" s="1"/>
      <c r="B753" s="1"/>
      <c r="C753" s="1"/>
      <c r="D753" s="1"/>
      <c r="E753" s="1"/>
      <c r="F753" s="1"/>
      <c r="G753" s="1"/>
      <c r="H753" s="1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4.25" customHeight="1">
      <c r="A754" s="1"/>
      <c r="B754" s="1"/>
      <c r="C754" s="1"/>
      <c r="D754" s="1"/>
      <c r="E754" s="1"/>
      <c r="F754" s="1"/>
      <c r="G754" s="1"/>
      <c r="H754" s="1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4.25" customHeight="1">
      <c r="A755" s="1"/>
      <c r="B755" s="1"/>
      <c r="C755" s="1"/>
      <c r="D755" s="1"/>
      <c r="E755" s="1"/>
      <c r="F755" s="1"/>
      <c r="G755" s="1"/>
      <c r="H755" s="1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4.25" customHeight="1">
      <c r="A756" s="1"/>
      <c r="B756" s="1"/>
      <c r="C756" s="1"/>
      <c r="D756" s="1"/>
      <c r="E756" s="1"/>
      <c r="F756" s="1"/>
      <c r="G756" s="1"/>
      <c r="H756" s="1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4.25" customHeight="1">
      <c r="A757" s="1"/>
      <c r="B757" s="1"/>
      <c r="C757" s="1"/>
      <c r="D757" s="1"/>
      <c r="E757" s="1"/>
      <c r="F757" s="1"/>
      <c r="G757" s="1"/>
      <c r="H757" s="1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4.25" customHeight="1">
      <c r="A758" s="1"/>
      <c r="B758" s="1"/>
      <c r="C758" s="1"/>
      <c r="D758" s="1"/>
      <c r="E758" s="1"/>
      <c r="F758" s="1"/>
      <c r="G758" s="1"/>
      <c r="H758" s="1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4.25" customHeight="1">
      <c r="A759" s="1"/>
      <c r="B759" s="1"/>
      <c r="C759" s="1"/>
      <c r="D759" s="1"/>
      <c r="E759" s="1"/>
      <c r="F759" s="1"/>
      <c r="G759" s="1"/>
      <c r="H759" s="1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4.25" customHeight="1">
      <c r="A760" s="1"/>
      <c r="B760" s="1"/>
      <c r="C760" s="1"/>
      <c r="D760" s="1"/>
      <c r="E760" s="1"/>
      <c r="F760" s="1"/>
      <c r="G760" s="1"/>
      <c r="H760" s="1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4.25" customHeight="1">
      <c r="A761" s="1"/>
      <c r="B761" s="1"/>
      <c r="C761" s="1"/>
      <c r="D761" s="1"/>
      <c r="E761" s="1"/>
      <c r="F761" s="1"/>
      <c r="G761" s="1"/>
      <c r="H761" s="1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4.25" customHeight="1">
      <c r="A762" s="1"/>
      <c r="B762" s="1"/>
      <c r="C762" s="1"/>
      <c r="D762" s="1"/>
      <c r="E762" s="1"/>
      <c r="F762" s="1"/>
      <c r="G762" s="1"/>
      <c r="H762" s="1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4.25" customHeight="1">
      <c r="A763" s="1"/>
      <c r="B763" s="1"/>
      <c r="C763" s="1"/>
      <c r="D763" s="1"/>
      <c r="E763" s="1"/>
      <c r="F763" s="1"/>
      <c r="G763" s="1"/>
      <c r="H763" s="1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4.25" customHeight="1">
      <c r="A764" s="1"/>
      <c r="B764" s="1"/>
      <c r="C764" s="1"/>
      <c r="D764" s="1"/>
      <c r="E764" s="1"/>
      <c r="F764" s="1"/>
      <c r="G764" s="1"/>
      <c r="H764" s="1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4.25" customHeight="1">
      <c r="A765" s="1"/>
      <c r="B765" s="1"/>
      <c r="C765" s="1"/>
      <c r="D765" s="1"/>
      <c r="E765" s="1"/>
      <c r="F765" s="1"/>
      <c r="G765" s="1"/>
      <c r="H765" s="1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4.25" customHeight="1">
      <c r="A766" s="1"/>
      <c r="B766" s="1"/>
      <c r="C766" s="1"/>
      <c r="D766" s="1"/>
      <c r="E766" s="1"/>
      <c r="F766" s="1"/>
      <c r="G766" s="1"/>
      <c r="H766" s="1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4.25" customHeight="1">
      <c r="A767" s="1"/>
      <c r="B767" s="1"/>
      <c r="C767" s="1"/>
      <c r="D767" s="1"/>
      <c r="E767" s="1"/>
      <c r="F767" s="1"/>
      <c r="G767" s="1"/>
      <c r="H767" s="1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4.25" customHeight="1">
      <c r="A768" s="1"/>
      <c r="B768" s="1"/>
      <c r="C768" s="1"/>
      <c r="D768" s="1"/>
      <c r="E768" s="1"/>
      <c r="F768" s="1"/>
      <c r="G768" s="1"/>
      <c r="H768" s="1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4.25" customHeight="1">
      <c r="A769" s="1"/>
      <c r="B769" s="1"/>
      <c r="C769" s="1"/>
      <c r="D769" s="1"/>
      <c r="E769" s="1"/>
      <c r="F769" s="1"/>
      <c r="G769" s="1"/>
      <c r="H769" s="1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4.25" customHeight="1">
      <c r="A770" s="1"/>
      <c r="B770" s="1"/>
      <c r="C770" s="1"/>
      <c r="D770" s="1"/>
      <c r="E770" s="1"/>
      <c r="F770" s="1"/>
      <c r="G770" s="1"/>
      <c r="H770" s="1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4.25" customHeight="1">
      <c r="A771" s="1"/>
      <c r="B771" s="1"/>
      <c r="C771" s="1"/>
      <c r="D771" s="1"/>
      <c r="E771" s="1"/>
      <c r="F771" s="1"/>
      <c r="G771" s="1"/>
      <c r="H771" s="1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4.25" customHeight="1">
      <c r="A772" s="1"/>
      <c r="B772" s="1"/>
      <c r="C772" s="1"/>
      <c r="D772" s="1"/>
      <c r="E772" s="1"/>
      <c r="F772" s="1"/>
      <c r="G772" s="1"/>
      <c r="H772" s="1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4.25" customHeight="1">
      <c r="A773" s="1"/>
      <c r="B773" s="1"/>
      <c r="C773" s="1"/>
      <c r="D773" s="1"/>
      <c r="E773" s="1"/>
      <c r="F773" s="1"/>
      <c r="G773" s="1"/>
      <c r="H773" s="1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4.25" customHeight="1">
      <c r="A774" s="1"/>
      <c r="B774" s="1"/>
      <c r="C774" s="1"/>
      <c r="D774" s="1"/>
      <c r="E774" s="1"/>
      <c r="F774" s="1"/>
      <c r="G774" s="1"/>
      <c r="H774" s="1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4.25" customHeight="1">
      <c r="A775" s="1"/>
      <c r="B775" s="1"/>
      <c r="C775" s="1"/>
      <c r="D775" s="1"/>
      <c r="E775" s="1"/>
      <c r="F775" s="1"/>
      <c r="G775" s="1"/>
      <c r="H775" s="1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4.25" customHeight="1">
      <c r="A776" s="1"/>
      <c r="B776" s="1"/>
      <c r="C776" s="1"/>
      <c r="D776" s="1"/>
      <c r="E776" s="1"/>
      <c r="F776" s="1"/>
      <c r="G776" s="1"/>
      <c r="H776" s="1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4.25" customHeight="1">
      <c r="A777" s="1"/>
      <c r="B777" s="1"/>
      <c r="C777" s="1"/>
      <c r="D777" s="1"/>
      <c r="E777" s="1"/>
      <c r="F777" s="1"/>
      <c r="G777" s="1"/>
      <c r="H777" s="1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4.25" customHeight="1">
      <c r="A778" s="1"/>
      <c r="B778" s="1"/>
      <c r="C778" s="1"/>
      <c r="D778" s="1"/>
      <c r="E778" s="1"/>
      <c r="F778" s="1"/>
      <c r="G778" s="1"/>
      <c r="H778" s="1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4.25" customHeight="1">
      <c r="A779" s="1"/>
      <c r="B779" s="1"/>
      <c r="C779" s="1"/>
      <c r="D779" s="1"/>
      <c r="E779" s="1"/>
      <c r="F779" s="1"/>
      <c r="G779" s="1"/>
      <c r="H779" s="1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4.25" customHeight="1">
      <c r="A780" s="1"/>
      <c r="B780" s="1"/>
      <c r="C780" s="1"/>
      <c r="D780" s="1"/>
      <c r="E780" s="1"/>
      <c r="F780" s="1"/>
      <c r="G780" s="1"/>
      <c r="H780" s="1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4.25" customHeight="1">
      <c r="A781" s="1"/>
      <c r="B781" s="1"/>
      <c r="C781" s="1"/>
      <c r="D781" s="1"/>
      <c r="E781" s="1"/>
      <c r="F781" s="1"/>
      <c r="G781" s="1"/>
      <c r="H781" s="1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4.25" customHeight="1">
      <c r="A782" s="1"/>
      <c r="B782" s="1"/>
      <c r="C782" s="1"/>
      <c r="D782" s="1"/>
      <c r="E782" s="1"/>
      <c r="F782" s="1"/>
      <c r="G782" s="1"/>
      <c r="H782" s="1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4.25" customHeight="1">
      <c r="A783" s="1"/>
      <c r="B783" s="1"/>
      <c r="C783" s="1"/>
      <c r="D783" s="1"/>
      <c r="E783" s="1"/>
      <c r="F783" s="1"/>
      <c r="G783" s="1"/>
      <c r="H783" s="1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4.25" customHeight="1">
      <c r="A784" s="1"/>
      <c r="B784" s="1"/>
      <c r="C784" s="1"/>
      <c r="D784" s="1"/>
      <c r="E784" s="1"/>
      <c r="F784" s="1"/>
      <c r="G784" s="1"/>
      <c r="H784" s="1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4.25" customHeight="1">
      <c r="A785" s="1"/>
      <c r="B785" s="1"/>
      <c r="C785" s="1"/>
      <c r="D785" s="1"/>
      <c r="E785" s="1"/>
      <c r="F785" s="1"/>
      <c r="G785" s="1"/>
      <c r="H785" s="1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4.25" customHeight="1">
      <c r="A786" s="1"/>
      <c r="B786" s="1"/>
      <c r="C786" s="1"/>
      <c r="D786" s="1"/>
      <c r="E786" s="1"/>
      <c r="F786" s="1"/>
      <c r="G786" s="1"/>
      <c r="H786" s="1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4.25" customHeight="1">
      <c r="A787" s="1"/>
      <c r="B787" s="1"/>
      <c r="C787" s="1"/>
      <c r="D787" s="1"/>
      <c r="E787" s="1"/>
      <c r="F787" s="1"/>
      <c r="G787" s="1"/>
      <c r="H787" s="1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4.25" customHeight="1">
      <c r="A788" s="1"/>
      <c r="B788" s="1"/>
      <c r="C788" s="1"/>
      <c r="D788" s="1"/>
      <c r="E788" s="1"/>
      <c r="F788" s="1"/>
      <c r="G788" s="1"/>
      <c r="H788" s="1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4.25" customHeight="1">
      <c r="A789" s="1"/>
      <c r="B789" s="1"/>
      <c r="C789" s="1"/>
      <c r="D789" s="1"/>
      <c r="E789" s="1"/>
      <c r="F789" s="1"/>
      <c r="G789" s="1"/>
      <c r="H789" s="1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4.25" customHeight="1">
      <c r="A790" s="1"/>
      <c r="B790" s="1"/>
      <c r="C790" s="1"/>
      <c r="D790" s="1"/>
      <c r="E790" s="1"/>
      <c r="F790" s="1"/>
      <c r="G790" s="1"/>
      <c r="H790" s="1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4.25" customHeight="1">
      <c r="A791" s="1"/>
      <c r="B791" s="1"/>
      <c r="C791" s="1"/>
      <c r="D791" s="1"/>
      <c r="E791" s="1"/>
      <c r="F791" s="1"/>
      <c r="G791" s="1"/>
      <c r="H791" s="1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4.25" customHeight="1">
      <c r="A792" s="1"/>
      <c r="B792" s="1"/>
      <c r="C792" s="1"/>
      <c r="D792" s="1"/>
      <c r="E792" s="1"/>
      <c r="F792" s="1"/>
      <c r="G792" s="1"/>
      <c r="H792" s="1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4.25" customHeight="1">
      <c r="A793" s="1"/>
      <c r="B793" s="1"/>
      <c r="C793" s="1"/>
      <c r="D793" s="1"/>
      <c r="E793" s="1"/>
      <c r="F793" s="1"/>
      <c r="G793" s="1"/>
      <c r="H793" s="1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4.25" customHeight="1">
      <c r="A794" s="1"/>
      <c r="B794" s="1"/>
      <c r="C794" s="1"/>
      <c r="D794" s="1"/>
      <c r="E794" s="1"/>
      <c r="F794" s="1"/>
      <c r="G794" s="1"/>
      <c r="H794" s="1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4.25" customHeight="1">
      <c r="A795" s="1"/>
      <c r="B795" s="1"/>
      <c r="C795" s="1"/>
      <c r="D795" s="1"/>
      <c r="E795" s="1"/>
      <c r="F795" s="1"/>
      <c r="G795" s="1"/>
      <c r="H795" s="1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4.25" customHeight="1">
      <c r="A796" s="1"/>
      <c r="B796" s="1"/>
      <c r="C796" s="1"/>
      <c r="D796" s="1"/>
      <c r="E796" s="1"/>
      <c r="F796" s="1"/>
      <c r="G796" s="1"/>
      <c r="H796" s="1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4.25" customHeight="1">
      <c r="A797" s="1"/>
      <c r="B797" s="1"/>
      <c r="C797" s="1"/>
      <c r="D797" s="1"/>
      <c r="E797" s="1"/>
      <c r="F797" s="1"/>
      <c r="G797" s="1"/>
      <c r="H797" s="1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4.25" customHeight="1">
      <c r="A798" s="1"/>
      <c r="B798" s="1"/>
      <c r="C798" s="1"/>
      <c r="D798" s="1"/>
      <c r="E798" s="1"/>
      <c r="F798" s="1"/>
      <c r="G798" s="1"/>
      <c r="H798" s="1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4.25" customHeight="1">
      <c r="A799" s="1"/>
      <c r="B799" s="1"/>
      <c r="C799" s="1"/>
      <c r="D799" s="1"/>
      <c r="E799" s="1"/>
      <c r="F799" s="1"/>
      <c r="G799" s="1"/>
      <c r="H799" s="1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4.25" customHeight="1">
      <c r="A800" s="1"/>
      <c r="B800" s="1"/>
      <c r="C800" s="1"/>
      <c r="D800" s="1"/>
      <c r="E800" s="1"/>
      <c r="F800" s="1"/>
      <c r="G800" s="1"/>
      <c r="H800" s="1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4.25" customHeight="1">
      <c r="A801" s="1"/>
      <c r="B801" s="1"/>
      <c r="C801" s="1"/>
      <c r="D801" s="1"/>
      <c r="E801" s="1"/>
      <c r="F801" s="1"/>
      <c r="G801" s="1"/>
      <c r="H801" s="1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4.25" customHeight="1">
      <c r="A802" s="1"/>
      <c r="B802" s="1"/>
      <c r="C802" s="1"/>
      <c r="D802" s="1"/>
      <c r="E802" s="1"/>
      <c r="F802" s="1"/>
      <c r="G802" s="1"/>
      <c r="H802" s="1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4.25" customHeight="1">
      <c r="A803" s="1"/>
      <c r="B803" s="1"/>
      <c r="C803" s="1"/>
      <c r="D803" s="1"/>
      <c r="E803" s="1"/>
      <c r="F803" s="1"/>
      <c r="G803" s="1"/>
      <c r="H803" s="1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4.25" customHeight="1">
      <c r="A804" s="1"/>
      <c r="B804" s="1"/>
      <c r="C804" s="1"/>
      <c r="D804" s="1"/>
      <c r="E804" s="1"/>
      <c r="F804" s="1"/>
      <c r="G804" s="1"/>
      <c r="H804" s="1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4.25" customHeight="1">
      <c r="A805" s="1"/>
      <c r="B805" s="1"/>
      <c r="C805" s="1"/>
      <c r="D805" s="1"/>
      <c r="E805" s="1"/>
      <c r="F805" s="1"/>
      <c r="G805" s="1"/>
      <c r="H805" s="1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4.25" customHeight="1">
      <c r="A806" s="1"/>
      <c r="B806" s="1"/>
      <c r="C806" s="1"/>
      <c r="D806" s="1"/>
      <c r="E806" s="1"/>
      <c r="F806" s="1"/>
      <c r="G806" s="1"/>
      <c r="H806" s="1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4.25" customHeight="1">
      <c r="A807" s="1"/>
      <c r="B807" s="1"/>
      <c r="C807" s="1"/>
      <c r="D807" s="1"/>
      <c r="E807" s="1"/>
      <c r="F807" s="1"/>
      <c r="G807" s="1"/>
      <c r="H807" s="1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4.25" customHeight="1">
      <c r="A808" s="1"/>
      <c r="B808" s="1"/>
      <c r="C808" s="1"/>
      <c r="D808" s="1"/>
      <c r="E808" s="1"/>
      <c r="F808" s="1"/>
      <c r="G808" s="1"/>
      <c r="H808" s="1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4.25" customHeight="1">
      <c r="A809" s="1"/>
      <c r="B809" s="1"/>
      <c r="C809" s="1"/>
      <c r="D809" s="1"/>
      <c r="E809" s="1"/>
      <c r="F809" s="1"/>
      <c r="G809" s="1"/>
      <c r="H809" s="1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4.25" customHeight="1">
      <c r="A810" s="1"/>
      <c r="B810" s="1"/>
      <c r="C810" s="1"/>
      <c r="D810" s="1"/>
      <c r="E810" s="1"/>
      <c r="F810" s="1"/>
      <c r="G810" s="1"/>
      <c r="H810" s="1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4.25" customHeight="1">
      <c r="A811" s="1"/>
      <c r="B811" s="1"/>
      <c r="C811" s="1"/>
      <c r="D811" s="1"/>
      <c r="E811" s="1"/>
      <c r="F811" s="1"/>
      <c r="G811" s="1"/>
      <c r="H811" s="1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4.25" customHeight="1">
      <c r="A812" s="1"/>
      <c r="B812" s="1"/>
      <c r="C812" s="1"/>
      <c r="D812" s="1"/>
      <c r="E812" s="1"/>
      <c r="F812" s="1"/>
      <c r="G812" s="1"/>
      <c r="H812" s="1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4.25" customHeight="1">
      <c r="A813" s="1"/>
      <c r="B813" s="1"/>
      <c r="C813" s="1"/>
      <c r="D813" s="1"/>
      <c r="E813" s="1"/>
      <c r="F813" s="1"/>
      <c r="G813" s="1"/>
      <c r="H813" s="1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4.25" customHeight="1">
      <c r="A814" s="1"/>
      <c r="B814" s="1"/>
      <c r="C814" s="1"/>
      <c r="D814" s="1"/>
      <c r="E814" s="1"/>
      <c r="F814" s="1"/>
      <c r="G814" s="1"/>
      <c r="H814" s="1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4.25" customHeight="1">
      <c r="A815" s="1"/>
      <c r="B815" s="1"/>
      <c r="C815" s="1"/>
      <c r="D815" s="1"/>
      <c r="E815" s="1"/>
      <c r="F815" s="1"/>
      <c r="G815" s="1"/>
      <c r="H815" s="1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4.25" customHeight="1">
      <c r="A816" s="1"/>
      <c r="B816" s="1"/>
      <c r="C816" s="1"/>
      <c r="D816" s="1"/>
      <c r="E816" s="1"/>
      <c r="F816" s="1"/>
      <c r="G816" s="1"/>
      <c r="H816" s="1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4.25" customHeight="1">
      <c r="A817" s="1"/>
      <c r="B817" s="1"/>
      <c r="C817" s="1"/>
      <c r="D817" s="1"/>
      <c r="E817" s="1"/>
      <c r="F817" s="1"/>
      <c r="G817" s="1"/>
      <c r="H817" s="1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4.25" customHeight="1">
      <c r="A818" s="1"/>
      <c r="B818" s="1"/>
      <c r="C818" s="1"/>
      <c r="D818" s="1"/>
      <c r="E818" s="1"/>
      <c r="F818" s="1"/>
      <c r="G818" s="1"/>
      <c r="H818" s="1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4.25" customHeight="1">
      <c r="A819" s="1"/>
      <c r="B819" s="1"/>
      <c r="C819" s="1"/>
      <c r="D819" s="1"/>
      <c r="E819" s="1"/>
      <c r="F819" s="1"/>
      <c r="G819" s="1"/>
      <c r="H819" s="1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4.25" customHeight="1">
      <c r="A820" s="1"/>
      <c r="B820" s="1"/>
      <c r="C820" s="1"/>
      <c r="D820" s="1"/>
      <c r="E820" s="1"/>
      <c r="F820" s="1"/>
      <c r="G820" s="1"/>
      <c r="H820" s="1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4.25" customHeight="1">
      <c r="A821" s="1"/>
      <c r="B821" s="1"/>
      <c r="C821" s="1"/>
      <c r="D821" s="1"/>
      <c r="E821" s="1"/>
      <c r="F821" s="1"/>
      <c r="G821" s="1"/>
      <c r="H821" s="1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4.25" customHeight="1">
      <c r="A822" s="1"/>
      <c r="B822" s="1"/>
      <c r="C822" s="1"/>
      <c r="D822" s="1"/>
      <c r="E822" s="1"/>
      <c r="F822" s="1"/>
      <c r="G822" s="1"/>
      <c r="H822" s="1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4.25" customHeight="1">
      <c r="A823" s="1"/>
      <c r="B823" s="1"/>
      <c r="C823" s="1"/>
      <c r="D823" s="1"/>
      <c r="E823" s="1"/>
      <c r="F823" s="1"/>
      <c r="G823" s="1"/>
      <c r="H823" s="1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4.25" customHeight="1">
      <c r="A824" s="1"/>
      <c r="B824" s="1"/>
      <c r="C824" s="1"/>
      <c r="D824" s="1"/>
      <c r="E824" s="1"/>
      <c r="F824" s="1"/>
      <c r="G824" s="1"/>
      <c r="H824" s="1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4.25" customHeight="1">
      <c r="A825" s="1"/>
      <c r="B825" s="1"/>
      <c r="C825" s="1"/>
      <c r="D825" s="1"/>
      <c r="E825" s="1"/>
      <c r="F825" s="1"/>
      <c r="G825" s="1"/>
      <c r="H825" s="1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4.25" customHeight="1">
      <c r="A826" s="1"/>
      <c r="B826" s="1"/>
      <c r="C826" s="1"/>
      <c r="D826" s="1"/>
      <c r="E826" s="1"/>
      <c r="F826" s="1"/>
      <c r="G826" s="1"/>
      <c r="H826" s="1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4.25" customHeight="1">
      <c r="A827" s="1"/>
      <c r="B827" s="1"/>
      <c r="C827" s="1"/>
      <c r="D827" s="1"/>
      <c r="E827" s="1"/>
      <c r="F827" s="1"/>
      <c r="G827" s="1"/>
      <c r="H827" s="1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4.25" customHeight="1">
      <c r="A828" s="1"/>
      <c r="B828" s="1"/>
      <c r="C828" s="1"/>
      <c r="D828" s="1"/>
      <c r="E828" s="1"/>
      <c r="F828" s="1"/>
      <c r="G828" s="1"/>
      <c r="H828" s="1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4.25" customHeight="1">
      <c r="A829" s="1"/>
      <c r="B829" s="1"/>
      <c r="C829" s="1"/>
      <c r="D829" s="1"/>
      <c r="E829" s="1"/>
      <c r="F829" s="1"/>
      <c r="G829" s="1"/>
      <c r="H829" s="1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4.25" customHeight="1">
      <c r="A830" s="1"/>
      <c r="B830" s="1"/>
      <c r="C830" s="1"/>
      <c r="D830" s="1"/>
      <c r="E830" s="1"/>
      <c r="F830" s="1"/>
      <c r="G830" s="1"/>
      <c r="H830" s="1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4.25" customHeight="1">
      <c r="A831" s="1"/>
      <c r="B831" s="1"/>
      <c r="C831" s="1"/>
      <c r="D831" s="1"/>
      <c r="E831" s="1"/>
      <c r="F831" s="1"/>
      <c r="G831" s="1"/>
      <c r="H831" s="1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4.25" customHeight="1">
      <c r="A832" s="1"/>
      <c r="B832" s="1"/>
      <c r="C832" s="1"/>
      <c r="D832" s="1"/>
      <c r="E832" s="1"/>
      <c r="F832" s="1"/>
      <c r="G832" s="1"/>
      <c r="H832" s="1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4.25" customHeight="1">
      <c r="A833" s="1"/>
      <c r="B833" s="1"/>
      <c r="C833" s="1"/>
      <c r="D833" s="1"/>
      <c r="E833" s="1"/>
      <c r="F833" s="1"/>
      <c r="G833" s="1"/>
      <c r="H833" s="1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4.25" customHeight="1">
      <c r="A834" s="1"/>
      <c r="B834" s="1"/>
      <c r="C834" s="1"/>
      <c r="D834" s="1"/>
      <c r="E834" s="1"/>
      <c r="F834" s="1"/>
      <c r="G834" s="1"/>
      <c r="H834" s="1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4.25" customHeight="1">
      <c r="A835" s="1"/>
      <c r="B835" s="1"/>
      <c r="C835" s="1"/>
      <c r="D835" s="1"/>
      <c r="E835" s="1"/>
      <c r="F835" s="1"/>
      <c r="G835" s="1"/>
      <c r="H835" s="1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4.25" customHeight="1">
      <c r="A836" s="1"/>
      <c r="B836" s="1"/>
      <c r="C836" s="1"/>
      <c r="D836" s="1"/>
      <c r="E836" s="1"/>
      <c r="F836" s="1"/>
      <c r="G836" s="1"/>
      <c r="H836" s="1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4.25" customHeight="1">
      <c r="A837" s="1"/>
      <c r="B837" s="1"/>
      <c r="C837" s="1"/>
      <c r="D837" s="1"/>
      <c r="E837" s="1"/>
      <c r="F837" s="1"/>
      <c r="G837" s="1"/>
      <c r="H837" s="1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4.25" customHeight="1">
      <c r="A838" s="1"/>
      <c r="B838" s="1"/>
      <c r="C838" s="1"/>
      <c r="D838" s="1"/>
      <c r="E838" s="1"/>
      <c r="F838" s="1"/>
      <c r="G838" s="1"/>
      <c r="H838" s="1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4.25" customHeight="1">
      <c r="A839" s="1"/>
      <c r="B839" s="1"/>
      <c r="C839" s="1"/>
      <c r="D839" s="1"/>
      <c r="E839" s="1"/>
      <c r="F839" s="1"/>
      <c r="G839" s="1"/>
      <c r="H839" s="1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4.25" customHeight="1">
      <c r="A840" s="1"/>
      <c r="B840" s="1"/>
      <c r="C840" s="1"/>
      <c r="D840" s="1"/>
      <c r="E840" s="1"/>
      <c r="F840" s="1"/>
      <c r="G840" s="1"/>
      <c r="H840" s="1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4.25" customHeight="1">
      <c r="A841" s="1"/>
      <c r="B841" s="1"/>
      <c r="C841" s="1"/>
      <c r="D841" s="1"/>
      <c r="E841" s="1"/>
      <c r="F841" s="1"/>
      <c r="G841" s="1"/>
      <c r="H841" s="1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4.25" customHeight="1">
      <c r="A842" s="1"/>
      <c r="B842" s="1"/>
      <c r="C842" s="1"/>
      <c r="D842" s="1"/>
      <c r="E842" s="1"/>
      <c r="F842" s="1"/>
      <c r="G842" s="1"/>
      <c r="H842" s="1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4.25" customHeight="1">
      <c r="A843" s="1"/>
      <c r="B843" s="1"/>
      <c r="C843" s="1"/>
      <c r="D843" s="1"/>
      <c r="E843" s="1"/>
      <c r="F843" s="1"/>
      <c r="G843" s="1"/>
      <c r="H843" s="1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4.25" customHeight="1">
      <c r="A844" s="1"/>
      <c r="B844" s="1"/>
      <c r="C844" s="1"/>
      <c r="D844" s="1"/>
      <c r="E844" s="1"/>
      <c r="F844" s="1"/>
      <c r="G844" s="1"/>
      <c r="H844" s="1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4.25" customHeight="1">
      <c r="A845" s="1"/>
      <c r="B845" s="1"/>
      <c r="C845" s="1"/>
      <c r="D845" s="1"/>
      <c r="E845" s="1"/>
      <c r="F845" s="1"/>
      <c r="G845" s="1"/>
      <c r="H845" s="1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4.25" customHeight="1">
      <c r="A846" s="1"/>
      <c r="B846" s="1"/>
      <c r="C846" s="1"/>
      <c r="D846" s="1"/>
      <c r="E846" s="1"/>
      <c r="F846" s="1"/>
      <c r="G846" s="1"/>
      <c r="H846" s="1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4.25" customHeight="1">
      <c r="A847" s="1"/>
      <c r="B847" s="1"/>
      <c r="C847" s="1"/>
      <c r="D847" s="1"/>
      <c r="E847" s="1"/>
      <c r="F847" s="1"/>
      <c r="G847" s="1"/>
      <c r="H847" s="1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4.25" customHeight="1">
      <c r="A848" s="1"/>
      <c r="B848" s="1"/>
      <c r="C848" s="1"/>
      <c r="D848" s="1"/>
      <c r="E848" s="1"/>
      <c r="F848" s="1"/>
      <c r="G848" s="1"/>
      <c r="H848" s="1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4.25" customHeight="1">
      <c r="A849" s="1"/>
      <c r="B849" s="1"/>
      <c r="C849" s="1"/>
      <c r="D849" s="1"/>
      <c r="E849" s="1"/>
      <c r="F849" s="1"/>
      <c r="G849" s="1"/>
      <c r="H849" s="1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4.25" customHeight="1">
      <c r="A850" s="1"/>
      <c r="B850" s="1"/>
      <c r="C850" s="1"/>
      <c r="D850" s="1"/>
      <c r="E850" s="1"/>
      <c r="F850" s="1"/>
      <c r="G850" s="1"/>
      <c r="H850" s="1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4.25" customHeight="1">
      <c r="A851" s="1"/>
      <c r="B851" s="1"/>
      <c r="C851" s="1"/>
      <c r="D851" s="1"/>
      <c r="E851" s="1"/>
      <c r="F851" s="1"/>
      <c r="G851" s="1"/>
      <c r="H851" s="1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4.25" customHeight="1">
      <c r="A852" s="1"/>
      <c r="B852" s="1"/>
      <c r="C852" s="1"/>
      <c r="D852" s="1"/>
      <c r="E852" s="1"/>
      <c r="F852" s="1"/>
      <c r="G852" s="1"/>
      <c r="H852" s="1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4.25" customHeight="1">
      <c r="A853" s="1"/>
      <c r="B853" s="1"/>
      <c r="C853" s="1"/>
      <c r="D853" s="1"/>
      <c r="E853" s="1"/>
      <c r="F853" s="1"/>
      <c r="G853" s="1"/>
      <c r="H853" s="1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4.25" customHeight="1">
      <c r="A854" s="1"/>
      <c r="B854" s="1"/>
      <c r="C854" s="1"/>
      <c r="D854" s="1"/>
      <c r="E854" s="1"/>
      <c r="F854" s="1"/>
      <c r="G854" s="1"/>
      <c r="H854" s="1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4.25" customHeight="1">
      <c r="A855" s="1"/>
      <c r="B855" s="1"/>
      <c r="C855" s="1"/>
      <c r="D855" s="1"/>
      <c r="E855" s="1"/>
      <c r="F855" s="1"/>
      <c r="G855" s="1"/>
      <c r="H855" s="1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4.25" customHeight="1">
      <c r="A856" s="1"/>
      <c r="B856" s="1"/>
      <c r="C856" s="1"/>
      <c r="D856" s="1"/>
      <c r="E856" s="1"/>
      <c r="F856" s="1"/>
      <c r="G856" s="1"/>
      <c r="H856" s="1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4.25" customHeight="1">
      <c r="A857" s="1"/>
      <c r="B857" s="1"/>
      <c r="C857" s="1"/>
      <c r="D857" s="1"/>
      <c r="E857" s="1"/>
      <c r="F857" s="1"/>
      <c r="G857" s="1"/>
      <c r="H857" s="1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4.25" customHeight="1">
      <c r="A858" s="1"/>
      <c r="B858" s="1"/>
      <c r="C858" s="1"/>
      <c r="D858" s="1"/>
      <c r="E858" s="1"/>
      <c r="F858" s="1"/>
      <c r="G858" s="1"/>
      <c r="H858" s="1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4.25" customHeight="1">
      <c r="A859" s="1"/>
      <c r="B859" s="1"/>
      <c r="C859" s="1"/>
      <c r="D859" s="1"/>
      <c r="E859" s="1"/>
      <c r="F859" s="1"/>
      <c r="G859" s="1"/>
      <c r="H859" s="1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4.25" customHeight="1">
      <c r="A860" s="1"/>
      <c r="B860" s="1"/>
      <c r="C860" s="1"/>
      <c r="D860" s="1"/>
      <c r="E860" s="1"/>
      <c r="F860" s="1"/>
      <c r="G860" s="1"/>
      <c r="H860" s="1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4.25" customHeight="1">
      <c r="A861" s="1"/>
      <c r="B861" s="1"/>
      <c r="C861" s="1"/>
      <c r="D861" s="1"/>
      <c r="E861" s="1"/>
      <c r="F861" s="1"/>
      <c r="G861" s="1"/>
      <c r="H861" s="1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4.25" customHeight="1">
      <c r="A862" s="1"/>
      <c r="B862" s="1"/>
      <c r="C862" s="1"/>
      <c r="D862" s="1"/>
      <c r="E862" s="1"/>
      <c r="F862" s="1"/>
      <c r="G862" s="1"/>
      <c r="H862" s="1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4.25" customHeight="1">
      <c r="A863" s="1"/>
      <c r="B863" s="1"/>
      <c r="C863" s="1"/>
      <c r="D863" s="1"/>
      <c r="E863" s="1"/>
      <c r="F863" s="1"/>
      <c r="G863" s="1"/>
      <c r="H863" s="1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4.25" customHeight="1">
      <c r="A864" s="1"/>
      <c r="B864" s="1"/>
      <c r="C864" s="1"/>
      <c r="D864" s="1"/>
      <c r="E864" s="1"/>
      <c r="F864" s="1"/>
      <c r="G864" s="1"/>
      <c r="H864" s="1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4.25" customHeight="1">
      <c r="A865" s="1"/>
      <c r="B865" s="1"/>
      <c r="C865" s="1"/>
      <c r="D865" s="1"/>
      <c r="E865" s="1"/>
      <c r="F865" s="1"/>
      <c r="G865" s="1"/>
      <c r="H865" s="1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4.25" customHeight="1">
      <c r="A866" s="1"/>
      <c r="B866" s="1"/>
      <c r="C866" s="1"/>
      <c r="D866" s="1"/>
      <c r="E866" s="1"/>
      <c r="F866" s="1"/>
      <c r="G866" s="1"/>
      <c r="H866" s="1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4.25" customHeight="1">
      <c r="A867" s="1"/>
      <c r="B867" s="1"/>
      <c r="C867" s="1"/>
      <c r="D867" s="1"/>
      <c r="E867" s="1"/>
      <c r="F867" s="1"/>
      <c r="G867" s="1"/>
      <c r="H867" s="1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4.25" customHeight="1">
      <c r="A868" s="1"/>
      <c r="B868" s="1"/>
      <c r="C868" s="1"/>
      <c r="D868" s="1"/>
      <c r="E868" s="1"/>
      <c r="F868" s="1"/>
      <c r="G868" s="1"/>
      <c r="H868" s="1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4.25" customHeight="1">
      <c r="A869" s="1"/>
      <c r="B869" s="1"/>
      <c r="C869" s="1"/>
      <c r="D869" s="1"/>
      <c r="E869" s="1"/>
      <c r="F869" s="1"/>
      <c r="G869" s="1"/>
      <c r="H869" s="1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4.25" customHeight="1">
      <c r="A870" s="1"/>
      <c r="B870" s="1"/>
      <c r="C870" s="1"/>
      <c r="D870" s="1"/>
      <c r="E870" s="1"/>
      <c r="F870" s="1"/>
      <c r="G870" s="1"/>
      <c r="H870" s="1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4.25" customHeight="1">
      <c r="A871" s="1"/>
      <c r="B871" s="1"/>
      <c r="C871" s="1"/>
      <c r="D871" s="1"/>
      <c r="E871" s="1"/>
      <c r="F871" s="1"/>
      <c r="G871" s="1"/>
      <c r="H871" s="1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4.25" customHeight="1">
      <c r="A872" s="1"/>
      <c r="B872" s="1"/>
      <c r="C872" s="1"/>
      <c r="D872" s="1"/>
      <c r="E872" s="1"/>
      <c r="F872" s="1"/>
      <c r="G872" s="1"/>
      <c r="H872" s="1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4.25" customHeight="1">
      <c r="A873" s="1"/>
      <c r="B873" s="1"/>
      <c r="C873" s="1"/>
      <c r="D873" s="1"/>
      <c r="E873" s="1"/>
      <c r="F873" s="1"/>
      <c r="G873" s="1"/>
      <c r="H873" s="1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4.25" customHeight="1">
      <c r="A874" s="1"/>
      <c r="B874" s="1"/>
      <c r="C874" s="1"/>
      <c r="D874" s="1"/>
      <c r="E874" s="1"/>
      <c r="F874" s="1"/>
      <c r="G874" s="1"/>
      <c r="H874" s="1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4.25" customHeight="1">
      <c r="A875" s="1"/>
      <c r="B875" s="1"/>
      <c r="C875" s="1"/>
      <c r="D875" s="1"/>
      <c r="E875" s="1"/>
      <c r="F875" s="1"/>
      <c r="G875" s="1"/>
      <c r="H875" s="1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4.25" customHeight="1">
      <c r="A876" s="1"/>
      <c r="B876" s="1"/>
      <c r="C876" s="1"/>
      <c r="D876" s="1"/>
      <c r="E876" s="1"/>
      <c r="F876" s="1"/>
      <c r="G876" s="1"/>
      <c r="H876" s="1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4.25" customHeight="1">
      <c r="A877" s="1"/>
      <c r="B877" s="1"/>
      <c r="C877" s="1"/>
      <c r="D877" s="1"/>
      <c r="E877" s="1"/>
      <c r="F877" s="1"/>
      <c r="G877" s="1"/>
      <c r="H877" s="1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4.25" customHeight="1">
      <c r="A878" s="1"/>
      <c r="B878" s="1"/>
      <c r="C878" s="1"/>
      <c r="D878" s="1"/>
      <c r="E878" s="1"/>
      <c r="F878" s="1"/>
      <c r="G878" s="1"/>
      <c r="H878" s="1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4.25" customHeight="1">
      <c r="A879" s="1"/>
      <c r="B879" s="1"/>
      <c r="C879" s="1"/>
      <c r="D879" s="1"/>
      <c r="E879" s="1"/>
      <c r="F879" s="1"/>
      <c r="G879" s="1"/>
      <c r="H879" s="1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4.25" customHeight="1">
      <c r="A880" s="1"/>
      <c r="B880" s="1"/>
      <c r="C880" s="1"/>
      <c r="D880" s="1"/>
      <c r="E880" s="1"/>
      <c r="F880" s="1"/>
      <c r="G880" s="1"/>
      <c r="H880" s="1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4.25" customHeight="1">
      <c r="A881" s="1"/>
      <c r="B881" s="1"/>
      <c r="C881" s="1"/>
      <c r="D881" s="1"/>
      <c r="E881" s="1"/>
      <c r="F881" s="1"/>
      <c r="G881" s="1"/>
      <c r="H881" s="1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4.25" customHeight="1">
      <c r="A882" s="1"/>
      <c r="B882" s="1"/>
      <c r="C882" s="1"/>
      <c r="D882" s="1"/>
      <c r="E882" s="1"/>
      <c r="F882" s="1"/>
      <c r="G882" s="1"/>
      <c r="H882" s="1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4.25" customHeight="1">
      <c r="A883" s="1"/>
      <c r="B883" s="1"/>
      <c r="C883" s="1"/>
      <c r="D883" s="1"/>
      <c r="E883" s="1"/>
      <c r="F883" s="1"/>
      <c r="G883" s="1"/>
      <c r="H883" s="1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4.25" customHeight="1">
      <c r="A884" s="1"/>
      <c r="B884" s="1"/>
      <c r="C884" s="1"/>
      <c r="D884" s="1"/>
      <c r="E884" s="1"/>
      <c r="F884" s="1"/>
      <c r="G884" s="1"/>
      <c r="H884" s="1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4.25" customHeight="1">
      <c r="A885" s="1"/>
      <c r="B885" s="1"/>
      <c r="C885" s="1"/>
      <c r="D885" s="1"/>
      <c r="E885" s="1"/>
      <c r="F885" s="1"/>
      <c r="G885" s="1"/>
      <c r="H885" s="1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4.25" customHeight="1">
      <c r="A886" s="1"/>
      <c r="B886" s="1"/>
      <c r="C886" s="1"/>
      <c r="D886" s="1"/>
      <c r="E886" s="1"/>
      <c r="F886" s="1"/>
      <c r="G886" s="1"/>
      <c r="H886" s="1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4.25" customHeight="1">
      <c r="A887" s="1"/>
      <c r="B887" s="1"/>
      <c r="C887" s="1"/>
      <c r="D887" s="1"/>
      <c r="E887" s="1"/>
      <c r="F887" s="1"/>
      <c r="G887" s="1"/>
      <c r="H887" s="1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4.25" customHeight="1">
      <c r="A888" s="1"/>
      <c r="B888" s="1"/>
      <c r="C888" s="1"/>
      <c r="D888" s="1"/>
      <c r="E888" s="1"/>
      <c r="F888" s="1"/>
      <c r="G888" s="1"/>
      <c r="H888" s="1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4.25" customHeight="1">
      <c r="A889" s="1"/>
      <c r="B889" s="1"/>
      <c r="C889" s="1"/>
      <c r="D889" s="1"/>
      <c r="E889" s="1"/>
      <c r="F889" s="1"/>
      <c r="G889" s="1"/>
      <c r="H889" s="1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4.25" customHeight="1">
      <c r="A890" s="1"/>
      <c r="B890" s="1"/>
      <c r="C890" s="1"/>
      <c r="D890" s="1"/>
      <c r="E890" s="1"/>
      <c r="F890" s="1"/>
      <c r="G890" s="1"/>
      <c r="H890" s="1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4.25" customHeight="1">
      <c r="A891" s="1"/>
      <c r="B891" s="1"/>
      <c r="C891" s="1"/>
      <c r="D891" s="1"/>
      <c r="E891" s="1"/>
      <c r="F891" s="1"/>
      <c r="G891" s="1"/>
      <c r="H891" s="1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4.25" customHeight="1">
      <c r="A892" s="1"/>
      <c r="B892" s="1"/>
      <c r="C892" s="1"/>
      <c r="D892" s="1"/>
      <c r="E892" s="1"/>
      <c r="F892" s="1"/>
      <c r="G892" s="1"/>
      <c r="H892" s="1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4.25" customHeight="1">
      <c r="A893" s="1"/>
      <c r="B893" s="1"/>
      <c r="C893" s="1"/>
      <c r="D893" s="1"/>
      <c r="E893" s="1"/>
      <c r="F893" s="1"/>
      <c r="G893" s="1"/>
      <c r="H893" s="1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4.25" customHeight="1">
      <c r="A894" s="1"/>
      <c r="B894" s="1"/>
      <c r="C894" s="1"/>
      <c r="D894" s="1"/>
      <c r="E894" s="1"/>
      <c r="F894" s="1"/>
      <c r="G894" s="1"/>
      <c r="H894" s="1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4.25" customHeight="1">
      <c r="A895" s="1"/>
      <c r="B895" s="1"/>
      <c r="C895" s="1"/>
      <c r="D895" s="1"/>
      <c r="E895" s="1"/>
      <c r="F895" s="1"/>
      <c r="G895" s="1"/>
      <c r="H895" s="1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4.25" customHeight="1">
      <c r="A896" s="1"/>
      <c r="B896" s="1"/>
      <c r="C896" s="1"/>
      <c r="D896" s="1"/>
      <c r="E896" s="1"/>
      <c r="F896" s="1"/>
      <c r="G896" s="1"/>
      <c r="H896" s="1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4.25" customHeight="1">
      <c r="A897" s="1"/>
      <c r="B897" s="1"/>
      <c r="C897" s="1"/>
      <c r="D897" s="1"/>
      <c r="E897" s="1"/>
      <c r="F897" s="1"/>
      <c r="G897" s="1"/>
      <c r="H897" s="1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4.25" customHeight="1">
      <c r="A898" s="1"/>
      <c r="B898" s="1"/>
      <c r="C898" s="1"/>
      <c r="D898" s="1"/>
      <c r="E898" s="1"/>
      <c r="F898" s="1"/>
      <c r="G898" s="1"/>
      <c r="H898" s="1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4.25" customHeight="1">
      <c r="A899" s="1"/>
      <c r="B899" s="1"/>
      <c r="C899" s="1"/>
      <c r="D899" s="1"/>
      <c r="E899" s="1"/>
      <c r="F899" s="1"/>
      <c r="G899" s="1"/>
      <c r="H899" s="1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4.25" customHeight="1">
      <c r="A900" s="1"/>
      <c r="B900" s="1"/>
      <c r="C900" s="1"/>
      <c r="D900" s="1"/>
      <c r="E900" s="1"/>
      <c r="F900" s="1"/>
      <c r="G900" s="1"/>
      <c r="H900" s="1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4.25" customHeight="1">
      <c r="A901" s="1"/>
      <c r="B901" s="1"/>
      <c r="C901" s="1"/>
      <c r="D901" s="1"/>
      <c r="E901" s="1"/>
      <c r="F901" s="1"/>
      <c r="G901" s="1"/>
      <c r="H901" s="1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4.25" customHeight="1">
      <c r="A902" s="1"/>
      <c r="B902" s="1"/>
      <c r="C902" s="1"/>
      <c r="D902" s="1"/>
      <c r="E902" s="1"/>
      <c r="F902" s="1"/>
      <c r="G902" s="1"/>
      <c r="H902" s="1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4.25" customHeight="1">
      <c r="A903" s="1"/>
      <c r="B903" s="1"/>
      <c r="C903" s="1"/>
      <c r="D903" s="1"/>
      <c r="E903" s="1"/>
      <c r="F903" s="1"/>
      <c r="G903" s="1"/>
      <c r="H903" s="1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4.25" customHeight="1">
      <c r="A904" s="1"/>
      <c r="B904" s="1"/>
      <c r="C904" s="1"/>
      <c r="D904" s="1"/>
      <c r="E904" s="1"/>
      <c r="F904" s="1"/>
      <c r="G904" s="1"/>
      <c r="H904" s="1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4.25" customHeight="1">
      <c r="A905" s="1"/>
      <c r="B905" s="1"/>
      <c r="C905" s="1"/>
      <c r="D905" s="1"/>
      <c r="E905" s="1"/>
      <c r="F905" s="1"/>
      <c r="G905" s="1"/>
      <c r="H905" s="1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4.25" customHeight="1">
      <c r="A906" s="1"/>
      <c r="B906" s="1"/>
      <c r="C906" s="1"/>
      <c r="D906" s="1"/>
      <c r="E906" s="1"/>
      <c r="F906" s="1"/>
      <c r="G906" s="1"/>
      <c r="H906" s="1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4.25" customHeight="1">
      <c r="A907" s="1"/>
      <c r="B907" s="1"/>
      <c r="C907" s="1"/>
      <c r="D907" s="1"/>
      <c r="E907" s="1"/>
      <c r="F907" s="1"/>
      <c r="G907" s="1"/>
      <c r="H907" s="1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4.25" customHeight="1">
      <c r="A908" s="1"/>
      <c r="B908" s="1"/>
      <c r="C908" s="1"/>
      <c r="D908" s="1"/>
      <c r="E908" s="1"/>
      <c r="F908" s="1"/>
      <c r="G908" s="1"/>
      <c r="H908" s="1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4.25" customHeight="1">
      <c r="A909" s="1"/>
      <c r="B909" s="1"/>
      <c r="C909" s="1"/>
      <c r="D909" s="1"/>
      <c r="E909" s="1"/>
      <c r="F909" s="1"/>
      <c r="G909" s="1"/>
      <c r="H909" s="1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4.25" customHeight="1">
      <c r="A910" s="1"/>
      <c r="B910" s="1"/>
      <c r="C910" s="1"/>
      <c r="D910" s="1"/>
      <c r="E910" s="1"/>
      <c r="F910" s="1"/>
      <c r="G910" s="1"/>
      <c r="H910" s="1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4.25" customHeight="1">
      <c r="A911" s="1"/>
      <c r="B911" s="1"/>
      <c r="C911" s="1"/>
      <c r="D911" s="1"/>
      <c r="E911" s="1"/>
      <c r="F911" s="1"/>
      <c r="G911" s="1"/>
      <c r="H911" s="1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4.25" customHeight="1">
      <c r="A912" s="1"/>
      <c r="B912" s="1"/>
      <c r="C912" s="1"/>
      <c r="D912" s="1"/>
      <c r="E912" s="1"/>
      <c r="F912" s="1"/>
      <c r="G912" s="1"/>
      <c r="H912" s="1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4.25" customHeight="1">
      <c r="A913" s="1"/>
      <c r="B913" s="1"/>
      <c r="C913" s="1"/>
      <c r="D913" s="1"/>
      <c r="E913" s="1"/>
      <c r="F913" s="1"/>
      <c r="G913" s="1"/>
      <c r="H913" s="1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4.25" customHeight="1">
      <c r="A914" s="1"/>
      <c r="B914" s="1"/>
      <c r="C914" s="1"/>
      <c r="D914" s="1"/>
      <c r="E914" s="1"/>
      <c r="F914" s="1"/>
      <c r="G914" s="1"/>
      <c r="H914" s="1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4.25" customHeight="1">
      <c r="A915" s="1"/>
      <c r="B915" s="1"/>
      <c r="C915" s="1"/>
      <c r="D915" s="1"/>
      <c r="E915" s="1"/>
      <c r="F915" s="1"/>
      <c r="G915" s="1"/>
      <c r="H915" s="1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4.25" customHeight="1">
      <c r="A916" s="1"/>
      <c r="B916" s="1"/>
      <c r="C916" s="1"/>
      <c r="D916" s="1"/>
      <c r="E916" s="1"/>
      <c r="F916" s="1"/>
      <c r="G916" s="1"/>
      <c r="H916" s="1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4.25" customHeight="1">
      <c r="A917" s="1"/>
      <c r="B917" s="1"/>
      <c r="C917" s="1"/>
      <c r="D917" s="1"/>
      <c r="E917" s="1"/>
      <c r="F917" s="1"/>
      <c r="G917" s="1"/>
      <c r="H917" s="1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4.25" customHeight="1">
      <c r="A918" s="1"/>
      <c r="B918" s="1"/>
      <c r="C918" s="1"/>
      <c r="D918" s="1"/>
      <c r="E918" s="1"/>
      <c r="F918" s="1"/>
      <c r="G918" s="1"/>
      <c r="H918" s="1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4.25" customHeight="1">
      <c r="A919" s="1"/>
      <c r="B919" s="1"/>
      <c r="C919" s="1"/>
      <c r="D919" s="1"/>
      <c r="E919" s="1"/>
      <c r="F919" s="1"/>
      <c r="G919" s="1"/>
      <c r="H919" s="1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4.25" customHeight="1">
      <c r="A920" s="1"/>
      <c r="B920" s="1"/>
      <c r="C920" s="1"/>
      <c r="D920" s="1"/>
      <c r="E920" s="1"/>
      <c r="F920" s="1"/>
      <c r="G920" s="1"/>
      <c r="H920" s="1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4.25" customHeight="1">
      <c r="A921" s="1"/>
      <c r="B921" s="1"/>
      <c r="C921" s="1"/>
      <c r="D921" s="1"/>
      <c r="E921" s="1"/>
      <c r="F921" s="1"/>
      <c r="G921" s="1"/>
      <c r="H921" s="1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4.25" customHeight="1">
      <c r="A922" s="1"/>
      <c r="B922" s="1"/>
      <c r="C922" s="1"/>
      <c r="D922" s="1"/>
      <c r="E922" s="1"/>
      <c r="F922" s="1"/>
      <c r="G922" s="1"/>
      <c r="H922" s="1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4.25" customHeight="1">
      <c r="A923" s="1"/>
      <c r="B923" s="1"/>
      <c r="C923" s="1"/>
      <c r="D923" s="1"/>
      <c r="E923" s="1"/>
      <c r="F923" s="1"/>
      <c r="G923" s="1"/>
      <c r="H923" s="1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4.25" customHeight="1">
      <c r="A924" s="1"/>
      <c r="B924" s="1"/>
      <c r="C924" s="1"/>
      <c r="D924" s="1"/>
      <c r="E924" s="1"/>
      <c r="F924" s="1"/>
      <c r="G924" s="1"/>
      <c r="H924" s="1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4.25" customHeight="1">
      <c r="A925" s="1"/>
      <c r="B925" s="1"/>
      <c r="C925" s="1"/>
      <c r="D925" s="1"/>
      <c r="E925" s="1"/>
      <c r="F925" s="1"/>
      <c r="G925" s="1"/>
      <c r="H925" s="1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4.25" customHeight="1">
      <c r="A926" s="1"/>
      <c r="B926" s="1"/>
      <c r="C926" s="1"/>
      <c r="D926" s="1"/>
      <c r="E926" s="1"/>
      <c r="F926" s="1"/>
      <c r="G926" s="1"/>
      <c r="H926" s="1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4.25" customHeight="1">
      <c r="A927" s="1"/>
      <c r="B927" s="1"/>
      <c r="C927" s="1"/>
      <c r="D927" s="1"/>
      <c r="E927" s="1"/>
      <c r="F927" s="1"/>
      <c r="G927" s="1"/>
      <c r="H927" s="1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4.25" customHeight="1">
      <c r="A928" s="1"/>
      <c r="B928" s="1"/>
      <c r="C928" s="1"/>
      <c r="D928" s="1"/>
      <c r="E928" s="1"/>
      <c r="F928" s="1"/>
      <c r="G928" s="1"/>
      <c r="H928" s="1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4.25" customHeight="1">
      <c r="A929" s="1"/>
      <c r="B929" s="1"/>
      <c r="C929" s="1"/>
      <c r="D929" s="1"/>
      <c r="E929" s="1"/>
      <c r="F929" s="1"/>
      <c r="G929" s="1"/>
      <c r="H929" s="1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4.25" customHeight="1">
      <c r="A930" s="1"/>
      <c r="B930" s="1"/>
      <c r="C930" s="1"/>
      <c r="D930" s="1"/>
      <c r="E930" s="1"/>
      <c r="F930" s="1"/>
      <c r="G930" s="1"/>
      <c r="H930" s="1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4.25" customHeight="1">
      <c r="A931" s="1"/>
      <c r="B931" s="1"/>
      <c r="C931" s="1"/>
      <c r="D931" s="1"/>
      <c r="E931" s="1"/>
      <c r="F931" s="1"/>
      <c r="G931" s="1"/>
      <c r="H931" s="1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4.25" customHeight="1">
      <c r="A932" s="1"/>
      <c r="B932" s="1"/>
      <c r="C932" s="1"/>
      <c r="D932" s="1"/>
      <c r="E932" s="1"/>
      <c r="F932" s="1"/>
      <c r="G932" s="1"/>
      <c r="H932" s="1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4.25" customHeight="1">
      <c r="A933" s="1"/>
      <c r="B933" s="1"/>
      <c r="C933" s="1"/>
      <c r="D933" s="1"/>
      <c r="E933" s="1"/>
      <c r="F933" s="1"/>
      <c r="G933" s="1"/>
      <c r="H933" s="1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4.25" customHeight="1">
      <c r="A934" s="1"/>
      <c r="B934" s="1"/>
      <c r="C934" s="1"/>
      <c r="D934" s="1"/>
      <c r="E934" s="1"/>
      <c r="F934" s="1"/>
      <c r="G934" s="1"/>
      <c r="H934" s="1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4.25" customHeight="1">
      <c r="A935" s="1"/>
      <c r="B935" s="1"/>
      <c r="C935" s="1"/>
      <c r="D935" s="1"/>
      <c r="E935" s="1"/>
      <c r="F935" s="1"/>
      <c r="G935" s="1"/>
      <c r="H935" s="1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4.25" customHeight="1">
      <c r="A936" s="1"/>
      <c r="B936" s="1"/>
      <c r="C936" s="1"/>
      <c r="D936" s="1"/>
      <c r="E936" s="1"/>
      <c r="F936" s="1"/>
      <c r="G936" s="1"/>
      <c r="H936" s="1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4.25" customHeight="1">
      <c r="A937" s="1"/>
      <c r="B937" s="1"/>
      <c r="C937" s="1"/>
      <c r="D937" s="1"/>
      <c r="E937" s="1"/>
      <c r="F937" s="1"/>
      <c r="G937" s="1"/>
      <c r="H937" s="1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4.25" customHeight="1">
      <c r="A938" s="1"/>
      <c r="B938" s="1"/>
      <c r="C938" s="1"/>
      <c r="D938" s="1"/>
      <c r="E938" s="1"/>
      <c r="F938" s="1"/>
      <c r="G938" s="1"/>
      <c r="H938" s="1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4.25" customHeight="1">
      <c r="A939" s="1"/>
      <c r="B939" s="1"/>
      <c r="C939" s="1"/>
      <c r="D939" s="1"/>
      <c r="E939" s="1"/>
      <c r="F939" s="1"/>
      <c r="G939" s="1"/>
      <c r="H939" s="1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4.25" customHeight="1">
      <c r="A940" s="1"/>
      <c r="B940" s="1"/>
      <c r="C940" s="1"/>
      <c r="D940" s="1"/>
      <c r="E940" s="1"/>
      <c r="F940" s="1"/>
      <c r="G940" s="1"/>
      <c r="H940" s="1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4.25" customHeight="1">
      <c r="A941" s="1"/>
      <c r="B941" s="1"/>
      <c r="C941" s="1"/>
      <c r="D941" s="1"/>
      <c r="E941" s="1"/>
      <c r="F941" s="1"/>
      <c r="G941" s="1"/>
      <c r="H941" s="1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4.25" customHeight="1">
      <c r="A942" s="1"/>
      <c r="B942" s="1"/>
      <c r="C942" s="1"/>
      <c r="D942" s="1"/>
      <c r="E942" s="1"/>
      <c r="F942" s="1"/>
      <c r="G942" s="1"/>
      <c r="H942" s="1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4.25" customHeight="1">
      <c r="A943" s="1"/>
      <c r="B943" s="1"/>
      <c r="C943" s="1"/>
      <c r="D943" s="1"/>
      <c r="E943" s="1"/>
      <c r="F943" s="1"/>
      <c r="G943" s="1"/>
      <c r="H943" s="1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4.25" customHeight="1">
      <c r="A944" s="1"/>
      <c r="B944" s="1"/>
      <c r="C944" s="1"/>
      <c r="D944" s="1"/>
      <c r="E944" s="1"/>
      <c r="F944" s="1"/>
      <c r="G944" s="1"/>
      <c r="H944" s="1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4.25" customHeight="1">
      <c r="A945" s="1"/>
      <c r="B945" s="1"/>
      <c r="C945" s="1"/>
      <c r="D945" s="1"/>
      <c r="E945" s="1"/>
      <c r="F945" s="1"/>
      <c r="G945" s="1"/>
      <c r="H945" s="1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4.25" customHeight="1">
      <c r="A946" s="1"/>
      <c r="B946" s="1"/>
      <c r="C946" s="1"/>
      <c r="D946" s="1"/>
      <c r="E946" s="1"/>
      <c r="F946" s="1"/>
      <c r="G946" s="1"/>
      <c r="H946" s="1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4.25" customHeight="1">
      <c r="A947" s="1"/>
      <c r="B947" s="1"/>
      <c r="C947" s="1"/>
      <c r="D947" s="1"/>
      <c r="E947" s="1"/>
      <c r="F947" s="1"/>
      <c r="G947" s="1"/>
      <c r="H947" s="1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4.25" customHeight="1">
      <c r="A948" s="1"/>
      <c r="B948" s="1"/>
      <c r="C948" s="1"/>
      <c r="D948" s="1"/>
      <c r="E948" s="1"/>
      <c r="F948" s="1"/>
      <c r="G948" s="1"/>
      <c r="H948" s="1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4.25" customHeight="1">
      <c r="A949" s="1"/>
      <c r="B949" s="1"/>
      <c r="C949" s="1"/>
      <c r="D949" s="1"/>
      <c r="E949" s="1"/>
      <c r="F949" s="1"/>
      <c r="G949" s="1"/>
      <c r="H949" s="1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4.25" customHeight="1">
      <c r="A950" s="1"/>
      <c r="B950" s="1"/>
      <c r="C950" s="1"/>
      <c r="D950" s="1"/>
      <c r="E950" s="1"/>
      <c r="F950" s="1"/>
      <c r="G950" s="1"/>
      <c r="H950" s="1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4.25" customHeight="1">
      <c r="A951" s="1"/>
      <c r="B951" s="1"/>
      <c r="C951" s="1"/>
      <c r="D951" s="1"/>
      <c r="E951" s="1"/>
      <c r="F951" s="1"/>
      <c r="G951" s="1"/>
      <c r="H951" s="1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4.25" customHeight="1">
      <c r="A952" s="1"/>
      <c r="B952" s="1"/>
      <c r="C952" s="1"/>
      <c r="D952" s="1"/>
      <c r="E952" s="1"/>
      <c r="F952" s="1"/>
      <c r="G952" s="1"/>
      <c r="H952" s="1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4.25" customHeight="1">
      <c r="A953" s="1"/>
      <c r="B953" s="1"/>
      <c r="C953" s="1"/>
      <c r="D953" s="1"/>
      <c r="E953" s="1"/>
      <c r="F953" s="1"/>
      <c r="G953" s="1"/>
      <c r="H953" s="1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4.25" customHeight="1">
      <c r="A954" s="1"/>
      <c r="B954" s="1"/>
      <c r="C954" s="1"/>
      <c r="D954" s="1"/>
      <c r="E954" s="1"/>
      <c r="F954" s="1"/>
      <c r="G954" s="1"/>
      <c r="H954" s="1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4.25" customHeight="1">
      <c r="A955" s="1"/>
      <c r="B955" s="1"/>
      <c r="C955" s="1"/>
      <c r="D955" s="1"/>
      <c r="E955" s="1"/>
      <c r="F955" s="1"/>
      <c r="G955" s="1"/>
      <c r="H955" s="1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4.25" customHeight="1">
      <c r="A956" s="1"/>
      <c r="B956" s="1"/>
      <c r="C956" s="1"/>
      <c r="D956" s="1"/>
      <c r="E956" s="1"/>
      <c r="F956" s="1"/>
      <c r="G956" s="1"/>
      <c r="H956" s="1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4.25" customHeight="1">
      <c r="A957" s="1"/>
      <c r="B957" s="1"/>
      <c r="C957" s="1"/>
      <c r="D957" s="1"/>
      <c r="E957" s="1"/>
      <c r="F957" s="1"/>
      <c r="G957" s="1"/>
      <c r="H957" s="1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4.25" customHeight="1">
      <c r="A958" s="1"/>
      <c r="B958" s="1"/>
      <c r="C958" s="1"/>
      <c r="D958" s="1"/>
      <c r="E958" s="1"/>
      <c r="F958" s="1"/>
      <c r="G958" s="1"/>
      <c r="H958" s="1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4.25" customHeight="1">
      <c r="A959" s="1"/>
      <c r="B959" s="1"/>
      <c r="C959" s="1"/>
      <c r="D959" s="1"/>
      <c r="E959" s="1"/>
      <c r="F959" s="1"/>
      <c r="G959" s="1"/>
      <c r="H959" s="1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4.25" customHeight="1">
      <c r="A960" s="1"/>
      <c r="B960" s="1"/>
      <c r="C960" s="1"/>
      <c r="D960" s="1"/>
      <c r="E960" s="1"/>
      <c r="F960" s="1"/>
      <c r="G960" s="1"/>
      <c r="H960" s="1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4.25" customHeight="1">
      <c r="A961" s="1"/>
      <c r="B961" s="1"/>
      <c r="C961" s="1"/>
      <c r="D961" s="1"/>
      <c r="E961" s="1"/>
      <c r="F961" s="1"/>
      <c r="G961" s="1"/>
      <c r="H961" s="1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4.25" customHeight="1">
      <c r="A962" s="1"/>
      <c r="B962" s="1"/>
      <c r="C962" s="1"/>
      <c r="D962" s="1"/>
      <c r="E962" s="1"/>
      <c r="F962" s="1"/>
      <c r="G962" s="1"/>
      <c r="H962" s="1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4.25" customHeight="1">
      <c r="A963" s="1"/>
      <c r="B963" s="1"/>
      <c r="C963" s="1"/>
      <c r="D963" s="1"/>
      <c r="E963" s="1"/>
      <c r="F963" s="1"/>
      <c r="G963" s="1"/>
      <c r="H963" s="1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4.25" customHeight="1">
      <c r="A964" s="1"/>
      <c r="B964" s="1"/>
      <c r="C964" s="1"/>
      <c r="D964" s="1"/>
      <c r="E964" s="1"/>
      <c r="F964" s="1"/>
      <c r="G964" s="1"/>
      <c r="H964" s="1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4.25" customHeight="1">
      <c r="A965" s="1"/>
      <c r="B965" s="1"/>
      <c r="C965" s="1"/>
      <c r="D965" s="1"/>
      <c r="E965" s="1"/>
      <c r="F965" s="1"/>
      <c r="G965" s="1"/>
      <c r="H965" s="1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4.25" customHeight="1">
      <c r="A966" s="1"/>
      <c r="B966" s="1"/>
      <c r="C966" s="1"/>
      <c r="D966" s="1"/>
      <c r="E966" s="1"/>
      <c r="F966" s="1"/>
      <c r="G966" s="1"/>
      <c r="H966" s="1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4.25" customHeight="1">
      <c r="A967" s="1"/>
      <c r="B967" s="1"/>
      <c r="C967" s="1"/>
      <c r="D967" s="1"/>
      <c r="E967" s="1"/>
      <c r="F967" s="1"/>
      <c r="G967" s="1"/>
      <c r="H967" s="1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4.25" customHeight="1">
      <c r="A968" s="1"/>
      <c r="B968" s="1"/>
      <c r="C968" s="1"/>
      <c r="D968" s="1"/>
      <c r="E968" s="1"/>
      <c r="F968" s="1"/>
      <c r="G968" s="1"/>
      <c r="H968" s="1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4.25" customHeight="1">
      <c r="A969" s="1"/>
      <c r="B969" s="1"/>
      <c r="C969" s="1"/>
      <c r="D969" s="1"/>
      <c r="E969" s="1"/>
      <c r="F969" s="1"/>
      <c r="G969" s="1"/>
      <c r="H969" s="1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4.25" customHeight="1">
      <c r="A970" s="1"/>
      <c r="B970" s="1"/>
      <c r="C970" s="1"/>
      <c r="D970" s="1"/>
      <c r="E970" s="1"/>
      <c r="F970" s="1"/>
      <c r="G970" s="1"/>
      <c r="H970" s="1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4.25" customHeight="1">
      <c r="A971" s="1"/>
      <c r="B971" s="1"/>
      <c r="C971" s="1"/>
      <c r="D971" s="1"/>
      <c r="E971" s="1"/>
      <c r="F971" s="1"/>
      <c r="G971" s="1"/>
      <c r="H971" s="1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4.25" customHeight="1">
      <c r="A972" s="1"/>
      <c r="B972" s="1"/>
      <c r="C972" s="1"/>
      <c r="D972" s="1"/>
      <c r="E972" s="1"/>
      <c r="F972" s="1"/>
      <c r="G972" s="1"/>
      <c r="H972" s="1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4.25" customHeight="1">
      <c r="A973" s="1"/>
      <c r="B973" s="1"/>
      <c r="C973" s="1"/>
      <c r="D973" s="1"/>
      <c r="E973" s="1"/>
      <c r="F973" s="1"/>
      <c r="G973" s="1"/>
      <c r="H973" s="1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4.25" customHeight="1">
      <c r="A974" s="1"/>
      <c r="B974" s="1"/>
      <c r="C974" s="1"/>
      <c r="D974" s="1"/>
      <c r="E974" s="1"/>
      <c r="F974" s="1"/>
      <c r="G974" s="1"/>
      <c r="H974" s="1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4.25" customHeight="1">
      <c r="A975" s="1"/>
      <c r="B975" s="1"/>
      <c r="C975" s="1"/>
      <c r="D975" s="1"/>
      <c r="E975" s="1"/>
      <c r="F975" s="1"/>
      <c r="G975" s="1"/>
      <c r="H975" s="1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4.25" customHeight="1">
      <c r="A976" s="1"/>
      <c r="B976" s="1"/>
      <c r="C976" s="1"/>
      <c r="D976" s="1"/>
      <c r="E976" s="1"/>
      <c r="F976" s="1"/>
      <c r="G976" s="1"/>
      <c r="H976" s="1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4.25" customHeight="1">
      <c r="A977" s="1"/>
      <c r="B977" s="1"/>
      <c r="C977" s="1"/>
      <c r="D977" s="1"/>
      <c r="E977" s="1"/>
      <c r="F977" s="1"/>
      <c r="G977" s="1"/>
      <c r="H977" s="1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4.25" customHeight="1">
      <c r="A978" s="1"/>
      <c r="B978" s="1"/>
      <c r="C978" s="1"/>
      <c r="D978" s="1"/>
      <c r="E978" s="1"/>
      <c r="F978" s="1"/>
      <c r="G978" s="1"/>
      <c r="H978" s="1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4.25" customHeight="1">
      <c r="A979" s="1"/>
      <c r="B979" s="1"/>
      <c r="C979" s="1"/>
      <c r="D979" s="1"/>
      <c r="E979" s="1"/>
      <c r="F979" s="1"/>
      <c r="G979" s="1"/>
      <c r="H979" s="1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4.25" customHeight="1">
      <c r="A980" s="1"/>
      <c r="B980" s="1"/>
      <c r="C980" s="1"/>
      <c r="D980" s="1"/>
      <c r="E980" s="1"/>
      <c r="F980" s="1"/>
      <c r="G980" s="1"/>
      <c r="H980" s="1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4.25" customHeight="1">
      <c r="A981" s="1"/>
      <c r="B981" s="1"/>
      <c r="C981" s="1"/>
      <c r="D981" s="1"/>
      <c r="E981" s="1"/>
      <c r="F981" s="1"/>
      <c r="G981" s="1"/>
      <c r="H981" s="1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4.25" customHeight="1">
      <c r="A982" s="1"/>
      <c r="B982" s="1"/>
      <c r="C982" s="1"/>
      <c r="D982" s="1"/>
      <c r="E982" s="1"/>
      <c r="F982" s="1"/>
      <c r="G982" s="1"/>
      <c r="H982" s="1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4.25" customHeight="1">
      <c r="A983" s="1"/>
      <c r="B983" s="1"/>
      <c r="C983" s="1"/>
      <c r="D983" s="1"/>
      <c r="E983" s="1"/>
      <c r="F983" s="1"/>
      <c r="G983" s="1"/>
      <c r="H983" s="1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4.25" customHeight="1">
      <c r="A984" s="1"/>
      <c r="B984" s="1"/>
      <c r="C984" s="1"/>
      <c r="D984" s="1"/>
      <c r="E984" s="1"/>
      <c r="F984" s="1"/>
      <c r="G984" s="1"/>
      <c r="H984" s="1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4.25" customHeight="1">
      <c r="A985" s="1"/>
      <c r="B985" s="1"/>
      <c r="C985" s="1"/>
      <c r="D985" s="1"/>
      <c r="E985" s="1"/>
      <c r="F985" s="1"/>
      <c r="G985" s="1"/>
      <c r="H985" s="1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4.25" customHeight="1">
      <c r="A986" s="1"/>
      <c r="B986" s="1"/>
      <c r="C986" s="1"/>
      <c r="D986" s="1"/>
      <c r="E986" s="1"/>
      <c r="F986" s="1"/>
      <c r="G986" s="1"/>
      <c r="H986" s="1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4.25" customHeight="1">
      <c r="A987" s="1"/>
      <c r="B987" s="1"/>
      <c r="C987" s="1"/>
      <c r="D987" s="1"/>
      <c r="E987" s="1"/>
      <c r="F987" s="1"/>
      <c r="G987" s="1"/>
      <c r="H987" s="1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4.25" customHeight="1">
      <c r="A988" s="1"/>
      <c r="B988" s="1"/>
      <c r="C988" s="1"/>
      <c r="D988" s="1"/>
      <c r="E988" s="1"/>
      <c r="F988" s="1"/>
      <c r="G988" s="1"/>
      <c r="H988" s="1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4.25" customHeight="1">
      <c r="A989" s="1"/>
      <c r="B989" s="1"/>
      <c r="C989" s="1"/>
      <c r="D989" s="1"/>
      <c r="E989" s="1"/>
      <c r="F989" s="1"/>
      <c r="G989" s="1"/>
      <c r="H989" s="1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4.25" customHeight="1">
      <c r="A990" s="1"/>
      <c r="B990" s="1"/>
      <c r="C990" s="1"/>
      <c r="D990" s="1"/>
      <c r="E990" s="1"/>
      <c r="F990" s="1"/>
      <c r="G990" s="1"/>
      <c r="H990" s="1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4.25" customHeight="1">
      <c r="A991" s="1"/>
      <c r="B991" s="1"/>
      <c r="C991" s="1"/>
      <c r="D991" s="1"/>
      <c r="E991" s="1"/>
      <c r="F991" s="1"/>
      <c r="G991" s="1"/>
      <c r="H991" s="1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4.25" customHeight="1">
      <c r="A992" s="1"/>
      <c r="B992" s="1"/>
      <c r="C992" s="1"/>
      <c r="D992" s="1"/>
      <c r="E992" s="1"/>
      <c r="F992" s="1"/>
      <c r="G992" s="1"/>
      <c r="H992" s="1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4.25" customHeight="1">
      <c r="A993" s="1"/>
      <c r="B993" s="1"/>
      <c r="C993" s="1"/>
      <c r="D993" s="1"/>
      <c r="E993" s="1"/>
      <c r="F993" s="1"/>
      <c r="G993" s="1"/>
      <c r="H993" s="1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4.25" customHeight="1">
      <c r="A994" s="1"/>
      <c r="B994" s="1"/>
      <c r="C994" s="1"/>
      <c r="D994" s="1"/>
      <c r="E994" s="1"/>
      <c r="F994" s="1"/>
      <c r="G994" s="1"/>
      <c r="H994" s="1"/>
      <c r="I994" s="2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4.25" customHeight="1">
      <c r="A995" s="1"/>
      <c r="B995" s="1"/>
      <c r="C995" s="1"/>
      <c r="D995" s="1"/>
      <c r="E995" s="1"/>
      <c r="F995" s="1"/>
      <c r="G995" s="1"/>
      <c r="H995" s="1"/>
      <c r="I995" s="2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4.25" customHeight="1">
      <c r="A996" s="1"/>
      <c r="B996" s="1"/>
      <c r="C996" s="1"/>
      <c r="D996" s="1"/>
      <c r="E996" s="1"/>
      <c r="F996" s="1"/>
      <c r="G996" s="1"/>
      <c r="H996" s="1"/>
      <c r="I996" s="2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4.25" customHeight="1">
      <c r="A997" s="1"/>
      <c r="B997" s="1"/>
      <c r="C997" s="1"/>
      <c r="D997" s="1"/>
      <c r="E997" s="1"/>
      <c r="F997" s="1"/>
      <c r="G997" s="1"/>
      <c r="H997" s="1"/>
      <c r="I997" s="2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4.25" customHeight="1">
      <c r="A998" s="1"/>
      <c r="B998" s="1"/>
      <c r="C998" s="1"/>
      <c r="D998" s="1"/>
      <c r="E998" s="1"/>
      <c r="F998" s="1"/>
      <c r="G998" s="1"/>
      <c r="H998" s="1"/>
      <c r="I998" s="2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4.25" customHeight="1">
      <c r="A999" s="1"/>
      <c r="B999" s="1"/>
      <c r="C999" s="1"/>
      <c r="D999" s="1"/>
      <c r="E999" s="1"/>
      <c r="F999" s="1"/>
      <c r="G999" s="1"/>
      <c r="H999" s="1"/>
      <c r="I999" s="2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4.25" customHeight="1">
      <c r="A1000" s="1"/>
      <c r="B1000" s="1"/>
      <c r="C1000" s="1"/>
      <c r="D1000" s="1"/>
      <c r="E1000" s="1"/>
      <c r="F1000" s="1"/>
      <c r="G1000" s="1"/>
      <c r="H1000" s="1"/>
      <c r="I1000" s="2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  <row r="1001" spans="1:35" ht="14.25" customHeight="1">
      <c r="A1001" s="1"/>
      <c r="B1001" s="1"/>
      <c r="C1001" s="1"/>
      <c r="D1001" s="1"/>
      <c r="E1001" s="1"/>
      <c r="F1001" s="1"/>
      <c r="G1001" s="1"/>
      <c r="H1001" s="1"/>
      <c r="I1001" s="2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</row>
    <row r="1002" spans="1:35" ht="14.25" customHeight="1">
      <c r="A1002" s="1"/>
      <c r="B1002" s="1"/>
      <c r="C1002" s="1"/>
      <c r="D1002" s="1"/>
      <c r="E1002" s="1"/>
      <c r="F1002" s="1"/>
      <c r="G1002" s="1"/>
      <c r="H1002" s="1"/>
      <c r="I1002" s="2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</row>
    <row r="1003" spans="1:35" ht="14.25" customHeight="1">
      <c r="A1003" s="1"/>
      <c r="B1003" s="1"/>
      <c r="C1003" s="1"/>
      <c r="D1003" s="1"/>
      <c r="E1003" s="1"/>
      <c r="F1003" s="1"/>
      <c r="G1003" s="1"/>
      <c r="H1003" s="1"/>
      <c r="I1003" s="2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</row>
  </sheetData>
  <mergeCells count="5">
    <mergeCell ref="S12:S14"/>
    <mergeCell ref="AG33:AI33"/>
    <mergeCell ref="AG34:AI34"/>
    <mergeCell ref="AG35:AI35"/>
    <mergeCell ref="AG36:AI36"/>
  </mergeCells>
  <conditionalFormatting sqref="B29:B57">
    <cfRule type="colorScale" priority="10">
      <colorScale>
        <cfvo type="min"/>
        <cfvo type="max"/>
        <color rgb="FFFFFFFF"/>
        <color rgb="FF57BB8A"/>
      </colorScale>
    </cfRule>
  </conditionalFormatting>
  <conditionalFormatting sqref="B22:H25 J22">
    <cfRule type="colorScale" priority="31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C29:C54">
    <cfRule type="colorScale" priority="11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C17:E18">
    <cfRule type="colorScale" priority="35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D29:D44">
    <cfRule type="colorScale" priority="12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E29:E44">
    <cfRule type="colorScale" priority="13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F17:F18">
    <cfRule type="colorScale" priority="36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F29:F44">
    <cfRule type="colorScale" priority="14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G29:G44">
    <cfRule type="colorScale" priority="15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H29:H54">
    <cfRule type="colorScale" priority="16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I60:I71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29:J54">
    <cfRule type="colorScale" priority="17">
      <colorScale>
        <cfvo type="min"/>
        <cfvo type="max"/>
        <color rgb="FFFFFFFF"/>
        <color rgb="FF57BB8A"/>
      </colorScale>
    </cfRule>
  </conditionalFormatting>
  <conditionalFormatting sqref="J60:J7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12:M12">
    <cfRule type="colorScale" priority="28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J15:M15">
    <cfRule type="colorScale" priority="24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J16:M16">
    <cfRule type="colorScale" priority="25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J17:M17">
    <cfRule type="colorScale" priority="26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J18:M18">
    <cfRule type="colorScale" priority="27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J22:N25">
    <cfRule type="colorScale" priority="32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K29:K54">
    <cfRule type="colorScale" priority="18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K60:K7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9:L54">
    <cfRule type="colorScale" priority="19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O29:P54">
    <cfRule type="colorScale" priority="20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P12:R12">
    <cfRule type="colorScale" priority="29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P14:R14">
    <cfRule type="colorScale" priority="30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Q22:Q25">
    <cfRule type="colorScale" priority="33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Q29:Q54">
    <cfRule type="colorScale" priority="21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R22:R25">
    <cfRule type="colorScale" priority="34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R29:R54">
    <cfRule type="colorScale" priority="22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T29:T54">
    <cfRule type="colorScale" priority="23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Y22:Y38 AD22:AD31 AI22:AI29">
    <cfRule type="colorScale" priority="9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Y33:Y41">
    <cfRule type="colorScale" priority="7">
      <colorScale>
        <cfvo type="min"/>
        <cfvo type="max"/>
        <color rgb="FFFFFFFF"/>
        <color rgb="FF57BB8A"/>
      </colorScale>
    </cfRule>
  </conditionalFormatting>
  <conditionalFormatting sqref="Z33:Z41">
    <cfRule type="colorScale" priority="8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AE33:AE37">
    <cfRule type="colorScale" priority="2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AE38">
    <cfRule type="colorScale" priority="3">
      <colorScale>
        <cfvo type="min"/>
        <cfvo type="percentile" val="50"/>
        <cfvo type="max"/>
        <color rgb="FFE67C73"/>
        <color rgb="FFFFFFFF"/>
        <color rgb="FF57BB8A"/>
      </colorScale>
    </cfRule>
  </conditionalFormatting>
  <conditionalFormatting sqref="AF33:AF37">
    <cfRule type="colorScale" priority="1">
      <colorScale>
        <cfvo type="min"/>
        <cfvo type="percentile" val="50"/>
        <cfvo type="max"/>
        <color rgb="FFE67C73"/>
        <color rgb="FFFFFFFF"/>
        <color rgb="FF57BB8A"/>
      </colorScale>
    </cfRule>
  </conditionalFormatting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59779-8D08-4136-8906-A1161CEB9E79}">
  <sheetPr>
    <outlinePr summaryBelow="0" summaryRight="0"/>
  </sheetPr>
  <dimension ref="A1:AN1014"/>
  <sheetViews>
    <sheetView showGridLines="0" workbookViewId="0"/>
  </sheetViews>
  <sheetFormatPr defaultColWidth="14.44140625" defaultRowHeight="15" customHeight="1"/>
  <cols>
    <col min="1" max="1" width="8.33203125" customWidth="1"/>
  </cols>
  <sheetData>
    <row r="1" spans="1:40" ht="14.4">
      <c r="A1" s="80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</row>
    <row r="2" spans="1:40" ht="15" customHeight="1">
      <c r="A2" s="82"/>
      <c r="B2" s="83" t="s">
        <v>183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</row>
    <row r="3" spans="1:40" ht="14.4">
      <c r="A3" s="80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</row>
    <row r="4" spans="1:40" ht="14.4">
      <c r="A4" s="82"/>
      <c r="B4" s="24" t="s">
        <v>184</v>
      </c>
      <c r="G4" s="24" t="s">
        <v>185</v>
      </c>
      <c r="L4" s="24" t="s">
        <v>186</v>
      </c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</row>
    <row r="5" spans="1:40" ht="14.4">
      <c r="A5" s="82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</row>
    <row r="6" spans="1:40" ht="14.4">
      <c r="A6" s="80"/>
      <c r="S6" s="81"/>
      <c r="T6" s="81"/>
      <c r="U6" s="81"/>
      <c r="V6" s="81"/>
      <c r="W6" s="81"/>
      <c r="X6" s="81"/>
      <c r="Y6" s="81"/>
      <c r="Z6" s="81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</row>
    <row r="7" spans="1:40" ht="14.4">
      <c r="A7" s="82"/>
    </row>
    <row r="8" spans="1:40" ht="14.4">
      <c r="A8" s="82"/>
    </row>
    <row r="9" spans="1:40" ht="14.4">
      <c r="A9" s="82"/>
    </row>
    <row r="10" spans="1:40" ht="14.4">
      <c r="A10" s="82"/>
    </row>
    <row r="11" spans="1:40" ht="14.4">
      <c r="A11" s="82"/>
    </row>
    <row r="12" spans="1:40" ht="14.4">
      <c r="A12" s="82"/>
    </row>
    <row r="13" spans="1:40" ht="14.4">
      <c r="A13" s="82"/>
    </row>
    <row r="14" spans="1:40" ht="14.4">
      <c r="A14" s="82"/>
    </row>
    <row r="15" spans="1:40" ht="14.4">
      <c r="A15" s="82"/>
    </row>
    <row r="16" spans="1:40" ht="14.4">
      <c r="A16" s="82"/>
    </row>
    <row r="17" spans="1:18" ht="14.4">
      <c r="A17" s="82"/>
    </row>
    <row r="18" spans="1:18" ht="14.4">
      <c r="A18" s="82"/>
    </row>
    <row r="19" spans="1:18" ht="14.4">
      <c r="A19" s="82"/>
    </row>
    <row r="20" spans="1:18" ht="14.4">
      <c r="A20" s="82"/>
    </row>
    <row r="21" spans="1:18" ht="14.4">
      <c r="A21" s="82"/>
    </row>
    <row r="22" spans="1:18" ht="14.4">
      <c r="A22" s="82"/>
    </row>
    <row r="23" spans="1:18" ht="14.4">
      <c r="A23" s="82"/>
    </row>
    <row r="24" spans="1:18" ht="14.4">
      <c r="A24" s="82"/>
    </row>
    <row r="25" spans="1:18" ht="14.4">
      <c r="A25" s="82"/>
    </row>
    <row r="26" spans="1:18" ht="14.4">
      <c r="A26" s="82"/>
    </row>
    <row r="27" spans="1:18" ht="14.4">
      <c r="A27" s="82"/>
    </row>
    <row r="28" spans="1:18" ht="14.4">
      <c r="A28" s="82"/>
    </row>
    <row r="29" spans="1:18" ht="14.4">
      <c r="A29" s="80"/>
    </row>
    <row r="30" spans="1:18" ht="14.4">
      <c r="A30" s="82"/>
    </row>
    <row r="31" spans="1:18" ht="14.4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ht="14.4">
      <c r="A32" s="80"/>
      <c r="B32" s="81"/>
      <c r="C32" s="80"/>
      <c r="D32" s="80"/>
      <c r="E32" s="86"/>
      <c r="F32" s="86"/>
      <c r="G32" s="87"/>
      <c r="H32" s="81"/>
      <c r="I32" s="80"/>
      <c r="J32" s="80"/>
      <c r="K32" s="80"/>
      <c r="L32" s="80"/>
      <c r="M32" s="81"/>
      <c r="N32" s="81"/>
      <c r="O32" s="80"/>
      <c r="P32" s="80"/>
      <c r="Q32" s="80"/>
      <c r="R32" s="80"/>
    </row>
    <row r="33" spans="1:40" ht="16.2">
      <c r="A33" s="82"/>
      <c r="B33" s="88" t="s">
        <v>187</v>
      </c>
      <c r="C33" s="80"/>
      <c r="D33" s="80"/>
      <c r="E33" s="80"/>
      <c r="F33" s="82"/>
      <c r="G33" s="89" t="s">
        <v>64</v>
      </c>
      <c r="H33" s="85"/>
      <c r="I33" s="80"/>
      <c r="J33" s="80"/>
      <c r="K33" s="80"/>
      <c r="L33" s="82"/>
      <c r="M33" s="89" t="s">
        <v>70</v>
      </c>
      <c r="N33" s="85"/>
      <c r="O33" s="80"/>
      <c r="P33" s="80"/>
      <c r="Q33" s="80"/>
      <c r="R33" s="80"/>
    </row>
    <row r="34" spans="1:40" ht="16.2">
      <c r="A34" s="82"/>
      <c r="B34" s="90" t="s">
        <v>188</v>
      </c>
      <c r="C34" s="90" t="s">
        <v>18</v>
      </c>
      <c r="D34" s="80"/>
      <c r="E34" s="80"/>
      <c r="F34" s="82"/>
      <c r="G34" s="90" t="s">
        <v>188</v>
      </c>
      <c r="H34" s="90" t="s">
        <v>18</v>
      </c>
      <c r="I34" s="80"/>
      <c r="J34" s="80"/>
      <c r="K34" s="80"/>
      <c r="L34" s="82"/>
      <c r="M34" s="90" t="s">
        <v>188</v>
      </c>
      <c r="N34" s="90" t="s">
        <v>18</v>
      </c>
      <c r="O34" s="80"/>
      <c r="P34" s="80"/>
      <c r="Q34" s="80"/>
      <c r="R34" s="80"/>
    </row>
    <row r="35" spans="1:40" ht="14.4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40" ht="14.4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</row>
    <row r="37" spans="1:40" ht="14.4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</row>
    <row r="38" spans="1:40" ht="14.4">
      <c r="A38" s="80"/>
      <c r="B38" s="80"/>
      <c r="C38" s="91"/>
      <c r="D38" s="92"/>
      <c r="E38" s="91"/>
      <c r="F38" s="91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</row>
    <row r="39" spans="1:40" ht="14.4">
      <c r="A39" s="80"/>
      <c r="B39" s="80"/>
      <c r="C39" s="91"/>
      <c r="D39" s="92"/>
      <c r="E39" s="91"/>
      <c r="F39" s="91"/>
      <c r="G39" s="91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</row>
    <row r="40" spans="1:40" ht="14.4">
      <c r="A40" s="80"/>
      <c r="B40" s="80"/>
      <c r="C40" s="80"/>
      <c r="D40" s="92"/>
      <c r="E40" s="91"/>
      <c r="F40" s="91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</row>
    <row r="41" spans="1:40" ht="14.4">
      <c r="A41" s="80"/>
      <c r="B41" s="80"/>
      <c r="C41" s="80"/>
      <c r="D41" s="92"/>
      <c r="E41" s="91"/>
      <c r="F41" s="91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</row>
    <row r="42" spans="1:40" ht="14.4">
      <c r="A42" s="80"/>
      <c r="B42" s="80"/>
      <c r="C42" s="80"/>
      <c r="D42" s="92"/>
      <c r="E42" s="91"/>
      <c r="F42" s="91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</row>
    <row r="43" spans="1:40" ht="14.4">
      <c r="A43" s="80"/>
      <c r="B43" s="80"/>
      <c r="C43" s="80"/>
      <c r="D43" s="92"/>
      <c r="E43" s="91"/>
      <c r="F43" s="91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</row>
    <row r="44" spans="1:40" ht="14.4">
      <c r="A44" s="80"/>
      <c r="B44" s="80"/>
      <c r="C44" s="80"/>
      <c r="D44" s="92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</row>
    <row r="45" spans="1:40" ht="14.4">
      <c r="A45" s="80"/>
      <c r="B45" s="80"/>
      <c r="C45" s="80"/>
      <c r="D45" s="92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</row>
    <row r="46" spans="1:40" ht="14.4">
      <c r="A46" s="80"/>
      <c r="B46" s="80"/>
      <c r="C46" s="80"/>
      <c r="D46" s="92"/>
      <c r="E46" s="80"/>
      <c r="F46" s="80"/>
      <c r="G46" s="91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</row>
    <row r="47" spans="1:40" ht="14.4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</row>
    <row r="48" spans="1:40" ht="14.4">
      <c r="A48" s="80"/>
      <c r="B48" s="81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</row>
    <row r="49" spans="1:40" ht="16.2">
      <c r="A49" s="82"/>
      <c r="B49" s="88" t="s">
        <v>22</v>
      </c>
      <c r="C49" s="80"/>
      <c r="D49" s="80"/>
      <c r="E49" s="80"/>
      <c r="F49" s="80"/>
      <c r="G49" s="81"/>
      <c r="H49" s="80"/>
      <c r="I49" s="80"/>
      <c r="J49" s="80"/>
      <c r="K49" s="80"/>
      <c r="L49" s="80"/>
      <c r="M49" s="81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</row>
    <row r="50" spans="1:40" ht="16.2">
      <c r="A50" s="82"/>
      <c r="B50" s="88" t="s">
        <v>189</v>
      </c>
      <c r="C50" s="80"/>
      <c r="D50" s="80"/>
      <c r="E50" s="80"/>
      <c r="F50" s="82"/>
      <c r="G50" s="88" t="s">
        <v>190</v>
      </c>
      <c r="H50" s="80"/>
      <c r="I50" s="80"/>
      <c r="J50" s="80"/>
      <c r="K50" s="80"/>
      <c r="L50" s="82"/>
      <c r="M50" s="88" t="s">
        <v>191</v>
      </c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</row>
    <row r="51" spans="1:40" ht="16.2">
      <c r="A51" s="82"/>
      <c r="B51" s="90" t="s">
        <v>166</v>
      </c>
      <c r="C51" s="90"/>
      <c r="D51" s="80"/>
      <c r="E51" s="80"/>
      <c r="F51" s="82"/>
      <c r="G51" s="90" t="s">
        <v>18</v>
      </c>
      <c r="H51" s="80"/>
      <c r="I51" s="80"/>
      <c r="J51" s="80"/>
      <c r="K51" s="80"/>
      <c r="L51" s="82"/>
      <c r="M51" s="90" t="s">
        <v>18</v>
      </c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</row>
    <row r="52" spans="1:40" ht="14.4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</row>
    <row r="53" spans="1:40" ht="14.4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</row>
    <row r="54" spans="1:40" ht="14.4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</row>
    <row r="55" spans="1:40" ht="14.4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</row>
    <row r="56" spans="1:40" ht="14.4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</row>
    <row r="57" spans="1:40" ht="14.4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</row>
    <row r="58" spans="1:40" ht="14.4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</row>
    <row r="59" spans="1:40" ht="14.4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</row>
    <row r="60" spans="1:40" ht="14.4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</row>
    <row r="61" spans="1:40" ht="14.4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</row>
    <row r="62" spans="1:40" ht="14.4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</row>
    <row r="63" spans="1:40" ht="14.4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40" ht="14.4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</row>
    <row r="65" spans="1:40" ht="14.4">
      <c r="A65" s="80"/>
      <c r="B65" s="81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</row>
    <row r="66" spans="1:40" ht="16.2">
      <c r="A66" s="82"/>
      <c r="B66" s="88" t="s">
        <v>23</v>
      </c>
      <c r="C66" s="80"/>
      <c r="D66" s="80"/>
      <c r="E66" s="80"/>
      <c r="F66" s="80"/>
      <c r="G66" s="81"/>
      <c r="H66" s="80"/>
      <c r="I66" s="80"/>
      <c r="J66" s="80"/>
      <c r="K66" s="80"/>
      <c r="L66" s="80"/>
      <c r="M66" s="81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</row>
    <row r="67" spans="1:40" ht="16.2">
      <c r="A67" s="82"/>
      <c r="B67" s="88" t="s">
        <v>192</v>
      </c>
      <c r="C67" s="80"/>
      <c r="D67" s="80"/>
      <c r="E67" s="80"/>
      <c r="F67" s="82"/>
      <c r="G67" s="88" t="s">
        <v>32</v>
      </c>
      <c r="H67" s="80"/>
      <c r="I67" s="80"/>
      <c r="J67" s="80"/>
      <c r="K67" s="80"/>
      <c r="L67" s="82"/>
      <c r="M67" s="88" t="s">
        <v>31</v>
      </c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</row>
    <row r="68" spans="1:40" ht="16.2">
      <c r="A68" s="82"/>
      <c r="B68" s="90" t="s">
        <v>166</v>
      </c>
      <c r="C68" s="90" t="s">
        <v>18</v>
      </c>
      <c r="D68" s="80"/>
      <c r="E68" s="80"/>
      <c r="F68" s="82"/>
      <c r="G68" s="90" t="s">
        <v>193</v>
      </c>
      <c r="H68" s="80"/>
      <c r="I68" s="80"/>
      <c r="J68" s="80"/>
      <c r="K68" s="80"/>
      <c r="L68" s="82"/>
      <c r="M68" s="90" t="s">
        <v>18</v>
      </c>
      <c r="N68" s="80" t="s">
        <v>194</v>
      </c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</row>
    <row r="69" spans="1:40" ht="14.4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</row>
    <row r="70" spans="1:40" ht="14.4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</row>
    <row r="71" spans="1:40" ht="14.4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</row>
    <row r="72" spans="1:40" ht="14.4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</row>
    <row r="73" spans="1:40" ht="14.4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</row>
    <row r="74" spans="1:40" ht="14.4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</row>
    <row r="75" spans="1:40" ht="14.4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</row>
    <row r="76" spans="1:40" ht="14.4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</row>
    <row r="77" spans="1:40" ht="14.4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</row>
    <row r="78" spans="1:40" ht="14.4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</row>
    <row r="79" spans="1:40" ht="14.4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</row>
    <row r="80" spans="1:40" ht="14.4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</row>
    <row r="81" spans="1:40" ht="14.4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</row>
    <row r="82" spans="1:40" ht="14.4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</row>
    <row r="83" spans="1:40" ht="14.4">
      <c r="A83" s="80"/>
      <c r="B83" s="81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</row>
    <row r="84" spans="1:40" ht="16.2">
      <c r="A84" s="82"/>
      <c r="B84" s="88" t="s">
        <v>195</v>
      </c>
      <c r="C84" s="80"/>
      <c r="D84" s="80"/>
      <c r="E84" s="80"/>
      <c r="F84" s="80"/>
      <c r="G84" s="81"/>
      <c r="H84" s="80"/>
      <c r="I84" s="80"/>
      <c r="J84" s="80"/>
      <c r="K84" s="80"/>
      <c r="L84" s="80"/>
      <c r="M84" s="81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</row>
    <row r="85" spans="1:40" ht="16.2">
      <c r="A85" s="82"/>
      <c r="B85" s="88" t="s">
        <v>33</v>
      </c>
      <c r="C85" s="80"/>
      <c r="D85" s="80"/>
      <c r="E85" s="80"/>
      <c r="F85" s="82"/>
      <c r="G85" s="88" t="s">
        <v>196</v>
      </c>
      <c r="H85" s="80"/>
      <c r="I85" s="80"/>
      <c r="J85" s="80"/>
      <c r="K85" s="80"/>
      <c r="L85" s="82"/>
      <c r="M85" s="88" t="s">
        <v>34</v>
      </c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</row>
    <row r="86" spans="1:40" ht="16.2">
      <c r="A86" s="82"/>
      <c r="B86" s="90" t="s">
        <v>197</v>
      </c>
      <c r="C86" s="80" t="s">
        <v>198</v>
      </c>
      <c r="D86" s="80"/>
      <c r="E86" s="80"/>
      <c r="F86" s="82"/>
      <c r="G86" s="90" t="s">
        <v>18</v>
      </c>
      <c r="H86" s="80"/>
      <c r="I86" s="80"/>
      <c r="J86" s="80"/>
      <c r="K86" s="80"/>
      <c r="L86" s="82"/>
      <c r="M86" s="90" t="s">
        <v>18</v>
      </c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</row>
    <row r="87" spans="1:40" ht="14.4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</row>
    <row r="88" spans="1:40" ht="14.4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</row>
    <row r="89" spans="1:40" ht="14.4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</row>
    <row r="90" spans="1:40" ht="14.4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</row>
    <row r="91" spans="1:40" ht="14.4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</row>
    <row r="92" spans="1:40" ht="14.4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</row>
    <row r="93" spans="1:40" ht="14.4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</row>
    <row r="94" spans="1:40" ht="14.4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</row>
    <row r="95" spans="1:40" ht="14.4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</row>
    <row r="96" spans="1:40" ht="14.4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</row>
    <row r="97" spans="1:40" ht="14.4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</row>
    <row r="98" spans="1:40" ht="14.4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</row>
    <row r="99" spans="1:40" ht="14.4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</row>
    <row r="100" spans="1:40" ht="14.4">
      <c r="A100" s="80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</row>
    <row r="101" spans="1:40" ht="16.2">
      <c r="A101" s="82"/>
      <c r="B101" s="83" t="s">
        <v>199</v>
      </c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5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</row>
    <row r="102" spans="1:40" ht="14.4"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</row>
    <row r="103" spans="1:40" ht="16.2">
      <c r="B103" s="88" t="s">
        <v>200</v>
      </c>
      <c r="C103" s="93" t="s">
        <v>201</v>
      </c>
      <c r="D103" s="93"/>
      <c r="E103" s="93" t="s">
        <v>202</v>
      </c>
      <c r="F103" s="93" t="s">
        <v>203</v>
      </c>
      <c r="G103" s="93" t="s">
        <v>204</v>
      </c>
      <c r="H103" s="93" t="s">
        <v>74</v>
      </c>
      <c r="I103" s="93" t="s">
        <v>205</v>
      </c>
      <c r="J103" s="93" t="s">
        <v>206</v>
      </c>
      <c r="K103" s="93" t="s">
        <v>207</v>
      </c>
      <c r="L103" s="93" t="s">
        <v>208</v>
      </c>
      <c r="M103" s="93" t="s">
        <v>81</v>
      </c>
      <c r="N103" s="93" t="s">
        <v>32</v>
      </c>
      <c r="O103" s="93" t="s">
        <v>31</v>
      </c>
      <c r="P103" s="93" t="s">
        <v>209</v>
      </c>
      <c r="Q103" s="93" t="s">
        <v>210</v>
      </c>
      <c r="R103" s="94" t="s">
        <v>34</v>
      </c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</row>
    <row r="104" spans="1:40" ht="16.2">
      <c r="B104" s="95" t="s">
        <v>183</v>
      </c>
      <c r="C104" s="96" t="s">
        <v>18</v>
      </c>
      <c r="D104" s="96" t="s">
        <v>166</v>
      </c>
      <c r="E104" s="97">
        <f t="shared" ref="E104:I104" ca="1" si="0">F129</f>
        <v>204543.61479140006</v>
      </c>
      <c r="F104" s="97">
        <f t="shared" si="0"/>
        <v>114818</v>
      </c>
      <c r="G104" s="97">
        <f t="shared" si="0"/>
        <v>3024.95</v>
      </c>
      <c r="H104" s="97">
        <f t="shared" si="0"/>
        <v>408</v>
      </c>
      <c r="I104" s="97">
        <f t="shared" si="0"/>
        <v>24158</v>
      </c>
      <c r="J104" s="98">
        <f t="shared" ref="J104:R104" si="1">S129</f>
        <v>2.6345607831524672E-2</v>
      </c>
      <c r="K104" s="98">
        <f t="shared" si="1"/>
        <v>1.4950761894889604</v>
      </c>
      <c r="L104" s="99">
        <f t="shared" si="1"/>
        <v>14.263922033130694</v>
      </c>
      <c r="M104" s="98">
        <f t="shared" si="1"/>
        <v>0.25825813395148606</v>
      </c>
      <c r="N104" s="99">
        <f t="shared" si="1"/>
        <v>2.8536585365853657</v>
      </c>
      <c r="O104" s="98">
        <f t="shared" si="1"/>
        <v>0.47600043379243034</v>
      </c>
      <c r="P104" s="99">
        <f t="shared" si="1"/>
        <v>7.4140931372549019</v>
      </c>
      <c r="Q104" s="98">
        <f t="shared" si="1"/>
        <v>0.12521524960675551</v>
      </c>
      <c r="R104" s="98">
        <f t="shared" si="1"/>
        <v>6.5610020605140443E-2</v>
      </c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</row>
    <row r="105" spans="1:40" ht="14.4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</row>
    <row r="106" spans="1:40" ht="16.2">
      <c r="B106" s="100" t="s">
        <v>211</v>
      </c>
      <c r="C106" s="101" t="s">
        <v>212</v>
      </c>
      <c r="D106" s="100" t="s">
        <v>213</v>
      </c>
      <c r="E106" s="100" t="s">
        <v>214</v>
      </c>
      <c r="F106" s="100" t="s">
        <v>215</v>
      </c>
      <c r="G106" s="100" t="s">
        <v>5</v>
      </c>
      <c r="H106" s="100" t="s">
        <v>67</v>
      </c>
      <c r="I106" s="100" t="s">
        <v>9</v>
      </c>
      <c r="J106" s="100" t="s">
        <v>216</v>
      </c>
      <c r="K106" s="100" t="s">
        <v>217</v>
      </c>
      <c r="L106" s="100" t="s">
        <v>218</v>
      </c>
      <c r="M106" s="100" t="s">
        <v>219</v>
      </c>
      <c r="N106" s="100" t="s">
        <v>220</v>
      </c>
      <c r="O106" s="100" t="s">
        <v>221</v>
      </c>
      <c r="P106" s="100" t="s">
        <v>222</v>
      </c>
      <c r="Q106" s="100" t="s">
        <v>223</v>
      </c>
      <c r="R106" s="100" t="s">
        <v>224</v>
      </c>
      <c r="S106" s="100" t="s">
        <v>206</v>
      </c>
      <c r="T106" s="100" t="s">
        <v>207</v>
      </c>
      <c r="U106" s="100" t="s">
        <v>208</v>
      </c>
      <c r="V106" s="100" t="s">
        <v>81</v>
      </c>
      <c r="W106" s="100" t="s">
        <v>32</v>
      </c>
      <c r="X106" s="100" t="s">
        <v>31</v>
      </c>
      <c r="Y106" s="100" t="s">
        <v>209</v>
      </c>
      <c r="Z106" s="100" t="s">
        <v>210</v>
      </c>
      <c r="AA106" s="101" t="s">
        <v>34</v>
      </c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</row>
    <row r="107" spans="1:40" ht="16.2">
      <c r="B107" s="24">
        <v>531642</v>
      </c>
      <c r="C107" s="24" t="s">
        <v>166</v>
      </c>
      <c r="D107" s="102">
        <f ca="1">IFERROR(__xludf.DUMMYFUNCTION("GOOGLEFINANCE(""nse:""&amp;C107,""price"")"),683.5)</f>
        <v>683.5</v>
      </c>
      <c r="E107" s="24"/>
      <c r="F107" s="103">
        <f ca="1">IFERROR(__xludf.DUMMYFUNCTION("GOOGLEFINANCE(""BOM:""&amp;B107,""MARKETCAP"")/10000000"),88378.1931707)</f>
        <v>88378.193170700004</v>
      </c>
      <c r="G107" s="103">
        <v>9764</v>
      </c>
      <c r="H107" s="103">
        <v>1322</v>
      </c>
      <c r="I107" s="103">
        <v>129</v>
      </c>
      <c r="J107" s="103">
        <v>4605</v>
      </c>
      <c r="K107" s="103">
        <v>4535</v>
      </c>
      <c r="L107" s="103">
        <v>2527</v>
      </c>
      <c r="M107" s="103">
        <v>8164</v>
      </c>
      <c r="N107" s="103">
        <v>3559</v>
      </c>
      <c r="O107" s="103">
        <v>1166</v>
      </c>
      <c r="P107" s="103">
        <v>344</v>
      </c>
      <c r="Q107" s="103">
        <v>1</v>
      </c>
      <c r="R107" s="103">
        <f t="shared" ref="R107:R112" si="2">I107/Q107</f>
        <v>129</v>
      </c>
      <c r="S107" s="104">
        <f t="shared" ref="S107:S112" si="3">H107/G107</f>
        <v>0.13539532978287588</v>
      </c>
      <c r="T107" s="105">
        <f t="shared" ref="T107:T112" si="4">K107/L107</f>
        <v>1.7946181242580135</v>
      </c>
      <c r="U107" s="106">
        <f t="shared" ref="U107:U112" si="5">(O107/G107)*365</f>
        <v>43.587668988119624</v>
      </c>
      <c r="V107" s="107">
        <f t="shared" ref="V107:V112" si="6">P107/J107</f>
        <v>7.4701411509229099E-2</v>
      </c>
      <c r="W107" s="108">
        <f t="shared" ref="W107:W108" si="7">(15725-15409+196)/196</f>
        <v>2.6122448979591835</v>
      </c>
      <c r="X107" s="109">
        <f t="shared" ref="X107:X112" si="8">N107/M107</f>
        <v>0.43593826555609994</v>
      </c>
      <c r="Y107" s="110">
        <f t="shared" ref="Y107:Y112" si="9">H107/I107</f>
        <v>10.248062015503876</v>
      </c>
      <c r="Z107" s="111">
        <f t="shared" ref="Z107:Z112" si="10">H107/J107</f>
        <v>0.28707926167209558</v>
      </c>
      <c r="AA107" s="112">
        <f t="shared" ref="AA107:AA112" si="11">H107/M107</f>
        <v>0.16193042626163645</v>
      </c>
      <c r="AB107" s="80"/>
      <c r="AC107" s="80"/>
      <c r="AD107" s="113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</row>
    <row r="108" spans="1:40" ht="16.2">
      <c r="B108" s="24">
        <v>500368</v>
      </c>
      <c r="C108" s="24" t="s">
        <v>18</v>
      </c>
      <c r="D108" s="102">
        <f ca="1">IFERROR(__xludf.DUMMYFUNCTION("GOOGLEFINANCE(""nse:""&amp;C108,""price"")"),1701.5)</f>
        <v>1701.5</v>
      </c>
      <c r="E108" s="24" t="s">
        <v>225</v>
      </c>
      <c r="F108" s="103">
        <f ca="1">IFERROR(__xludf.DUMMYFUNCTION("GOOGLEFINANCE(""BOM:""&amp;B108,""MARKETCAP"")/10000000"),61695.9535371)</f>
        <v>61695.953537100002</v>
      </c>
      <c r="G108" s="114">
        <v>31525</v>
      </c>
      <c r="H108" s="115">
        <v>886</v>
      </c>
      <c r="I108" s="103">
        <v>72</v>
      </c>
      <c r="J108" s="103">
        <v>10204</v>
      </c>
      <c r="K108" s="103">
        <v>8446</v>
      </c>
      <c r="L108" s="103">
        <v>3457</v>
      </c>
      <c r="M108" s="103">
        <v>13852</v>
      </c>
      <c r="N108" s="103">
        <v>3645</v>
      </c>
      <c r="O108" s="103">
        <v>984</v>
      </c>
      <c r="P108" s="103">
        <v>1261</v>
      </c>
      <c r="Q108" s="103">
        <v>2</v>
      </c>
      <c r="R108" s="103">
        <f t="shared" si="2"/>
        <v>36</v>
      </c>
      <c r="S108" s="104">
        <f t="shared" si="3"/>
        <v>2.8104678826328312E-2</v>
      </c>
      <c r="T108" s="105">
        <f t="shared" si="4"/>
        <v>2.4431588082152156</v>
      </c>
      <c r="U108" s="106">
        <f t="shared" si="5"/>
        <v>11.392862807295797</v>
      </c>
      <c r="V108" s="107">
        <f t="shared" si="6"/>
        <v>0.12357898863190905</v>
      </c>
      <c r="W108" s="108">
        <f t="shared" si="7"/>
        <v>2.6122448979591835</v>
      </c>
      <c r="X108" s="109">
        <f t="shared" si="8"/>
        <v>0.26313889691019349</v>
      </c>
      <c r="Y108" s="110">
        <f t="shared" si="9"/>
        <v>12.305555555555555</v>
      </c>
      <c r="Z108" s="111">
        <f t="shared" si="10"/>
        <v>8.6828694629557043E-2</v>
      </c>
      <c r="AA108" s="112">
        <f t="shared" si="11"/>
        <v>6.3961882760612182E-2</v>
      </c>
      <c r="AB108" s="80"/>
      <c r="AC108" s="80"/>
      <c r="AD108" s="113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</row>
    <row r="109" spans="1:40" ht="16.2">
      <c r="B109" s="24">
        <v>543458</v>
      </c>
      <c r="C109" s="24" t="s">
        <v>188</v>
      </c>
      <c r="D109" s="102">
        <f ca="1">IFERROR(__xludf.DUMMYFUNCTION("GOOGLEFINANCE(""nse:""&amp;C109,""price"")"),344.8)</f>
        <v>344.8</v>
      </c>
      <c r="E109" s="24" t="s">
        <v>225</v>
      </c>
      <c r="F109" s="103">
        <f ca="1">IFERROR(__xludf.DUMMYFUNCTION("GOOGLEFINANCE(""BOM:""&amp;B109,""MARKETCAP"")/10000000"),44733.3919672)</f>
        <v>44733.391967199997</v>
      </c>
      <c r="G109" s="116">
        <v>58185</v>
      </c>
      <c r="H109" s="117">
        <v>582</v>
      </c>
      <c r="I109" s="103">
        <v>130</v>
      </c>
      <c r="J109" s="103">
        <v>7962</v>
      </c>
      <c r="K109" s="103">
        <v>13608</v>
      </c>
      <c r="L109" s="103">
        <v>11465</v>
      </c>
      <c r="M109" s="103">
        <v>20531</v>
      </c>
      <c r="N109" s="103">
        <v>12569</v>
      </c>
      <c r="O109" s="103">
        <v>1912</v>
      </c>
      <c r="P109" s="103">
        <v>3643</v>
      </c>
      <c r="Q109" s="103">
        <v>1</v>
      </c>
      <c r="R109" s="103">
        <f t="shared" si="2"/>
        <v>130</v>
      </c>
      <c r="S109" s="104">
        <f t="shared" si="3"/>
        <v>1.0002577984016499E-2</v>
      </c>
      <c r="T109" s="105">
        <f t="shared" si="4"/>
        <v>1.1869167030091583</v>
      </c>
      <c r="U109" s="106">
        <f t="shared" si="5"/>
        <v>11.9941565695626</v>
      </c>
      <c r="V109" s="107">
        <f t="shared" si="6"/>
        <v>0.45754835468475258</v>
      </c>
      <c r="W109" s="108">
        <f>(28874-28666+313)/313</f>
        <v>1.6645367412140575</v>
      </c>
      <c r="X109" s="109">
        <f t="shared" si="8"/>
        <v>0.61219619112561496</v>
      </c>
      <c r="Y109" s="110">
        <f t="shared" si="9"/>
        <v>4.476923076923077</v>
      </c>
      <c r="Z109" s="111">
        <f t="shared" si="10"/>
        <v>7.3097211755840247E-2</v>
      </c>
      <c r="AA109" s="112">
        <f t="shared" si="11"/>
        <v>2.8347377137012322E-2</v>
      </c>
      <c r="AB109" s="80"/>
      <c r="AC109" s="80"/>
      <c r="AD109" s="113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</row>
    <row r="110" spans="1:40" ht="16.2">
      <c r="B110" s="24">
        <v>500215</v>
      </c>
      <c r="C110" s="24" t="s">
        <v>194</v>
      </c>
      <c r="D110" s="102">
        <f ca="1">IFERROR(__xludf.DUMMYFUNCTION("GOOGLEFINANCE(""nse:""&amp;C110,""price"")"),976.1)</f>
        <v>976.1</v>
      </c>
      <c r="E110" s="24" t="s">
        <v>225</v>
      </c>
      <c r="F110" s="103">
        <f ca="1">IFERROR(__xludf.DUMMYFUNCTION("GOOGLEFINANCE(""BOM:""&amp;B110,""MARKETCAP"")/10000000"),2380.9690142)</f>
        <v>2380.9690141999999</v>
      </c>
      <c r="G110" s="103">
        <v>783</v>
      </c>
      <c r="H110" s="103">
        <v>13.95</v>
      </c>
      <c r="I110" s="103">
        <v>24</v>
      </c>
      <c r="J110" s="103">
        <v>459</v>
      </c>
      <c r="K110" s="103">
        <v>251</v>
      </c>
      <c r="L110" s="103">
        <v>127</v>
      </c>
      <c r="M110" s="103">
        <v>611</v>
      </c>
      <c r="N110" s="103">
        <v>153</v>
      </c>
      <c r="O110" s="103">
        <v>78</v>
      </c>
      <c r="P110" s="103">
        <v>24</v>
      </c>
      <c r="Q110" s="103">
        <v>10</v>
      </c>
      <c r="R110" s="103">
        <f t="shared" si="2"/>
        <v>2.4</v>
      </c>
      <c r="S110" s="104">
        <f t="shared" si="3"/>
        <v>1.7816091954022988E-2</v>
      </c>
      <c r="T110" s="105">
        <f t="shared" si="4"/>
        <v>1.9763779527559056</v>
      </c>
      <c r="U110" s="106">
        <f t="shared" si="5"/>
        <v>36.360153256704976</v>
      </c>
      <c r="V110" s="107">
        <f t="shared" si="6"/>
        <v>5.2287581699346407E-2</v>
      </c>
      <c r="W110" s="108">
        <f>(423-419+2)/2</f>
        <v>3</v>
      </c>
      <c r="X110" s="109">
        <f t="shared" si="8"/>
        <v>0.25040916530278234</v>
      </c>
      <c r="Y110" s="110">
        <f t="shared" si="9"/>
        <v>0.58124999999999993</v>
      </c>
      <c r="Z110" s="111">
        <f t="shared" si="10"/>
        <v>3.0392156862745098E-2</v>
      </c>
      <c r="AA110" s="112">
        <f t="shared" si="11"/>
        <v>2.283142389525368E-2</v>
      </c>
      <c r="AB110" s="80"/>
      <c r="AC110" s="80"/>
      <c r="AD110" s="113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</row>
    <row r="111" spans="1:40" ht="16.2">
      <c r="B111" s="24">
        <v>539725</v>
      </c>
      <c r="C111" s="24" t="s">
        <v>197</v>
      </c>
      <c r="D111" s="102">
        <f ca="1">IFERROR(__xludf.DUMMYFUNCTION("GOOGLEFINANCE(""nse:""&amp;C111,""price"")"),180)</f>
        <v>180</v>
      </c>
      <c r="E111" s="24" t="s">
        <v>225</v>
      </c>
      <c r="F111" s="103">
        <f ca="1">IFERROR(__xludf.DUMMYFUNCTION("GOOGLEFINANCE(""BOM:""&amp;B111,""MARKETCAP"")/10000000"),2655.7794)</f>
        <v>2655.7793999999999</v>
      </c>
      <c r="G111" s="103">
        <v>12572</v>
      </c>
      <c r="H111" s="103">
        <v>129</v>
      </c>
      <c r="I111" s="103">
        <v>29</v>
      </c>
      <c r="J111" s="103">
        <v>534</v>
      </c>
      <c r="K111" s="103">
        <v>1564</v>
      </c>
      <c r="L111" s="103">
        <v>1278</v>
      </c>
      <c r="M111" s="103">
        <v>2033</v>
      </c>
      <c r="N111" s="103">
        <f>222+L111</f>
        <v>1500</v>
      </c>
      <c r="O111" s="103">
        <v>219</v>
      </c>
      <c r="P111" s="103">
        <v>458</v>
      </c>
      <c r="Q111" s="103">
        <v>2</v>
      </c>
      <c r="R111" s="103">
        <f t="shared" si="2"/>
        <v>14.5</v>
      </c>
      <c r="S111" s="104">
        <f t="shared" si="3"/>
        <v>1.0260897231944002E-2</v>
      </c>
      <c r="T111" s="105">
        <f t="shared" si="4"/>
        <v>1.2237871674491392</v>
      </c>
      <c r="U111" s="106">
        <f t="shared" si="5"/>
        <v>6.3581769010499531</v>
      </c>
      <c r="V111" s="107">
        <f t="shared" si="6"/>
        <v>0.85767790262172283</v>
      </c>
      <c r="W111" s="108">
        <f>(5647-5571+41)/41</f>
        <v>2.8536585365853657</v>
      </c>
      <c r="X111" s="109">
        <f t="shared" si="8"/>
        <v>0.73782587309394987</v>
      </c>
      <c r="Y111" s="110">
        <f t="shared" si="9"/>
        <v>4.4482758620689653</v>
      </c>
      <c r="Z111" s="111">
        <f t="shared" si="10"/>
        <v>0.24157303370786518</v>
      </c>
      <c r="AA111" s="112">
        <f t="shared" si="11"/>
        <v>6.3453025086079681E-2</v>
      </c>
      <c r="AB111" s="80"/>
      <c r="AC111" s="80"/>
      <c r="AD111" s="113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</row>
    <row r="112" spans="1:40" ht="16.2">
      <c r="A112" s="80"/>
      <c r="B112" s="24">
        <v>524332</v>
      </c>
      <c r="C112" s="24" t="s">
        <v>198</v>
      </c>
      <c r="D112" s="102">
        <f ca="1">IFERROR(__xludf.DUMMYFUNCTION("GOOGLEFINANCE(""BOM:""&amp;B112,""price"")"),62.9)</f>
        <v>62.9</v>
      </c>
      <c r="E112" s="24" t="s">
        <v>225</v>
      </c>
      <c r="F112" s="103">
        <f ca="1">IFERROR(__xludf.DUMMYFUNCTION("GOOGLEFINANCE(""BOM:""&amp;B112,""MARKETCAP"")/10000000"),1860.1184999)</f>
        <v>1860.1184999</v>
      </c>
      <c r="G112" s="103">
        <v>1989</v>
      </c>
      <c r="H112" s="103">
        <v>92</v>
      </c>
      <c r="I112" s="103">
        <v>24</v>
      </c>
      <c r="J112" s="103">
        <v>394</v>
      </c>
      <c r="K112" s="103">
        <v>442</v>
      </c>
      <c r="L112" s="103">
        <v>440</v>
      </c>
      <c r="M112" s="103">
        <v>914</v>
      </c>
      <c r="N112" s="103">
        <v>520</v>
      </c>
      <c r="O112" s="103">
        <v>128</v>
      </c>
      <c r="P112" s="103">
        <v>509</v>
      </c>
      <c r="Q112" s="103">
        <v>10</v>
      </c>
      <c r="R112" s="103">
        <f t="shared" si="2"/>
        <v>2.4</v>
      </c>
      <c r="S112" s="104">
        <f t="shared" si="3"/>
        <v>4.6254399195575668E-2</v>
      </c>
      <c r="T112" s="105">
        <f t="shared" si="4"/>
        <v>1.0045454545454546</v>
      </c>
      <c r="U112" s="106">
        <f t="shared" si="5"/>
        <v>23.489190548014076</v>
      </c>
      <c r="V112" s="107">
        <f t="shared" si="6"/>
        <v>1.2918781725888324</v>
      </c>
      <c r="W112" s="108">
        <f>(829-811+7)/7</f>
        <v>3.5714285714285716</v>
      </c>
      <c r="X112" s="109">
        <f t="shared" si="8"/>
        <v>0.56892778993435444</v>
      </c>
      <c r="Y112" s="110">
        <f t="shared" si="9"/>
        <v>3.8333333333333335</v>
      </c>
      <c r="Z112" s="111">
        <f t="shared" si="10"/>
        <v>0.233502538071066</v>
      </c>
      <c r="AA112" s="112">
        <f t="shared" si="11"/>
        <v>0.10065645514223195</v>
      </c>
      <c r="AB112" s="80"/>
      <c r="AC112" s="80"/>
      <c r="AD112" s="113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</row>
    <row r="113" spans="1:40" ht="16.2">
      <c r="A113" s="80"/>
      <c r="B113" s="24">
        <v>533210</v>
      </c>
      <c r="C113" s="24" t="s">
        <v>226</v>
      </c>
      <c r="D113" s="102">
        <f ca="1">IFERROR(__xludf.DUMMYFUNCTION("GOOGLEFINANCE(""nse:""&amp;C113,""price"")"),124)</f>
        <v>124</v>
      </c>
      <c r="E113" s="24" t="s">
        <v>225</v>
      </c>
      <c r="F113" s="103">
        <f ca="1">IFERROR(__xludf.DUMMYFUNCTION("GOOGLEFINANCE(""BOM:""&amp;B113,""MARKETCAP"")/10000000"),621.283648)</f>
        <v>621.28364799999997</v>
      </c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45"/>
      <c r="T113" s="45"/>
      <c r="U113" s="118"/>
      <c r="V113" s="45"/>
      <c r="W113" s="118"/>
      <c r="X113" s="45"/>
      <c r="Y113" s="118"/>
      <c r="Z113" s="45"/>
      <c r="AA113" s="45"/>
      <c r="AB113" s="80"/>
      <c r="AC113" s="80"/>
      <c r="AD113" s="113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</row>
    <row r="114" spans="1:40" ht="16.2">
      <c r="A114" s="80"/>
      <c r="B114" s="24">
        <v>532980</v>
      </c>
      <c r="C114" s="24" t="s">
        <v>227</v>
      </c>
      <c r="D114" s="102">
        <f ca="1">IFERROR(__xludf.DUMMYFUNCTION("GOOGLEFINANCE(""nse:""&amp;C114,""price"")"),41.24)</f>
        <v>41.24</v>
      </c>
      <c r="E114" s="24" t="s">
        <v>225</v>
      </c>
      <c r="F114" s="103">
        <f ca="1">IFERROR(__xludf.DUMMYFUNCTION("GOOGLEFINANCE(""BOM:""&amp;B114,""MARKETCAP"")/10000000"),407.0911099)</f>
        <v>407.09110989999999</v>
      </c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45"/>
      <c r="T114" s="45"/>
      <c r="U114" s="118"/>
      <c r="V114" s="45"/>
      <c r="W114" s="118"/>
      <c r="X114" s="45"/>
      <c r="Y114" s="118"/>
      <c r="Z114" s="45"/>
      <c r="AA114" s="45"/>
      <c r="AB114" s="80"/>
      <c r="AC114" s="80"/>
      <c r="AD114" s="113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</row>
    <row r="115" spans="1:40" ht="16.2">
      <c r="A115" s="80"/>
      <c r="B115" s="24">
        <v>531069</v>
      </c>
      <c r="C115" s="24" t="s">
        <v>228</v>
      </c>
      <c r="D115" s="102">
        <f ca="1">IFERROR(__xludf.DUMMYFUNCTION("GOOGLEFINANCE(""BOM:""&amp;B115,""price"")"),1155)</f>
        <v>1155</v>
      </c>
      <c r="E115" s="24" t="s">
        <v>229</v>
      </c>
      <c r="F115" s="103">
        <f ca="1">IFERROR(__xludf.DUMMYFUNCTION("GOOGLEFINANCE(""BOM:""&amp;B115,""MARKETCAP"")/10000000"),369.7458765)</f>
        <v>369.74587650000001</v>
      </c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45"/>
      <c r="T115" s="45"/>
      <c r="U115" s="118"/>
      <c r="V115" s="45"/>
      <c r="W115" s="118"/>
      <c r="X115" s="45"/>
      <c r="Y115" s="118"/>
      <c r="Z115" s="45"/>
      <c r="AA115" s="45"/>
      <c r="AB115" s="80"/>
      <c r="AC115" s="80"/>
      <c r="AD115" s="113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</row>
    <row r="116" spans="1:40" ht="16.2">
      <c r="A116" s="80"/>
      <c r="B116" s="24">
        <v>519216</v>
      </c>
      <c r="C116" s="24" t="s">
        <v>230</v>
      </c>
      <c r="D116" s="102">
        <f ca="1">IFERROR(__xludf.DUMMYFUNCTION("GOOGLEFINANCE(""BOM:""&amp;B116,""price"")"),30.15)</f>
        <v>30.15</v>
      </c>
      <c r="E116" s="24" t="s">
        <v>225</v>
      </c>
      <c r="F116" s="103">
        <f ca="1">IFERROR(__xludf.DUMMYFUNCTION("GOOGLEFINANCE(""BOM:""&amp;B116,""MARKETCAP"")/10000000"),242.6562117)</f>
        <v>242.6562117</v>
      </c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45"/>
      <c r="T116" s="45"/>
      <c r="U116" s="118"/>
      <c r="V116" s="45"/>
      <c r="W116" s="118"/>
      <c r="X116" s="45"/>
      <c r="Y116" s="118"/>
      <c r="Z116" s="45"/>
      <c r="AA116" s="45"/>
      <c r="AB116" s="80"/>
      <c r="AC116" s="80"/>
      <c r="AD116" s="113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</row>
    <row r="117" spans="1:40" ht="16.2">
      <c r="A117" s="80"/>
      <c r="B117" s="24">
        <v>524444</v>
      </c>
      <c r="C117" s="24" t="s">
        <v>231</v>
      </c>
      <c r="D117" s="102">
        <f ca="1">IFERROR(__xludf.DUMMYFUNCTION("GOOGLEFINANCE(""BOM:""&amp;B117,""price"")"),2.91)</f>
        <v>2.91</v>
      </c>
      <c r="E117" s="24" t="s">
        <v>225</v>
      </c>
      <c r="F117" s="103">
        <f ca="1">IFERROR(__xludf.DUMMYFUNCTION("GOOGLEFINANCE(""BOM:""&amp;B117,""MARKETCAP"")/10000000"),303.0960059)</f>
        <v>303.09600590000002</v>
      </c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118"/>
      <c r="R117" s="118"/>
      <c r="S117" s="45"/>
      <c r="T117" s="45"/>
      <c r="U117" s="118"/>
      <c r="V117" s="45"/>
      <c r="W117" s="118"/>
      <c r="X117" s="45"/>
      <c r="Y117" s="118"/>
      <c r="Z117" s="45"/>
      <c r="AA117" s="45"/>
      <c r="AB117" s="80"/>
      <c r="AC117" s="80"/>
      <c r="AD117" s="113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</row>
    <row r="118" spans="1:40" ht="16.2">
      <c r="A118" s="80"/>
      <c r="B118" s="24">
        <v>543373</v>
      </c>
      <c r="C118" s="24" t="s">
        <v>232</v>
      </c>
      <c r="D118" s="102">
        <f ca="1">IFERROR(__xludf.DUMMYFUNCTION("GOOGLEFINANCE(""BOM:""&amp;B118,""price"")"),134.9)</f>
        <v>134.9</v>
      </c>
      <c r="E118" s="24" t="s">
        <v>233</v>
      </c>
      <c r="F118" s="103">
        <f ca="1">IFERROR(__xludf.DUMMYFUNCTION("GOOGLEFINANCE(""BOM:""&amp;B118,""MARKETCAP"")/10000000"),298.3896132)</f>
        <v>298.38961319999999</v>
      </c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45"/>
      <c r="T118" s="45"/>
      <c r="U118" s="118"/>
      <c r="V118" s="45"/>
      <c r="W118" s="118"/>
      <c r="X118" s="45"/>
      <c r="Y118" s="118"/>
      <c r="Z118" s="45"/>
      <c r="AA118" s="45"/>
      <c r="AB118" s="80"/>
      <c r="AC118" s="80"/>
      <c r="AD118" s="113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</row>
    <row r="119" spans="1:40" ht="16.2">
      <c r="A119" s="80"/>
      <c r="B119" s="24">
        <v>519477</v>
      </c>
      <c r="C119" s="24" t="s">
        <v>234</v>
      </c>
      <c r="D119" s="102">
        <f ca="1">IFERROR(__xludf.DUMMYFUNCTION("GOOGLEFINANCE(""BOM:""&amp;B119,""price"")"),42.16)</f>
        <v>42.16</v>
      </c>
      <c r="E119" s="24" t="s">
        <v>235</v>
      </c>
      <c r="F119" s="103">
        <f ca="1">IFERROR(__xludf.DUMMYFUNCTION("GOOGLEFINANCE(""BOM:""&amp;B119,""MARKETCAP"")/10000000"),117.9884696)</f>
        <v>117.9884696</v>
      </c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45"/>
      <c r="T119" s="45"/>
      <c r="U119" s="118"/>
      <c r="V119" s="45"/>
      <c r="W119" s="118"/>
      <c r="X119" s="45"/>
      <c r="Y119" s="118"/>
      <c r="Z119" s="45"/>
      <c r="AA119" s="45"/>
      <c r="AB119" s="80"/>
      <c r="AC119" s="80"/>
      <c r="AD119" s="113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</row>
    <row r="120" spans="1:40" ht="16.2">
      <c r="A120" s="80"/>
      <c r="B120" s="24">
        <v>526211</v>
      </c>
      <c r="C120" s="24" t="s">
        <v>236</v>
      </c>
      <c r="D120" s="102">
        <f ca="1">IFERROR(__xludf.DUMMYFUNCTION("GOOGLEFINANCE(""BOM:""&amp;B120,""price"")"),87)</f>
        <v>87</v>
      </c>
      <c r="E120" s="24" t="s">
        <v>225</v>
      </c>
      <c r="F120" s="103">
        <f ca="1">IFERROR(__xludf.DUMMYFUNCTION("GOOGLEFINANCE(""BOM:""&amp;B120,""MARKETCAP"")/10000000"),137.836449)</f>
        <v>137.83644899999999</v>
      </c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45"/>
      <c r="T120" s="45"/>
      <c r="U120" s="118"/>
      <c r="V120" s="45"/>
      <c r="W120" s="118"/>
      <c r="X120" s="45"/>
      <c r="Y120" s="118"/>
      <c r="Z120" s="45"/>
      <c r="AA120" s="45"/>
      <c r="AB120" s="80"/>
      <c r="AC120" s="80"/>
      <c r="AD120" s="113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</row>
    <row r="121" spans="1:40" ht="16.2">
      <c r="A121" s="80"/>
      <c r="B121" s="24">
        <v>519234</v>
      </c>
      <c r="C121" s="24" t="s">
        <v>237</v>
      </c>
      <c r="D121" s="102">
        <f ca="1">IFERROR(__xludf.DUMMYFUNCTION("GOOGLEFINANCE(""BOM:""&amp;B121,""price"")"),73.08)</f>
        <v>73.08</v>
      </c>
      <c r="E121" s="24" t="s">
        <v>238</v>
      </c>
      <c r="F121" s="103">
        <f ca="1">IFERROR(__xludf.DUMMYFUNCTION("GOOGLEFINANCE(""BOM:""&amp;B121,""MARKETCAP"")/10000000"),101.2158025)</f>
        <v>101.2158025</v>
      </c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118"/>
      <c r="R121" s="118"/>
      <c r="S121" s="45"/>
      <c r="T121" s="45"/>
      <c r="U121" s="118"/>
      <c r="V121" s="45"/>
      <c r="W121" s="118"/>
      <c r="X121" s="45"/>
      <c r="Y121" s="118"/>
      <c r="Z121" s="45"/>
      <c r="AA121" s="45"/>
      <c r="AB121" s="80"/>
      <c r="AC121" s="80"/>
      <c r="AD121" s="113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</row>
    <row r="122" spans="1:40" ht="16.2">
      <c r="A122" s="80"/>
      <c r="B122" s="24">
        <v>533093</v>
      </c>
      <c r="C122" s="24" t="s">
        <v>239</v>
      </c>
      <c r="D122" s="102">
        <f ca="1">IFERROR(__xludf.DUMMYFUNCTION("GOOGLEFINANCE(""BOM:""&amp;B122,""price"")"),49.8)</f>
        <v>49.8</v>
      </c>
      <c r="E122" s="24" t="s">
        <v>240</v>
      </c>
      <c r="F122" s="103">
        <f ca="1">IFERROR(__xludf.DUMMYFUNCTION("GOOGLEFINANCE(""BOM:""&amp;B122,""MARKETCAP"")/10000000"),75.5429494)</f>
        <v>75.542949399999998</v>
      </c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45"/>
      <c r="T122" s="45"/>
      <c r="U122" s="118"/>
      <c r="V122" s="45"/>
      <c r="W122" s="118"/>
      <c r="X122" s="45"/>
      <c r="Y122" s="118"/>
      <c r="Z122" s="45"/>
      <c r="AA122" s="45"/>
      <c r="AB122" s="80"/>
      <c r="AC122" s="80"/>
      <c r="AD122" s="113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</row>
    <row r="123" spans="1:40" ht="16.2">
      <c r="A123" s="80"/>
      <c r="B123" s="24">
        <v>531153</v>
      </c>
      <c r="C123" s="24" t="s">
        <v>241</v>
      </c>
      <c r="D123" s="102">
        <f ca="1">IFERROR(__xludf.DUMMYFUNCTION("GOOGLEFINANCE(""BOM:""&amp;B123,""price"")"),5.41)</f>
        <v>5.41</v>
      </c>
      <c r="E123" s="24" t="s">
        <v>242</v>
      </c>
      <c r="F123" s="103">
        <f ca="1">IFERROR(__xludf.DUMMYFUNCTION("GOOGLEFINANCE(""BOM:""&amp;B123,""MARKETCAP"")/10000000"),61.8687582)</f>
        <v>61.868758200000002</v>
      </c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18"/>
      <c r="R123" s="118"/>
      <c r="S123" s="45"/>
      <c r="T123" s="45"/>
      <c r="U123" s="118"/>
      <c r="V123" s="45"/>
      <c r="W123" s="118"/>
      <c r="X123" s="45"/>
      <c r="Y123" s="118"/>
      <c r="Z123" s="45"/>
      <c r="AA123" s="45"/>
      <c r="AB123" s="80"/>
      <c r="AC123" s="80"/>
      <c r="AD123" s="113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</row>
    <row r="124" spans="1:40" ht="16.2">
      <c r="A124" s="80"/>
      <c r="B124" s="24">
        <v>519359</v>
      </c>
      <c r="C124" s="24" t="s">
        <v>243</v>
      </c>
      <c r="D124" s="102">
        <f ca="1">IFERROR(__xludf.DUMMYFUNCTION("GOOGLEFINANCE(""BOM:""&amp;B124,""price"")"),80.45)</f>
        <v>80.45</v>
      </c>
      <c r="E124" s="24" t="s">
        <v>244</v>
      </c>
      <c r="F124" s="103">
        <f ca="1">IFERROR(__xludf.DUMMYFUNCTION("GOOGLEFINANCE(""BOM:""&amp;B124,""MARKETCAP"")/10000000"),45.9208582)</f>
        <v>45.920858199999998</v>
      </c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118"/>
      <c r="R124" s="118"/>
      <c r="S124" s="45"/>
      <c r="T124" s="45"/>
      <c r="U124" s="118"/>
      <c r="V124" s="45"/>
      <c r="W124" s="118"/>
      <c r="X124" s="45"/>
      <c r="Y124" s="118"/>
      <c r="Z124" s="45"/>
      <c r="AA124" s="45"/>
      <c r="AB124" s="80"/>
      <c r="AC124" s="80"/>
      <c r="AD124" s="113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</row>
    <row r="125" spans="1:40" ht="16.2">
      <c r="A125" s="80"/>
      <c r="B125" s="24">
        <v>519494</v>
      </c>
      <c r="C125" s="24" t="s">
        <v>245</v>
      </c>
      <c r="D125" s="102">
        <f ca="1">IFERROR(__xludf.DUMMYFUNCTION("GOOGLEFINANCE(""nse:""&amp;C125,""price"")"),55.21)</f>
        <v>55.21</v>
      </c>
      <c r="E125" s="24" t="s">
        <v>246</v>
      </c>
      <c r="F125" s="103">
        <f ca="1">IFERROR(__xludf.DUMMYFUNCTION("GOOGLEFINANCE(""BOM:""&amp;B125,""MARKETCAP"")/10000000"),33.1806518)</f>
        <v>33.1806518</v>
      </c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118"/>
      <c r="R125" s="118"/>
      <c r="S125" s="45"/>
      <c r="T125" s="45"/>
      <c r="U125" s="118"/>
      <c r="V125" s="45"/>
      <c r="W125" s="118"/>
      <c r="X125" s="45"/>
      <c r="Y125" s="118"/>
      <c r="Z125" s="45"/>
      <c r="AA125" s="45"/>
      <c r="AB125" s="80"/>
      <c r="AC125" s="80"/>
      <c r="AD125" s="113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</row>
    <row r="126" spans="1:40" ht="16.2">
      <c r="A126" s="80"/>
      <c r="B126" s="24">
        <v>530119</v>
      </c>
      <c r="C126" s="24" t="s">
        <v>247</v>
      </c>
      <c r="D126" s="102">
        <f ca="1">IFERROR(__xludf.DUMMYFUNCTION("GOOGLEFINANCE(""BOM:""&amp;B126,""price"")"),49.99)</f>
        <v>49.99</v>
      </c>
      <c r="E126" s="24" t="s">
        <v>248</v>
      </c>
      <c r="F126" s="103">
        <f ca="1">IFERROR(__xludf.DUMMYFUNCTION("GOOGLEFINANCE(""BOM:""&amp;B126,""MARKETCAP"")/10000000"),18.7312436)</f>
        <v>18.731243599999999</v>
      </c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118"/>
      <c r="R126" s="118"/>
      <c r="S126" s="45"/>
      <c r="T126" s="45"/>
      <c r="U126" s="118"/>
      <c r="V126" s="45"/>
      <c r="W126" s="118"/>
      <c r="X126" s="45"/>
      <c r="Y126" s="118"/>
      <c r="Z126" s="45"/>
      <c r="AA126" s="45"/>
      <c r="AB126" s="80"/>
      <c r="AC126" s="80"/>
      <c r="AD126" s="113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</row>
    <row r="127" spans="1:40" ht="16.2">
      <c r="A127" s="80"/>
      <c r="B127" s="24">
        <v>519439</v>
      </c>
      <c r="C127" s="24" t="s">
        <v>249</v>
      </c>
      <c r="D127" s="102">
        <f ca="1">IFERROR(__xludf.DUMMYFUNCTION("GOOGLEFINANCE(""BOM:""&amp;B127,""price"")"),10.76)</f>
        <v>10.76</v>
      </c>
      <c r="E127" s="24" t="s">
        <v>250</v>
      </c>
      <c r="F127" s="103">
        <f ca="1">IFERROR(__xludf.DUMMYFUNCTION("GOOGLEFINANCE(""BOM:""&amp;B127,""MARKETCAP"")/10000000"),4.6615548)</f>
        <v>4.6615548000000002</v>
      </c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118"/>
      <c r="R127" s="118"/>
      <c r="S127" s="45"/>
      <c r="T127" s="45"/>
      <c r="U127" s="118"/>
      <c r="V127" s="45"/>
      <c r="W127" s="118"/>
      <c r="X127" s="45"/>
      <c r="Y127" s="118"/>
      <c r="Z127" s="45"/>
      <c r="AA127" s="45"/>
      <c r="AB127" s="80"/>
      <c r="AC127" s="80"/>
      <c r="AD127" s="113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</row>
    <row r="128" spans="1:40" ht="14.4"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</row>
    <row r="129" spans="1:40" ht="16.2">
      <c r="B129" s="119" t="s">
        <v>200</v>
      </c>
      <c r="C129" s="120"/>
      <c r="D129" s="120"/>
      <c r="E129" s="121"/>
      <c r="F129" s="121">
        <f t="shared" ref="F129:P129" ca="1" si="12">SUM(F107:F127)</f>
        <v>204543.61479140006</v>
      </c>
      <c r="G129" s="121">
        <f t="shared" si="12"/>
        <v>114818</v>
      </c>
      <c r="H129" s="121">
        <f t="shared" si="12"/>
        <v>3024.95</v>
      </c>
      <c r="I129" s="121">
        <f t="shared" si="12"/>
        <v>408</v>
      </c>
      <c r="J129" s="121">
        <f t="shared" si="12"/>
        <v>24158</v>
      </c>
      <c r="K129" s="121">
        <f t="shared" si="12"/>
        <v>28846</v>
      </c>
      <c r="L129" s="121">
        <f t="shared" si="12"/>
        <v>19294</v>
      </c>
      <c r="M129" s="121">
        <f t="shared" si="12"/>
        <v>46105</v>
      </c>
      <c r="N129" s="121">
        <f t="shared" si="12"/>
        <v>21946</v>
      </c>
      <c r="O129" s="121">
        <f t="shared" si="12"/>
        <v>4487</v>
      </c>
      <c r="P129" s="121">
        <f t="shared" si="12"/>
        <v>6239</v>
      </c>
      <c r="Q129" s="121"/>
      <c r="R129" s="122"/>
      <c r="S129" s="123">
        <f>H129/G129</f>
        <v>2.6345607831524672E-2</v>
      </c>
      <c r="T129" s="124">
        <f>K129/L129</f>
        <v>1.4950761894889604</v>
      </c>
      <c r="U129" s="125">
        <f>(O129/G129)*365</f>
        <v>14.263922033130694</v>
      </c>
      <c r="V129" s="126">
        <f>P129/J129</f>
        <v>0.25825813395148606</v>
      </c>
      <c r="W129" s="127">
        <f>MEDIAN(W108:W112)</f>
        <v>2.8536585365853657</v>
      </c>
      <c r="X129" s="128">
        <f>N129/M129</f>
        <v>0.47600043379243034</v>
      </c>
      <c r="Y129" s="129">
        <f>H129/I129</f>
        <v>7.4140931372549019</v>
      </c>
      <c r="Z129" s="130">
        <f>H129/J129</f>
        <v>0.12521524960675551</v>
      </c>
      <c r="AA129" s="131">
        <f>H129/M129</f>
        <v>6.5610020605140443E-2</v>
      </c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</row>
    <row r="130" spans="1:40" ht="14.4">
      <c r="D130" s="45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</row>
    <row r="131" spans="1:40" ht="14.4">
      <c r="D131" s="45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</row>
    <row r="132" spans="1:40" ht="14.4">
      <c r="D132" s="45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</row>
    <row r="133" spans="1:40" ht="14.4">
      <c r="D133" s="45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</row>
    <row r="134" spans="1:40" ht="14.4">
      <c r="D134" s="45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</row>
    <row r="135" spans="1:40" ht="14.4">
      <c r="D135" s="45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</row>
    <row r="136" spans="1:40" ht="14.4">
      <c r="D136" s="45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</row>
    <row r="137" spans="1:40" ht="14.4">
      <c r="D137" s="45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</row>
    <row r="138" spans="1:40" ht="14.4">
      <c r="D138" s="45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</row>
    <row r="139" spans="1:40" ht="14.4"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</row>
    <row r="140" spans="1:40" ht="14.4"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</row>
    <row r="141" spans="1:40" ht="14.4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</row>
    <row r="142" spans="1:40" ht="14.4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</row>
    <row r="143" spans="1:40" ht="14.4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</row>
    <row r="144" spans="1:40" ht="14.4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</row>
    <row r="145" spans="1:40" ht="14.4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</row>
    <row r="146" spans="1:40" ht="14.4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</row>
    <row r="147" spans="1:40" ht="14.4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</row>
    <row r="148" spans="1:40" ht="14.4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</row>
    <row r="149" spans="1:40" ht="14.4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</row>
    <row r="150" spans="1:40" ht="14.4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</row>
    <row r="151" spans="1:40" ht="14.4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</row>
    <row r="152" spans="1:40" ht="14.4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</row>
    <row r="153" spans="1:40" ht="14.4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</row>
    <row r="154" spans="1:40" ht="14.4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</row>
    <row r="155" spans="1:40" ht="14.4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</row>
    <row r="156" spans="1:40" ht="14.4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</row>
    <row r="157" spans="1:40" ht="14.4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</row>
    <row r="158" spans="1:40" ht="14.4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</row>
    <row r="159" spans="1:40" ht="14.4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</row>
    <row r="160" spans="1:40" ht="14.4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</row>
    <row r="161" spans="1:40" ht="14.4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</row>
    <row r="162" spans="1:40" ht="14.4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</row>
    <row r="163" spans="1:40" ht="14.4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</row>
    <row r="164" spans="1:40" ht="14.4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</row>
    <row r="165" spans="1:40" ht="14.4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</row>
    <row r="166" spans="1:40" ht="14.4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</row>
    <row r="167" spans="1:40" ht="14.4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</row>
    <row r="168" spans="1:40" ht="14.4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</row>
    <row r="169" spans="1:40" ht="14.4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</row>
    <row r="170" spans="1:40" ht="14.4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</row>
    <row r="171" spans="1:40" ht="14.4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</row>
    <row r="172" spans="1:40" ht="14.4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</row>
    <row r="173" spans="1:40" ht="14.4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</row>
    <row r="174" spans="1:40" ht="14.4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</row>
    <row r="175" spans="1:40" ht="14.4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</row>
    <row r="176" spans="1:40" ht="14.4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</row>
    <row r="177" spans="1:40" ht="14.4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</row>
    <row r="178" spans="1:40" ht="14.4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</row>
    <row r="179" spans="1:40" ht="14.4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</row>
    <row r="180" spans="1:40" ht="14.4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</row>
    <row r="181" spans="1:40" ht="14.4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</row>
    <row r="182" spans="1:40" ht="14.4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</row>
    <row r="183" spans="1:40" ht="14.4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</row>
    <row r="184" spans="1:40" ht="14.4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</row>
    <row r="185" spans="1:40" ht="14.4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</row>
    <row r="186" spans="1:40" ht="14.4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</row>
    <row r="187" spans="1:40" ht="14.4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</row>
    <row r="188" spans="1:40" ht="14.4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</row>
    <row r="189" spans="1:40" ht="14.4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</row>
    <row r="190" spans="1:40" ht="14.4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</row>
    <row r="191" spans="1:40" ht="14.4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</row>
    <row r="192" spans="1:40" ht="14.4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</row>
    <row r="193" spans="1:40" ht="14.4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</row>
    <row r="194" spans="1:40" ht="14.4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</row>
    <row r="195" spans="1:40" ht="14.4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</row>
    <row r="196" spans="1:40" ht="14.4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</row>
    <row r="197" spans="1:40" ht="14.4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</row>
    <row r="198" spans="1:40" ht="14.4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</row>
    <row r="199" spans="1:40" ht="14.4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</row>
    <row r="200" spans="1:40" ht="14.4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</row>
    <row r="201" spans="1:40" ht="14.4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</row>
    <row r="202" spans="1:40" ht="14.4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</row>
    <row r="203" spans="1:40" ht="14.4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</row>
    <row r="204" spans="1:40" ht="14.4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</row>
    <row r="205" spans="1:40" ht="14.4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</row>
    <row r="206" spans="1:40" ht="14.4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</row>
    <row r="207" spans="1:40" ht="14.4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</row>
    <row r="208" spans="1:40" ht="14.4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</row>
    <row r="209" spans="1:40" ht="14.4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</row>
    <row r="210" spans="1:40" ht="14.4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</row>
    <row r="211" spans="1:40" ht="14.4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</row>
    <row r="212" spans="1:40" ht="14.4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</row>
    <row r="213" spans="1:40" ht="14.4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</row>
    <row r="214" spans="1:40" ht="14.4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</row>
    <row r="215" spans="1:40" ht="14.4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</row>
    <row r="216" spans="1:40" ht="14.4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</row>
    <row r="217" spans="1:40" ht="14.4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</row>
    <row r="218" spans="1:40" ht="14.4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</row>
    <row r="219" spans="1:40" ht="14.4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</row>
    <row r="220" spans="1:40" ht="14.4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</row>
    <row r="221" spans="1:40" ht="14.4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</row>
    <row r="222" spans="1:40" ht="14.4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</row>
    <row r="223" spans="1:40" ht="14.4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</row>
    <row r="224" spans="1:40" ht="14.4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</row>
    <row r="225" spans="1:40" ht="14.4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</row>
    <row r="226" spans="1:40" ht="14.4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</row>
    <row r="227" spans="1:40" ht="14.4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</row>
    <row r="228" spans="1:40" ht="14.4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</row>
    <row r="229" spans="1:40" ht="14.4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</row>
    <row r="230" spans="1:40" ht="14.4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</row>
    <row r="231" spans="1:40" ht="14.4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</row>
    <row r="232" spans="1:40" ht="14.4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</row>
    <row r="233" spans="1:40" ht="14.4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</row>
    <row r="234" spans="1:40" ht="14.4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</row>
    <row r="235" spans="1:40" ht="14.4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</row>
    <row r="236" spans="1:40" ht="14.4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</row>
    <row r="237" spans="1:40" ht="14.4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</row>
    <row r="238" spans="1:40" ht="14.4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</row>
    <row r="239" spans="1:40" ht="14.4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</row>
    <row r="240" spans="1:40" ht="14.4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</row>
    <row r="241" spans="1:40" ht="14.4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</row>
    <row r="242" spans="1:40" ht="14.4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</row>
    <row r="243" spans="1:40" ht="14.4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</row>
    <row r="244" spans="1:40" ht="14.4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</row>
    <row r="245" spans="1:40" ht="14.4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</row>
    <row r="246" spans="1:40" ht="14.4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</row>
    <row r="247" spans="1:40" ht="14.4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</row>
    <row r="248" spans="1:40" ht="14.4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</row>
    <row r="249" spans="1:40" ht="14.4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</row>
    <row r="250" spans="1:40" ht="14.4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</row>
    <row r="251" spans="1:40" ht="14.4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</row>
    <row r="252" spans="1:40" ht="14.4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</row>
    <row r="253" spans="1:40" ht="14.4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</row>
    <row r="254" spans="1:40" ht="14.4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</row>
    <row r="255" spans="1:40" ht="14.4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</row>
    <row r="256" spans="1:40" ht="14.4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</row>
    <row r="257" spans="1:40" ht="14.4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</row>
    <row r="258" spans="1:40" ht="14.4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</row>
    <row r="259" spans="1:40" ht="14.4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</row>
    <row r="260" spans="1:40" ht="14.4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</row>
    <row r="261" spans="1:40" ht="14.4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</row>
    <row r="262" spans="1:40" ht="14.4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</row>
    <row r="263" spans="1:40" ht="14.4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</row>
    <row r="264" spans="1:40" ht="14.4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</row>
    <row r="265" spans="1:40" ht="14.4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</row>
    <row r="266" spans="1:40" ht="14.4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</row>
    <row r="267" spans="1:40" ht="14.4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</row>
    <row r="268" spans="1:40" ht="14.4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</row>
    <row r="269" spans="1:40" ht="14.4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</row>
    <row r="270" spans="1:40" ht="14.4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</row>
    <row r="271" spans="1:40" ht="14.4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</row>
    <row r="272" spans="1:40" ht="14.4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</row>
    <row r="273" spans="1:40" ht="14.4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</row>
    <row r="274" spans="1:40" ht="14.4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</row>
    <row r="275" spans="1:40" ht="14.4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</row>
    <row r="276" spans="1:40" ht="14.4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</row>
    <row r="277" spans="1:40" ht="14.4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</row>
    <row r="278" spans="1:40" ht="14.4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</row>
    <row r="279" spans="1:40" ht="14.4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</row>
    <row r="280" spans="1:40" ht="14.4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</row>
    <row r="281" spans="1:40" ht="14.4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</row>
    <row r="282" spans="1:40" ht="14.4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</row>
    <row r="283" spans="1:40" ht="14.4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</row>
    <row r="284" spans="1:40" ht="14.4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</row>
    <row r="285" spans="1:40" ht="14.4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</row>
    <row r="286" spans="1:40" ht="14.4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</row>
    <row r="287" spans="1:40" ht="14.4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</row>
    <row r="288" spans="1:40" ht="14.4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</row>
    <row r="289" spans="1:40" ht="14.4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</row>
    <row r="290" spans="1:40" ht="14.4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</row>
    <row r="291" spans="1:40" ht="14.4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</row>
    <row r="292" spans="1:40" ht="14.4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</row>
    <row r="293" spans="1:40" ht="14.4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</row>
    <row r="294" spans="1:40" ht="14.4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</row>
    <row r="295" spans="1:40" ht="14.4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</row>
    <row r="296" spans="1:40" ht="14.4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</row>
    <row r="297" spans="1:40" ht="14.4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</row>
    <row r="298" spans="1:40" ht="14.4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</row>
    <row r="299" spans="1:40" ht="14.4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</row>
    <row r="300" spans="1:40" ht="14.4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</row>
    <row r="301" spans="1:40" ht="14.4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</row>
    <row r="302" spans="1:40" ht="14.4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</row>
    <row r="303" spans="1:40" ht="14.4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</row>
    <row r="304" spans="1:40" ht="14.4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</row>
    <row r="305" spans="1:40" ht="14.4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</row>
    <row r="306" spans="1:40" ht="14.4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</row>
    <row r="307" spans="1:40" ht="14.4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</row>
    <row r="308" spans="1:40" ht="14.4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</row>
    <row r="309" spans="1:40" ht="14.4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</row>
    <row r="310" spans="1:40" ht="14.4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</row>
    <row r="311" spans="1:40" ht="14.4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</row>
    <row r="312" spans="1:40" ht="14.4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</row>
    <row r="313" spans="1:40" ht="14.4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</row>
    <row r="314" spans="1:40" ht="14.4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</row>
    <row r="315" spans="1:40" ht="14.4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</row>
    <row r="316" spans="1:40" ht="14.4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</row>
    <row r="317" spans="1:40" ht="14.4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</row>
    <row r="318" spans="1:40" ht="14.4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</row>
    <row r="319" spans="1:40" ht="14.4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</row>
    <row r="320" spans="1:40" ht="14.4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</row>
    <row r="321" spans="1:40" ht="14.4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</row>
    <row r="322" spans="1:40" ht="14.4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</row>
    <row r="323" spans="1:40" ht="14.4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</row>
    <row r="324" spans="1:40" ht="14.4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</row>
    <row r="325" spans="1:40" ht="14.4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</row>
    <row r="326" spans="1:40" ht="14.4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</row>
    <row r="327" spans="1:40" ht="14.4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</row>
    <row r="328" spans="1:40" ht="14.4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</row>
    <row r="329" spans="1:40" ht="14.4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</row>
    <row r="330" spans="1:40" ht="14.4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</row>
    <row r="331" spans="1:40" ht="14.4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</row>
    <row r="332" spans="1:40" ht="14.4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</row>
    <row r="333" spans="1:40" ht="14.4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</row>
    <row r="334" spans="1:40" ht="14.4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</row>
    <row r="335" spans="1:40" ht="14.4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</row>
    <row r="336" spans="1:40" ht="14.4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</row>
    <row r="337" spans="1:40" ht="14.4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</row>
    <row r="338" spans="1:40" ht="14.4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</row>
    <row r="339" spans="1:40" ht="14.4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</row>
    <row r="340" spans="1:40" ht="14.4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</row>
    <row r="341" spans="1:40" ht="14.4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</row>
    <row r="342" spans="1:40" ht="14.4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</row>
    <row r="343" spans="1:40" ht="14.4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</row>
    <row r="344" spans="1:40" ht="14.4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</row>
    <row r="345" spans="1:40" ht="14.4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</row>
    <row r="346" spans="1:40" ht="14.4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</row>
    <row r="347" spans="1:40" ht="14.4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</row>
    <row r="348" spans="1:40" ht="14.4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</row>
    <row r="349" spans="1:40" ht="14.4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</row>
    <row r="350" spans="1:40" ht="14.4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</row>
    <row r="351" spans="1:40" ht="14.4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</row>
    <row r="352" spans="1:40" ht="14.4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</row>
    <row r="353" spans="1:40" ht="14.4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</row>
    <row r="354" spans="1:40" ht="14.4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</row>
    <row r="355" spans="1:40" ht="14.4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</row>
    <row r="356" spans="1:40" ht="14.4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</row>
    <row r="357" spans="1:40" ht="14.4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</row>
    <row r="358" spans="1:40" ht="14.4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</row>
    <row r="359" spans="1:40" ht="14.4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</row>
    <row r="360" spans="1:40" ht="14.4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</row>
    <row r="361" spans="1:40" ht="14.4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</row>
    <row r="362" spans="1:40" ht="14.4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</row>
    <row r="363" spans="1:40" ht="14.4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</row>
    <row r="364" spans="1:40" ht="14.4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</row>
    <row r="365" spans="1:40" ht="14.4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</row>
    <row r="366" spans="1:40" ht="14.4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</row>
    <row r="367" spans="1:40" ht="14.4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</row>
    <row r="368" spans="1:40" ht="14.4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</row>
    <row r="369" spans="1:40" ht="14.4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</row>
    <row r="370" spans="1:40" ht="14.4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</row>
    <row r="371" spans="1:40" ht="14.4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</row>
    <row r="372" spans="1:40" ht="14.4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</row>
    <row r="373" spans="1:40" ht="14.4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</row>
    <row r="374" spans="1:40" ht="14.4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</row>
    <row r="375" spans="1:40" ht="14.4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</row>
    <row r="376" spans="1:40" ht="14.4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</row>
    <row r="377" spans="1:40" ht="14.4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</row>
    <row r="378" spans="1:40" ht="14.4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</row>
    <row r="379" spans="1:40" ht="14.4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</row>
    <row r="380" spans="1:40" ht="14.4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</row>
    <row r="381" spans="1:40" ht="14.4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</row>
    <row r="382" spans="1:40" ht="14.4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</row>
    <row r="383" spans="1:40" ht="14.4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</row>
    <row r="384" spans="1:40" ht="14.4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</row>
    <row r="385" spans="1:40" ht="14.4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</row>
    <row r="386" spans="1:40" ht="14.4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</row>
    <row r="387" spans="1:40" ht="14.4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</row>
    <row r="388" spans="1:40" ht="14.4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</row>
    <row r="389" spans="1:40" ht="14.4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</row>
    <row r="390" spans="1:40" ht="14.4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</row>
    <row r="391" spans="1:40" ht="14.4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</row>
    <row r="392" spans="1:40" ht="14.4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</row>
    <row r="393" spans="1:40" ht="14.4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</row>
    <row r="394" spans="1:40" ht="14.4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</row>
    <row r="395" spans="1:40" ht="14.4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</row>
    <row r="396" spans="1:40" ht="14.4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</row>
    <row r="397" spans="1:40" ht="14.4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</row>
    <row r="398" spans="1:40" ht="14.4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</row>
    <row r="399" spans="1:40" ht="14.4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</row>
    <row r="400" spans="1:40" ht="14.4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</row>
    <row r="401" spans="1:40" ht="14.4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</row>
    <row r="402" spans="1:40" ht="14.4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</row>
    <row r="403" spans="1:40" ht="14.4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</row>
    <row r="404" spans="1:40" ht="14.4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</row>
    <row r="405" spans="1:40" ht="14.4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</row>
    <row r="406" spans="1:40" ht="14.4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</row>
    <row r="407" spans="1:40" ht="14.4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</row>
    <row r="408" spans="1:40" ht="14.4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</row>
    <row r="409" spans="1:40" ht="14.4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</row>
    <row r="410" spans="1:40" ht="14.4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</row>
    <row r="411" spans="1:40" ht="14.4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</row>
    <row r="412" spans="1:40" ht="14.4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</row>
    <row r="413" spans="1:40" ht="14.4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</row>
    <row r="414" spans="1:40" ht="14.4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</row>
    <row r="415" spans="1:40" ht="14.4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</row>
    <row r="416" spans="1:40" ht="14.4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</row>
    <row r="417" spans="1:40" ht="14.4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</row>
    <row r="418" spans="1:40" ht="14.4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</row>
    <row r="419" spans="1:40" ht="14.4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</row>
    <row r="420" spans="1:40" ht="14.4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</row>
    <row r="421" spans="1:40" ht="14.4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</row>
    <row r="422" spans="1:40" ht="14.4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</row>
    <row r="423" spans="1:40" ht="14.4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</row>
    <row r="424" spans="1:40" ht="14.4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</row>
    <row r="425" spans="1:40" ht="14.4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</row>
    <row r="426" spans="1:40" ht="14.4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</row>
    <row r="427" spans="1:40" ht="14.4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</row>
    <row r="428" spans="1:40" ht="14.4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</row>
    <row r="429" spans="1:40" ht="14.4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</row>
    <row r="430" spans="1:40" ht="14.4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</row>
    <row r="431" spans="1:40" ht="14.4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</row>
    <row r="432" spans="1:40" ht="14.4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</row>
    <row r="433" spans="1:40" ht="14.4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</row>
    <row r="434" spans="1:40" ht="14.4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</row>
    <row r="435" spans="1:40" ht="14.4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</row>
    <row r="436" spans="1:40" ht="14.4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</row>
    <row r="437" spans="1:40" ht="14.4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</row>
    <row r="438" spans="1:40" ht="14.4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</row>
    <row r="439" spans="1:40" ht="14.4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</row>
    <row r="440" spans="1:40" ht="14.4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</row>
    <row r="441" spans="1:40" ht="14.4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</row>
    <row r="442" spans="1:40" ht="14.4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</row>
    <row r="443" spans="1:40" ht="14.4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</row>
    <row r="444" spans="1:40" ht="14.4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</row>
    <row r="445" spans="1:40" ht="14.4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</row>
    <row r="446" spans="1:40" ht="14.4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</row>
    <row r="447" spans="1:40" ht="14.4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</row>
    <row r="448" spans="1:40" ht="14.4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</row>
    <row r="449" spans="1:40" ht="14.4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</row>
    <row r="450" spans="1:40" ht="14.4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</row>
    <row r="451" spans="1:40" ht="14.4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</row>
    <row r="452" spans="1:40" ht="14.4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80"/>
      <c r="AM452" s="80"/>
      <c r="AN452" s="80"/>
    </row>
    <row r="453" spans="1:40" ht="14.4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80"/>
      <c r="AM453" s="80"/>
      <c r="AN453" s="80"/>
    </row>
    <row r="454" spans="1:40" ht="14.4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80"/>
      <c r="AM454" s="80"/>
      <c r="AN454" s="80"/>
    </row>
    <row r="455" spans="1:40" ht="14.4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</row>
    <row r="456" spans="1:40" ht="14.4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</row>
    <row r="457" spans="1:40" ht="14.4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</row>
    <row r="458" spans="1:40" ht="14.4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</row>
    <row r="459" spans="1:40" ht="14.4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</row>
    <row r="460" spans="1:40" ht="14.4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</row>
    <row r="461" spans="1:40" ht="14.4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</row>
    <row r="462" spans="1:40" ht="14.4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</row>
    <row r="463" spans="1:40" ht="14.4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</row>
    <row r="464" spans="1:40" ht="14.4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</row>
    <row r="465" spans="1:40" ht="14.4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</row>
    <row r="466" spans="1:40" ht="14.4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</row>
    <row r="467" spans="1:40" ht="14.4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</row>
    <row r="468" spans="1:40" ht="14.4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</row>
    <row r="469" spans="1:40" ht="14.4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</row>
    <row r="470" spans="1:40" ht="14.4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</row>
    <row r="471" spans="1:40" ht="14.4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</row>
    <row r="472" spans="1:40" ht="14.4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</row>
    <row r="473" spans="1:40" ht="14.4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</row>
    <row r="474" spans="1:40" ht="14.4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</row>
    <row r="475" spans="1:40" ht="14.4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</row>
    <row r="476" spans="1:40" ht="14.4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</row>
    <row r="477" spans="1:40" ht="14.4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</row>
    <row r="478" spans="1:40" ht="14.4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</row>
    <row r="479" spans="1:40" ht="14.4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</row>
    <row r="480" spans="1:40" ht="14.4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</row>
    <row r="481" spans="1:40" ht="14.4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</row>
    <row r="482" spans="1:40" ht="14.4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</row>
    <row r="483" spans="1:40" ht="14.4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</row>
    <row r="484" spans="1:40" ht="14.4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</row>
    <row r="485" spans="1:40" ht="14.4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</row>
    <row r="486" spans="1:40" ht="14.4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</row>
    <row r="487" spans="1:40" ht="14.4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</row>
    <row r="488" spans="1:40" ht="14.4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</row>
    <row r="489" spans="1:40" ht="14.4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</row>
    <row r="490" spans="1:40" ht="14.4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</row>
    <row r="491" spans="1:40" ht="14.4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</row>
    <row r="492" spans="1:40" ht="14.4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</row>
    <row r="493" spans="1:40" ht="14.4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</row>
    <row r="494" spans="1:40" ht="14.4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</row>
    <row r="495" spans="1:40" ht="14.4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</row>
    <row r="496" spans="1:40" ht="14.4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</row>
    <row r="497" spans="1:40" ht="14.4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</row>
    <row r="498" spans="1:40" ht="14.4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</row>
    <row r="499" spans="1:40" ht="14.4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</row>
    <row r="500" spans="1:40" ht="14.4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</row>
    <row r="501" spans="1:40" ht="14.4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</row>
    <row r="502" spans="1:40" ht="14.4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</row>
    <row r="503" spans="1:40" ht="14.4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</row>
    <row r="504" spans="1:40" ht="14.4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</row>
    <row r="505" spans="1:40" ht="14.4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</row>
    <row r="506" spans="1:40" ht="14.4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</row>
    <row r="507" spans="1:40" ht="14.4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</row>
    <row r="508" spans="1:40" ht="14.4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</row>
    <row r="509" spans="1:40" ht="14.4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</row>
    <row r="510" spans="1:40" ht="14.4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</row>
    <row r="511" spans="1:40" ht="14.4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</row>
    <row r="512" spans="1:40" ht="14.4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</row>
    <row r="513" spans="1:40" ht="14.4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</row>
    <row r="514" spans="1:40" ht="14.4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</row>
    <row r="515" spans="1:40" ht="14.4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</row>
    <row r="516" spans="1:40" ht="14.4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</row>
    <row r="517" spans="1:40" ht="14.4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</row>
    <row r="518" spans="1:40" ht="14.4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</row>
    <row r="519" spans="1:40" ht="14.4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</row>
    <row r="520" spans="1:40" ht="14.4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</row>
    <row r="521" spans="1:40" ht="14.4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</row>
    <row r="522" spans="1:40" ht="14.4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</row>
    <row r="523" spans="1:40" ht="14.4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</row>
    <row r="524" spans="1:40" ht="14.4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</row>
    <row r="525" spans="1:40" ht="14.4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</row>
    <row r="526" spans="1:40" ht="14.4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</row>
    <row r="527" spans="1:40" ht="14.4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</row>
    <row r="528" spans="1:40" ht="14.4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</row>
    <row r="529" spans="1:40" ht="14.4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</row>
    <row r="530" spans="1:40" ht="14.4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</row>
    <row r="531" spans="1:40" ht="14.4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</row>
    <row r="532" spans="1:40" ht="14.4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</row>
    <row r="533" spans="1:40" ht="14.4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</row>
    <row r="534" spans="1:40" ht="14.4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</row>
    <row r="535" spans="1:40" ht="14.4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</row>
    <row r="536" spans="1:40" ht="14.4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</row>
    <row r="537" spans="1:40" ht="14.4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</row>
    <row r="538" spans="1:40" ht="14.4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</row>
    <row r="539" spans="1:40" ht="14.4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</row>
    <row r="540" spans="1:40" ht="14.4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</row>
    <row r="541" spans="1:40" ht="14.4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</row>
    <row r="542" spans="1:40" ht="14.4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</row>
    <row r="543" spans="1:40" ht="14.4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</row>
    <row r="544" spans="1:40" ht="14.4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</row>
    <row r="545" spans="1:40" ht="14.4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</row>
    <row r="546" spans="1:40" ht="14.4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</row>
    <row r="547" spans="1:40" ht="14.4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</row>
    <row r="548" spans="1:40" ht="14.4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</row>
    <row r="549" spans="1:40" ht="14.4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</row>
    <row r="550" spans="1:40" ht="14.4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</row>
    <row r="551" spans="1:40" ht="14.4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</row>
    <row r="552" spans="1:40" ht="14.4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</row>
    <row r="553" spans="1:40" ht="14.4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</row>
    <row r="554" spans="1:40" ht="14.4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</row>
    <row r="555" spans="1:40" ht="14.4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</row>
    <row r="556" spans="1:40" ht="14.4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</row>
    <row r="557" spans="1:40" ht="14.4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</row>
    <row r="558" spans="1:40" ht="14.4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</row>
    <row r="559" spans="1:40" ht="14.4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</row>
    <row r="560" spans="1:40" ht="14.4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</row>
    <row r="561" spans="1:40" ht="14.4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</row>
    <row r="562" spans="1:40" ht="14.4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</row>
    <row r="563" spans="1:40" ht="14.4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</row>
    <row r="564" spans="1:40" ht="14.4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</row>
    <row r="565" spans="1:40" ht="14.4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</row>
    <row r="566" spans="1:40" ht="14.4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</row>
    <row r="567" spans="1:40" ht="14.4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</row>
    <row r="568" spans="1:40" ht="14.4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</row>
    <row r="569" spans="1:40" ht="14.4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</row>
    <row r="570" spans="1:40" ht="14.4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</row>
    <row r="571" spans="1:40" ht="14.4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</row>
    <row r="572" spans="1:40" ht="14.4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</row>
    <row r="573" spans="1:40" ht="14.4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</row>
    <row r="574" spans="1:40" ht="14.4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</row>
    <row r="575" spans="1:40" ht="14.4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</row>
    <row r="576" spans="1:40" ht="14.4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</row>
    <row r="577" spans="1:40" ht="14.4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</row>
    <row r="578" spans="1:40" ht="14.4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</row>
    <row r="579" spans="1:40" ht="14.4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</row>
    <row r="580" spans="1:40" ht="14.4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</row>
    <row r="581" spans="1:40" ht="14.4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</row>
    <row r="582" spans="1:40" ht="14.4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</row>
    <row r="583" spans="1:40" ht="14.4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</row>
    <row r="584" spans="1:40" ht="14.4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</row>
    <row r="585" spans="1:40" ht="14.4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</row>
    <row r="586" spans="1:40" ht="14.4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</row>
    <row r="587" spans="1:40" ht="14.4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</row>
    <row r="588" spans="1:40" ht="14.4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</row>
    <row r="589" spans="1:40" ht="14.4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</row>
    <row r="590" spans="1:40" ht="14.4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</row>
    <row r="591" spans="1:40" ht="14.4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</row>
    <row r="592" spans="1:40" ht="14.4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</row>
    <row r="593" spans="1:40" ht="14.4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</row>
    <row r="594" spans="1:40" ht="14.4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</row>
    <row r="595" spans="1:40" ht="14.4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</row>
    <row r="596" spans="1:40" ht="14.4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</row>
    <row r="597" spans="1:40" ht="14.4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</row>
    <row r="598" spans="1:40" ht="14.4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</row>
    <row r="599" spans="1:40" ht="14.4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</row>
    <row r="600" spans="1:40" ht="14.4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</row>
    <row r="601" spans="1:40" ht="14.4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</row>
    <row r="602" spans="1:40" ht="14.4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</row>
    <row r="603" spans="1:40" ht="14.4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</row>
    <row r="604" spans="1:40" ht="14.4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</row>
    <row r="605" spans="1:40" ht="14.4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</row>
    <row r="606" spans="1:40" ht="14.4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</row>
    <row r="607" spans="1:40" ht="14.4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</row>
    <row r="608" spans="1:40" ht="14.4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</row>
    <row r="609" spans="1:40" ht="14.4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</row>
    <row r="610" spans="1:40" ht="14.4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</row>
    <row r="611" spans="1:40" ht="14.4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</row>
    <row r="612" spans="1:40" ht="14.4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</row>
    <row r="613" spans="1:40" ht="14.4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</row>
    <row r="614" spans="1:40" ht="14.4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</row>
    <row r="615" spans="1:40" ht="14.4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</row>
    <row r="616" spans="1:40" ht="14.4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</row>
    <row r="617" spans="1:40" ht="14.4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</row>
    <row r="618" spans="1:40" ht="14.4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</row>
    <row r="619" spans="1:40" ht="14.4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</row>
    <row r="620" spans="1:40" ht="14.4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</row>
    <row r="621" spans="1:40" ht="14.4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</row>
    <row r="622" spans="1:40" ht="14.4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</row>
    <row r="623" spans="1:40" ht="14.4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</row>
    <row r="624" spans="1:40" ht="14.4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</row>
    <row r="625" spans="1:40" ht="14.4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</row>
    <row r="626" spans="1:40" ht="14.4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</row>
    <row r="627" spans="1:40" ht="14.4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</row>
    <row r="628" spans="1:40" ht="14.4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</row>
    <row r="629" spans="1:40" ht="14.4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</row>
    <row r="630" spans="1:40" ht="14.4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</row>
    <row r="631" spans="1:40" ht="14.4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</row>
    <row r="632" spans="1:40" ht="14.4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</row>
    <row r="633" spans="1:40" ht="14.4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</row>
    <row r="634" spans="1:40" ht="14.4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</row>
    <row r="635" spans="1:40" ht="14.4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</row>
    <row r="636" spans="1:40" ht="14.4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</row>
    <row r="637" spans="1:40" ht="14.4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  <c r="AK637" s="80"/>
      <c r="AL637" s="80"/>
      <c r="AM637" s="80"/>
      <c r="AN637" s="80"/>
    </row>
    <row r="638" spans="1:40" ht="14.4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  <c r="AK638" s="80"/>
      <c r="AL638" s="80"/>
      <c r="AM638" s="80"/>
      <c r="AN638" s="80"/>
    </row>
    <row r="639" spans="1:40" ht="14.4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  <c r="AK639" s="80"/>
      <c r="AL639" s="80"/>
      <c r="AM639" s="80"/>
      <c r="AN639" s="80"/>
    </row>
    <row r="640" spans="1:40" ht="14.4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  <c r="AK640" s="80"/>
      <c r="AL640" s="80"/>
      <c r="AM640" s="80"/>
      <c r="AN640" s="80"/>
    </row>
    <row r="641" spans="1:40" ht="14.4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  <c r="AK641" s="80"/>
      <c r="AL641" s="80"/>
      <c r="AM641" s="80"/>
      <c r="AN641" s="80"/>
    </row>
    <row r="642" spans="1:40" ht="14.4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  <c r="AK642" s="80"/>
      <c r="AL642" s="80"/>
      <c r="AM642" s="80"/>
      <c r="AN642" s="80"/>
    </row>
    <row r="643" spans="1:40" ht="14.4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</row>
    <row r="644" spans="1:40" ht="14.4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</row>
    <row r="645" spans="1:40" ht="14.4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</row>
    <row r="646" spans="1:40" ht="14.4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</row>
    <row r="647" spans="1:40" ht="14.4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  <c r="AK647" s="80"/>
      <c r="AL647" s="80"/>
      <c r="AM647" s="80"/>
      <c r="AN647" s="80"/>
    </row>
    <row r="648" spans="1:40" ht="14.4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  <c r="AK648" s="80"/>
      <c r="AL648" s="80"/>
      <c r="AM648" s="80"/>
      <c r="AN648" s="80"/>
    </row>
    <row r="649" spans="1:40" ht="14.4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  <c r="AK649" s="80"/>
      <c r="AL649" s="80"/>
      <c r="AM649" s="80"/>
      <c r="AN649" s="80"/>
    </row>
    <row r="650" spans="1:40" ht="14.4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  <c r="AK650" s="80"/>
      <c r="AL650" s="80"/>
      <c r="AM650" s="80"/>
      <c r="AN650" s="80"/>
    </row>
    <row r="651" spans="1:40" ht="14.4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</row>
    <row r="652" spans="1:40" ht="14.4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  <c r="AK652" s="80"/>
      <c r="AL652" s="80"/>
      <c r="AM652" s="80"/>
      <c r="AN652" s="80"/>
    </row>
    <row r="653" spans="1:40" ht="14.4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  <c r="AK653" s="80"/>
      <c r="AL653" s="80"/>
      <c r="AM653" s="80"/>
      <c r="AN653" s="80"/>
    </row>
    <row r="654" spans="1:40" ht="14.4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  <c r="AK654" s="80"/>
      <c r="AL654" s="80"/>
      <c r="AM654" s="80"/>
      <c r="AN654" s="80"/>
    </row>
    <row r="655" spans="1:40" ht="14.4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  <c r="AK655" s="80"/>
      <c r="AL655" s="80"/>
      <c r="AM655" s="80"/>
      <c r="AN655" s="80"/>
    </row>
    <row r="656" spans="1:40" ht="14.4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</row>
    <row r="657" spans="1:40" ht="14.4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  <c r="AK657" s="80"/>
      <c r="AL657" s="80"/>
      <c r="AM657" s="80"/>
      <c r="AN657" s="80"/>
    </row>
    <row r="658" spans="1:40" ht="14.4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  <c r="AK658" s="80"/>
      <c r="AL658" s="80"/>
      <c r="AM658" s="80"/>
      <c r="AN658" s="80"/>
    </row>
    <row r="659" spans="1:40" ht="14.4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  <c r="AK659" s="80"/>
      <c r="AL659" s="80"/>
      <c r="AM659" s="80"/>
      <c r="AN659" s="80"/>
    </row>
    <row r="660" spans="1:40" ht="14.4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  <c r="AK660" s="80"/>
      <c r="AL660" s="80"/>
      <c r="AM660" s="80"/>
      <c r="AN660" s="80"/>
    </row>
    <row r="661" spans="1:40" ht="14.4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  <c r="AK661" s="80"/>
      <c r="AL661" s="80"/>
      <c r="AM661" s="80"/>
      <c r="AN661" s="80"/>
    </row>
    <row r="662" spans="1:40" ht="14.4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</row>
    <row r="663" spans="1:40" ht="14.4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  <c r="AK663" s="80"/>
      <c r="AL663" s="80"/>
      <c r="AM663" s="80"/>
      <c r="AN663" s="80"/>
    </row>
    <row r="664" spans="1:40" ht="14.4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  <c r="AK664" s="80"/>
      <c r="AL664" s="80"/>
      <c r="AM664" s="80"/>
      <c r="AN664" s="80"/>
    </row>
    <row r="665" spans="1:40" ht="14.4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</row>
    <row r="666" spans="1:40" ht="14.4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</row>
    <row r="667" spans="1:40" ht="14.4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  <c r="AK667" s="80"/>
      <c r="AL667" s="80"/>
      <c r="AM667" s="80"/>
      <c r="AN667" s="80"/>
    </row>
    <row r="668" spans="1:40" ht="14.4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</row>
    <row r="669" spans="1:40" ht="14.4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  <c r="AK669" s="80"/>
      <c r="AL669" s="80"/>
      <c r="AM669" s="80"/>
      <c r="AN669" s="80"/>
    </row>
    <row r="670" spans="1:40" ht="14.4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</row>
    <row r="671" spans="1:40" ht="14.4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</row>
    <row r="672" spans="1:40" ht="14.4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</row>
    <row r="673" spans="1:40" ht="14.4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</row>
    <row r="674" spans="1:40" ht="14.4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  <c r="AK674" s="80"/>
      <c r="AL674" s="80"/>
      <c r="AM674" s="80"/>
      <c r="AN674" s="80"/>
    </row>
    <row r="675" spans="1:40" ht="14.4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  <c r="AK675" s="80"/>
      <c r="AL675" s="80"/>
      <c r="AM675" s="80"/>
      <c r="AN675" s="80"/>
    </row>
    <row r="676" spans="1:40" ht="14.4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</row>
    <row r="677" spans="1:40" ht="14.4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  <c r="AK677" s="80"/>
      <c r="AL677" s="80"/>
      <c r="AM677" s="80"/>
      <c r="AN677" s="80"/>
    </row>
    <row r="678" spans="1:40" ht="14.4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  <c r="AK678" s="80"/>
      <c r="AL678" s="80"/>
      <c r="AM678" s="80"/>
      <c r="AN678" s="80"/>
    </row>
    <row r="679" spans="1:40" ht="14.4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  <c r="AK679" s="80"/>
      <c r="AL679" s="80"/>
      <c r="AM679" s="80"/>
      <c r="AN679" s="80"/>
    </row>
    <row r="680" spans="1:40" ht="14.4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0"/>
      <c r="AF680" s="80"/>
      <c r="AG680" s="80"/>
      <c r="AH680" s="80"/>
      <c r="AI680" s="80"/>
      <c r="AJ680" s="80"/>
      <c r="AK680" s="80"/>
      <c r="AL680" s="80"/>
      <c r="AM680" s="80"/>
      <c r="AN680" s="80"/>
    </row>
    <row r="681" spans="1:40" ht="14.4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</row>
    <row r="682" spans="1:40" ht="14.4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  <c r="AE682" s="80"/>
      <c r="AF682" s="80"/>
      <c r="AG682" s="80"/>
      <c r="AH682" s="80"/>
      <c r="AI682" s="80"/>
      <c r="AJ682" s="80"/>
      <c r="AK682" s="80"/>
      <c r="AL682" s="80"/>
      <c r="AM682" s="80"/>
      <c r="AN682" s="80"/>
    </row>
    <row r="683" spans="1:40" ht="14.4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  <c r="AE683" s="80"/>
      <c r="AF683" s="80"/>
      <c r="AG683" s="80"/>
      <c r="AH683" s="80"/>
      <c r="AI683" s="80"/>
      <c r="AJ683" s="80"/>
      <c r="AK683" s="80"/>
      <c r="AL683" s="80"/>
      <c r="AM683" s="80"/>
      <c r="AN683" s="80"/>
    </row>
    <row r="684" spans="1:40" ht="14.4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  <c r="AE684" s="80"/>
      <c r="AF684" s="80"/>
      <c r="AG684" s="80"/>
      <c r="AH684" s="80"/>
      <c r="AI684" s="80"/>
      <c r="AJ684" s="80"/>
      <c r="AK684" s="80"/>
      <c r="AL684" s="80"/>
      <c r="AM684" s="80"/>
      <c r="AN684" s="80"/>
    </row>
    <row r="685" spans="1:40" ht="14.4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  <c r="AE685" s="80"/>
      <c r="AF685" s="80"/>
      <c r="AG685" s="80"/>
      <c r="AH685" s="80"/>
      <c r="AI685" s="80"/>
      <c r="AJ685" s="80"/>
      <c r="AK685" s="80"/>
      <c r="AL685" s="80"/>
      <c r="AM685" s="80"/>
      <c r="AN685" s="80"/>
    </row>
    <row r="686" spans="1:40" ht="14.4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  <c r="AE686" s="80"/>
      <c r="AF686" s="80"/>
      <c r="AG686" s="80"/>
      <c r="AH686" s="80"/>
      <c r="AI686" s="80"/>
      <c r="AJ686" s="80"/>
      <c r="AK686" s="80"/>
      <c r="AL686" s="80"/>
      <c r="AM686" s="80"/>
      <c r="AN686" s="80"/>
    </row>
    <row r="687" spans="1:40" ht="14.4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</row>
    <row r="688" spans="1:40" ht="14.4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</row>
    <row r="689" spans="1:40" ht="14.4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  <c r="AE689" s="80"/>
      <c r="AF689" s="80"/>
      <c r="AG689" s="80"/>
      <c r="AH689" s="80"/>
      <c r="AI689" s="80"/>
      <c r="AJ689" s="80"/>
      <c r="AK689" s="80"/>
      <c r="AL689" s="80"/>
      <c r="AM689" s="80"/>
      <c r="AN689" s="80"/>
    </row>
    <row r="690" spans="1:40" ht="14.4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0"/>
      <c r="AF690" s="80"/>
      <c r="AG690" s="80"/>
      <c r="AH690" s="80"/>
      <c r="AI690" s="80"/>
      <c r="AJ690" s="80"/>
      <c r="AK690" s="80"/>
      <c r="AL690" s="80"/>
      <c r="AM690" s="80"/>
      <c r="AN690" s="80"/>
    </row>
    <row r="691" spans="1:40" ht="14.4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  <c r="AE691" s="80"/>
      <c r="AF691" s="80"/>
      <c r="AG691" s="80"/>
      <c r="AH691" s="80"/>
      <c r="AI691" s="80"/>
      <c r="AJ691" s="80"/>
      <c r="AK691" s="80"/>
      <c r="AL691" s="80"/>
      <c r="AM691" s="80"/>
      <c r="AN691" s="80"/>
    </row>
    <row r="692" spans="1:40" ht="14.4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  <c r="AE692" s="80"/>
      <c r="AF692" s="80"/>
      <c r="AG692" s="80"/>
      <c r="AH692" s="80"/>
      <c r="AI692" s="80"/>
      <c r="AJ692" s="80"/>
      <c r="AK692" s="80"/>
      <c r="AL692" s="80"/>
      <c r="AM692" s="80"/>
      <c r="AN692" s="80"/>
    </row>
    <row r="693" spans="1:40" ht="14.4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  <c r="AE693" s="80"/>
      <c r="AF693" s="80"/>
      <c r="AG693" s="80"/>
      <c r="AH693" s="80"/>
      <c r="AI693" s="80"/>
      <c r="AJ693" s="80"/>
      <c r="AK693" s="80"/>
      <c r="AL693" s="80"/>
      <c r="AM693" s="80"/>
      <c r="AN693" s="80"/>
    </row>
    <row r="694" spans="1:40" ht="14.4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  <c r="AE694" s="80"/>
      <c r="AF694" s="80"/>
      <c r="AG694" s="80"/>
      <c r="AH694" s="80"/>
      <c r="AI694" s="80"/>
      <c r="AJ694" s="80"/>
      <c r="AK694" s="80"/>
      <c r="AL694" s="80"/>
      <c r="AM694" s="80"/>
      <c r="AN694" s="80"/>
    </row>
    <row r="695" spans="1:40" ht="14.4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  <c r="AE695" s="80"/>
      <c r="AF695" s="80"/>
      <c r="AG695" s="80"/>
      <c r="AH695" s="80"/>
      <c r="AI695" s="80"/>
      <c r="AJ695" s="80"/>
      <c r="AK695" s="80"/>
      <c r="AL695" s="80"/>
      <c r="AM695" s="80"/>
      <c r="AN695" s="80"/>
    </row>
    <row r="696" spans="1:40" ht="14.4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</row>
    <row r="697" spans="1:40" ht="14.4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0"/>
      <c r="AF697" s="80"/>
      <c r="AG697" s="80"/>
      <c r="AH697" s="80"/>
      <c r="AI697" s="80"/>
      <c r="AJ697" s="80"/>
      <c r="AK697" s="80"/>
      <c r="AL697" s="80"/>
      <c r="AM697" s="80"/>
      <c r="AN697" s="80"/>
    </row>
    <row r="698" spans="1:40" ht="14.4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0"/>
      <c r="AF698" s="80"/>
      <c r="AG698" s="80"/>
      <c r="AH698" s="80"/>
      <c r="AI698" s="80"/>
      <c r="AJ698" s="80"/>
      <c r="AK698" s="80"/>
      <c r="AL698" s="80"/>
      <c r="AM698" s="80"/>
      <c r="AN698" s="80"/>
    </row>
    <row r="699" spans="1:40" ht="14.4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  <c r="AE699" s="80"/>
      <c r="AF699" s="80"/>
      <c r="AG699" s="80"/>
      <c r="AH699" s="80"/>
      <c r="AI699" s="80"/>
      <c r="AJ699" s="80"/>
      <c r="AK699" s="80"/>
      <c r="AL699" s="80"/>
      <c r="AM699" s="80"/>
      <c r="AN699" s="80"/>
    </row>
    <row r="700" spans="1:40" ht="14.4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  <c r="AK700" s="80"/>
      <c r="AL700" s="80"/>
      <c r="AM700" s="80"/>
      <c r="AN700" s="80"/>
    </row>
    <row r="701" spans="1:40" ht="14.4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0"/>
      <c r="AF701" s="80"/>
      <c r="AG701" s="80"/>
      <c r="AH701" s="80"/>
      <c r="AI701" s="80"/>
      <c r="AJ701" s="80"/>
      <c r="AK701" s="80"/>
      <c r="AL701" s="80"/>
      <c r="AM701" s="80"/>
      <c r="AN701" s="80"/>
    </row>
    <row r="702" spans="1:40" ht="14.4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  <c r="AE702" s="80"/>
      <c r="AF702" s="80"/>
      <c r="AG702" s="80"/>
      <c r="AH702" s="80"/>
      <c r="AI702" s="80"/>
      <c r="AJ702" s="80"/>
      <c r="AK702" s="80"/>
      <c r="AL702" s="80"/>
      <c r="AM702" s="80"/>
      <c r="AN702" s="80"/>
    </row>
    <row r="703" spans="1:40" ht="14.4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0"/>
      <c r="AF703" s="80"/>
      <c r="AG703" s="80"/>
      <c r="AH703" s="80"/>
      <c r="AI703" s="80"/>
      <c r="AJ703" s="80"/>
      <c r="AK703" s="80"/>
      <c r="AL703" s="80"/>
      <c r="AM703" s="80"/>
      <c r="AN703" s="80"/>
    </row>
    <row r="704" spans="1:40" ht="14.4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  <c r="AE704" s="80"/>
      <c r="AF704" s="80"/>
      <c r="AG704" s="80"/>
      <c r="AH704" s="80"/>
      <c r="AI704" s="80"/>
      <c r="AJ704" s="80"/>
      <c r="AK704" s="80"/>
      <c r="AL704" s="80"/>
      <c r="AM704" s="80"/>
      <c r="AN704" s="80"/>
    </row>
    <row r="705" spans="1:40" ht="14.4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  <c r="AE705" s="80"/>
      <c r="AF705" s="80"/>
      <c r="AG705" s="80"/>
      <c r="AH705" s="80"/>
      <c r="AI705" s="80"/>
      <c r="AJ705" s="80"/>
      <c r="AK705" s="80"/>
      <c r="AL705" s="80"/>
      <c r="AM705" s="80"/>
      <c r="AN705" s="80"/>
    </row>
    <row r="706" spans="1:40" ht="14.4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  <c r="AE706" s="80"/>
      <c r="AF706" s="80"/>
      <c r="AG706" s="80"/>
      <c r="AH706" s="80"/>
      <c r="AI706" s="80"/>
      <c r="AJ706" s="80"/>
      <c r="AK706" s="80"/>
      <c r="AL706" s="80"/>
      <c r="AM706" s="80"/>
      <c r="AN706" s="80"/>
    </row>
    <row r="707" spans="1:40" ht="14.4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0"/>
      <c r="AF707" s="80"/>
      <c r="AG707" s="80"/>
      <c r="AH707" s="80"/>
      <c r="AI707" s="80"/>
      <c r="AJ707" s="80"/>
      <c r="AK707" s="80"/>
      <c r="AL707" s="80"/>
      <c r="AM707" s="80"/>
      <c r="AN707" s="80"/>
    </row>
    <row r="708" spans="1:40" ht="14.4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  <c r="AE708" s="80"/>
      <c r="AF708" s="80"/>
      <c r="AG708" s="80"/>
      <c r="AH708" s="80"/>
      <c r="AI708" s="80"/>
      <c r="AJ708" s="80"/>
      <c r="AK708" s="80"/>
      <c r="AL708" s="80"/>
      <c r="AM708" s="80"/>
      <c r="AN708" s="80"/>
    </row>
    <row r="709" spans="1:40" ht="14.4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0"/>
      <c r="AG709" s="80"/>
      <c r="AH709" s="80"/>
      <c r="AI709" s="80"/>
      <c r="AJ709" s="80"/>
      <c r="AK709" s="80"/>
      <c r="AL709" s="80"/>
      <c r="AM709" s="80"/>
      <c r="AN709" s="80"/>
    </row>
    <row r="710" spans="1:40" ht="14.4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</row>
    <row r="711" spans="1:40" ht="14.4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</row>
    <row r="712" spans="1:40" ht="14.4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0"/>
      <c r="AF712" s="80"/>
      <c r="AG712" s="80"/>
      <c r="AH712" s="80"/>
      <c r="AI712" s="80"/>
      <c r="AJ712" s="80"/>
      <c r="AK712" s="80"/>
      <c r="AL712" s="80"/>
      <c r="AM712" s="80"/>
      <c r="AN712" s="80"/>
    </row>
    <row r="713" spans="1:40" ht="14.4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  <c r="AK713" s="80"/>
      <c r="AL713" s="80"/>
      <c r="AM713" s="80"/>
      <c r="AN713" s="80"/>
    </row>
    <row r="714" spans="1:40" ht="14.4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  <c r="AE714" s="80"/>
      <c r="AF714" s="80"/>
      <c r="AG714" s="80"/>
      <c r="AH714" s="80"/>
      <c r="AI714" s="80"/>
      <c r="AJ714" s="80"/>
      <c r="AK714" s="80"/>
      <c r="AL714" s="80"/>
      <c r="AM714" s="80"/>
      <c r="AN714" s="80"/>
    </row>
    <row r="715" spans="1:40" ht="14.4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  <c r="AE715" s="80"/>
      <c r="AF715" s="80"/>
      <c r="AG715" s="80"/>
      <c r="AH715" s="80"/>
      <c r="AI715" s="80"/>
      <c r="AJ715" s="80"/>
      <c r="AK715" s="80"/>
      <c r="AL715" s="80"/>
      <c r="AM715" s="80"/>
      <c r="AN715" s="80"/>
    </row>
    <row r="716" spans="1:40" ht="14.4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  <c r="AE716" s="80"/>
      <c r="AF716" s="80"/>
      <c r="AG716" s="80"/>
      <c r="AH716" s="80"/>
      <c r="AI716" s="80"/>
      <c r="AJ716" s="80"/>
      <c r="AK716" s="80"/>
      <c r="AL716" s="80"/>
      <c r="AM716" s="80"/>
      <c r="AN716" s="80"/>
    </row>
    <row r="717" spans="1:40" ht="14.4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  <c r="AE717" s="80"/>
      <c r="AF717" s="80"/>
      <c r="AG717" s="80"/>
      <c r="AH717" s="80"/>
      <c r="AI717" s="80"/>
      <c r="AJ717" s="80"/>
      <c r="AK717" s="80"/>
      <c r="AL717" s="80"/>
      <c r="AM717" s="80"/>
      <c r="AN717" s="80"/>
    </row>
    <row r="718" spans="1:40" ht="14.4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  <c r="AK718" s="80"/>
      <c r="AL718" s="80"/>
      <c r="AM718" s="80"/>
      <c r="AN718" s="80"/>
    </row>
    <row r="719" spans="1:40" ht="14.4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  <c r="AE719" s="80"/>
      <c r="AF719" s="80"/>
      <c r="AG719" s="80"/>
      <c r="AH719" s="80"/>
      <c r="AI719" s="80"/>
      <c r="AJ719" s="80"/>
      <c r="AK719" s="80"/>
      <c r="AL719" s="80"/>
      <c r="AM719" s="80"/>
      <c r="AN719" s="80"/>
    </row>
    <row r="720" spans="1:40" ht="14.4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  <c r="AE720" s="80"/>
      <c r="AF720" s="80"/>
      <c r="AG720" s="80"/>
      <c r="AH720" s="80"/>
      <c r="AI720" s="80"/>
      <c r="AJ720" s="80"/>
      <c r="AK720" s="80"/>
      <c r="AL720" s="80"/>
      <c r="AM720" s="80"/>
      <c r="AN720" s="80"/>
    </row>
    <row r="721" spans="1:40" ht="14.4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  <c r="AE721" s="80"/>
      <c r="AF721" s="80"/>
      <c r="AG721" s="80"/>
      <c r="AH721" s="80"/>
      <c r="AI721" s="80"/>
      <c r="AJ721" s="80"/>
      <c r="AK721" s="80"/>
      <c r="AL721" s="80"/>
      <c r="AM721" s="80"/>
      <c r="AN721" s="80"/>
    </row>
    <row r="722" spans="1:40" ht="14.4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0"/>
      <c r="AF722" s="80"/>
      <c r="AG722" s="80"/>
      <c r="AH722" s="80"/>
      <c r="AI722" s="80"/>
      <c r="AJ722" s="80"/>
      <c r="AK722" s="80"/>
      <c r="AL722" s="80"/>
      <c r="AM722" s="80"/>
      <c r="AN722" s="80"/>
    </row>
    <row r="723" spans="1:40" ht="14.4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  <c r="AE723" s="80"/>
      <c r="AF723" s="80"/>
      <c r="AG723" s="80"/>
      <c r="AH723" s="80"/>
      <c r="AI723" s="80"/>
      <c r="AJ723" s="80"/>
      <c r="AK723" s="80"/>
      <c r="AL723" s="80"/>
      <c r="AM723" s="80"/>
      <c r="AN723" s="80"/>
    </row>
    <row r="724" spans="1:40" ht="14.4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  <c r="AE724" s="80"/>
      <c r="AF724" s="80"/>
      <c r="AG724" s="80"/>
      <c r="AH724" s="80"/>
      <c r="AI724" s="80"/>
      <c r="AJ724" s="80"/>
      <c r="AK724" s="80"/>
      <c r="AL724" s="80"/>
      <c r="AM724" s="80"/>
      <c r="AN724" s="80"/>
    </row>
    <row r="725" spans="1:40" ht="14.4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  <c r="AE725" s="80"/>
      <c r="AF725" s="80"/>
      <c r="AG725" s="80"/>
      <c r="AH725" s="80"/>
      <c r="AI725" s="80"/>
      <c r="AJ725" s="80"/>
      <c r="AK725" s="80"/>
      <c r="AL725" s="80"/>
      <c r="AM725" s="80"/>
      <c r="AN725" s="80"/>
    </row>
    <row r="726" spans="1:40" ht="14.4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</row>
    <row r="727" spans="1:40" ht="14.4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0"/>
      <c r="AF727" s="80"/>
      <c r="AG727" s="80"/>
      <c r="AH727" s="80"/>
      <c r="AI727" s="80"/>
      <c r="AJ727" s="80"/>
      <c r="AK727" s="80"/>
      <c r="AL727" s="80"/>
      <c r="AM727" s="80"/>
      <c r="AN727" s="80"/>
    </row>
    <row r="728" spans="1:40" ht="14.4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0"/>
      <c r="AF728" s="80"/>
      <c r="AG728" s="80"/>
      <c r="AH728" s="80"/>
      <c r="AI728" s="80"/>
      <c r="AJ728" s="80"/>
      <c r="AK728" s="80"/>
      <c r="AL728" s="80"/>
      <c r="AM728" s="80"/>
      <c r="AN728" s="80"/>
    </row>
    <row r="729" spans="1:40" ht="14.4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0"/>
      <c r="AF729" s="80"/>
      <c r="AG729" s="80"/>
      <c r="AH729" s="80"/>
      <c r="AI729" s="80"/>
      <c r="AJ729" s="80"/>
      <c r="AK729" s="80"/>
      <c r="AL729" s="80"/>
      <c r="AM729" s="80"/>
      <c r="AN729" s="80"/>
    </row>
    <row r="730" spans="1:40" ht="14.4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  <c r="AE730" s="80"/>
      <c r="AF730" s="80"/>
      <c r="AG730" s="80"/>
      <c r="AH730" s="80"/>
      <c r="AI730" s="80"/>
      <c r="AJ730" s="80"/>
      <c r="AK730" s="80"/>
      <c r="AL730" s="80"/>
      <c r="AM730" s="80"/>
      <c r="AN730" s="80"/>
    </row>
    <row r="731" spans="1:40" ht="14.4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0"/>
      <c r="AF731" s="80"/>
      <c r="AG731" s="80"/>
      <c r="AH731" s="80"/>
      <c r="AI731" s="80"/>
      <c r="AJ731" s="80"/>
      <c r="AK731" s="80"/>
      <c r="AL731" s="80"/>
      <c r="AM731" s="80"/>
      <c r="AN731" s="80"/>
    </row>
    <row r="732" spans="1:40" ht="14.4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</row>
    <row r="733" spans="1:40" ht="14.4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  <c r="AE733" s="80"/>
      <c r="AF733" s="80"/>
      <c r="AG733" s="80"/>
      <c r="AH733" s="80"/>
      <c r="AI733" s="80"/>
      <c r="AJ733" s="80"/>
      <c r="AK733" s="80"/>
      <c r="AL733" s="80"/>
      <c r="AM733" s="80"/>
      <c r="AN733" s="80"/>
    </row>
    <row r="734" spans="1:40" ht="14.4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  <c r="AE734" s="80"/>
      <c r="AF734" s="80"/>
      <c r="AG734" s="80"/>
      <c r="AH734" s="80"/>
      <c r="AI734" s="80"/>
      <c r="AJ734" s="80"/>
      <c r="AK734" s="80"/>
      <c r="AL734" s="80"/>
      <c r="AM734" s="80"/>
      <c r="AN734" s="80"/>
    </row>
    <row r="735" spans="1:40" ht="14.4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  <c r="AE735" s="80"/>
      <c r="AF735" s="80"/>
      <c r="AG735" s="80"/>
      <c r="AH735" s="80"/>
      <c r="AI735" s="80"/>
      <c r="AJ735" s="80"/>
      <c r="AK735" s="80"/>
      <c r="AL735" s="80"/>
      <c r="AM735" s="80"/>
      <c r="AN735" s="80"/>
    </row>
    <row r="736" spans="1:40" ht="14.4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  <c r="AE736" s="80"/>
      <c r="AF736" s="80"/>
      <c r="AG736" s="80"/>
      <c r="AH736" s="80"/>
      <c r="AI736" s="80"/>
      <c r="AJ736" s="80"/>
      <c r="AK736" s="80"/>
      <c r="AL736" s="80"/>
      <c r="AM736" s="80"/>
      <c r="AN736" s="80"/>
    </row>
    <row r="737" spans="1:40" ht="14.4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  <c r="AE737" s="80"/>
      <c r="AF737" s="80"/>
      <c r="AG737" s="80"/>
      <c r="AH737" s="80"/>
      <c r="AI737" s="80"/>
      <c r="AJ737" s="80"/>
      <c r="AK737" s="80"/>
      <c r="AL737" s="80"/>
      <c r="AM737" s="80"/>
      <c r="AN737" s="80"/>
    </row>
    <row r="738" spans="1:40" ht="14.4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  <c r="AE738" s="80"/>
      <c r="AF738" s="80"/>
      <c r="AG738" s="80"/>
      <c r="AH738" s="80"/>
      <c r="AI738" s="80"/>
      <c r="AJ738" s="80"/>
      <c r="AK738" s="80"/>
      <c r="AL738" s="80"/>
      <c r="AM738" s="80"/>
      <c r="AN738" s="80"/>
    </row>
    <row r="739" spans="1:40" ht="14.4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  <c r="AK739" s="80"/>
      <c r="AL739" s="80"/>
      <c r="AM739" s="80"/>
      <c r="AN739" s="80"/>
    </row>
    <row r="740" spans="1:40" ht="14.4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  <c r="AE740" s="80"/>
      <c r="AF740" s="80"/>
      <c r="AG740" s="80"/>
      <c r="AH740" s="80"/>
      <c r="AI740" s="80"/>
      <c r="AJ740" s="80"/>
      <c r="AK740" s="80"/>
      <c r="AL740" s="80"/>
      <c r="AM740" s="80"/>
      <c r="AN740" s="80"/>
    </row>
    <row r="741" spans="1:40" ht="14.4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</row>
    <row r="742" spans="1:40" ht="14.4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  <c r="AE742" s="80"/>
      <c r="AF742" s="80"/>
      <c r="AG742" s="80"/>
      <c r="AH742" s="80"/>
      <c r="AI742" s="80"/>
      <c r="AJ742" s="80"/>
      <c r="AK742" s="80"/>
      <c r="AL742" s="80"/>
      <c r="AM742" s="80"/>
      <c r="AN742" s="80"/>
    </row>
    <row r="743" spans="1:40" ht="14.4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  <c r="AE743" s="80"/>
      <c r="AF743" s="80"/>
      <c r="AG743" s="80"/>
      <c r="AH743" s="80"/>
      <c r="AI743" s="80"/>
      <c r="AJ743" s="80"/>
      <c r="AK743" s="80"/>
      <c r="AL743" s="80"/>
      <c r="AM743" s="80"/>
      <c r="AN743" s="80"/>
    </row>
    <row r="744" spans="1:40" ht="14.4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  <c r="AE744" s="80"/>
      <c r="AF744" s="80"/>
      <c r="AG744" s="80"/>
      <c r="AH744" s="80"/>
      <c r="AI744" s="80"/>
      <c r="AJ744" s="80"/>
      <c r="AK744" s="80"/>
      <c r="AL744" s="80"/>
      <c r="AM744" s="80"/>
      <c r="AN744" s="80"/>
    </row>
    <row r="745" spans="1:40" ht="14.4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  <c r="AE745" s="80"/>
      <c r="AF745" s="80"/>
      <c r="AG745" s="80"/>
      <c r="AH745" s="80"/>
      <c r="AI745" s="80"/>
      <c r="AJ745" s="80"/>
      <c r="AK745" s="80"/>
      <c r="AL745" s="80"/>
      <c r="AM745" s="80"/>
      <c r="AN745" s="80"/>
    </row>
    <row r="746" spans="1:40" ht="14.4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  <c r="AE746" s="80"/>
      <c r="AF746" s="80"/>
      <c r="AG746" s="80"/>
      <c r="AH746" s="80"/>
      <c r="AI746" s="80"/>
      <c r="AJ746" s="80"/>
      <c r="AK746" s="80"/>
      <c r="AL746" s="80"/>
      <c r="AM746" s="80"/>
      <c r="AN746" s="80"/>
    </row>
    <row r="747" spans="1:40" ht="14.4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  <c r="AE747" s="80"/>
      <c r="AF747" s="80"/>
      <c r="AG747" s="80"/>
      <c r="AH747" s="80"/>
      <c r="AI747" s="80"/>
      <c r="AJ747" s="80"/>
      <c r="AK747" s="80"/>
      <c r="AL747" s="80"/>
      <c r="AM747" s="80"/>
      <c r="AN747" s="80"/>
    </row>
    <row r="748" spans="1:40" ht="14.4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  <c r="AE748" s="80"/>
      <c r="AF748" s="80"/>
      <c r="AG748" s="80"/>
      <c r="AH748" s="80"/>
      <c r="AI748" s="80"/>
      <c r="AJ748" s="80"/>
      <c r="AK748" s="80"/>
      <c r="AL748" s="80"/>
      <c r="AM748" s="80"/>
      <c r="AN748" s="80"/>
    </row>
    <row r="749" spans="1:40" ht="14.4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  <c r="AE749" s="80"/>
      <c r="AF749" s="80"/>
      <c r="AG749" s="80"/>
      <c r="AH749" s="80"/>
      <c r="AI749" s="80"/>
      <c r="AJ749" s="80"/>
      <c r="AK749" s="80"/>
      <c r="AL749" s="80"/>
      <c r="AM749" s="80"/>
      <c r="AN749" s="80"/>
    </row>
    <row r="750" spans="1:40" ht="14.4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  <c r="AE750" s="80"/>
      <c r="AF750" s="80"/>
      <c r="AG750" s="80"/>
      <c r="AH750" s="80"/>
      <c r="AI750" s="80"/>
      <c r="AJ750" s="80"/>
      <c r="AK750" s="80"/>
      <c r="AL750" s="80"/>
      <c r="AM750" s="80"/>
      <c r="AN750" s="80"/>
    </row>
    <row r="751" spans="1:40" ht="14.4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  <c r="AE751" s="80"/>
      <c r="AF751" s="80"/>
      <c r="AG751" s="80"/>
      <c r="AH751" s="80"/>
      <c r="AI751" s="80"/>
      <c r="AJ751" s="80"/>
      <c r="AK751" s="80"/>
      <c r="AL751" s="80"/>
      <c r="AM751" s="80"/>
      <c r="AN751" s="80"/>
    </row>
    <row r="752" spans="1:40" ht="14.4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  <c r="AE752" s="80"/>
      <c r="AF752" s="80"/>
      <c r="AG752" s="80"/>
      <c r="AH752" s="80"/>
      <c r="AI752" s="80"/>
      <c r="AJ752" s="80"/>
      <c r="AK752" s="80"/>
      <c r="AL752" s="80"/>
      <c r="AM752" s="80"/>
      <c r="AN752" s="80"/>
    </row>
    <row r="753" spans="1:40" ht="14.4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80"/>
      <c r="AM753" s="80"/>
      <c r="AN753" s="80"/>
    </row>
    <row r="754" spans="1:40" ht="14.4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</row>
    <row r="755" spans="1:40" ht="14.4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  <c r="AE755" s="80"/>
      <c r="AF755" s="80"/>
      <c r="AG755" s="80"/>
      <c r="AH755" s="80"/>
      <c r="AI755" s="80"/>
      <c r="AJ755" s="80"/>
      <c r="AK755" s="80"/>
      <c r="AL755" s="80"/>
      <c r="AM755" s="80"/>
      <c r="AN755" s="80"/>
    </row>
    <row r="756" spans="1:40" ht="14.4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  <c r="AE756" s="80"/>
      <c r="AF756" s="80"/>
      <c r="AG756" s="80"/>
      <c r="AH756" s="80"/>
      <c r="AI756" s="80"/>
      <c r="AJ756" s="80"/>
      <c r="AK756" s="80"/>
      <c r="AL756" s="80"/>
      <c r="AM756" s="80"/>
      <c r="AN756" s="80"/>
    </row>
    <row r="757" spans="1:40" ht="14.4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  <c r="AE757" s="80"/>
      <c r="AF757" s="80"/>
      <c r="AG757" s="80"/>
      <c r="AH757" s="80"/>
      <c r="AI757" s="80"/>
      <c r="AJ757" s="80"/>
      <c r="AK757" s="80"/>
      <c r="AL757" s="80"/>
      <c r="AM757" s="80"/>
      <c r="AN757" s="80"/>
    </row>
    <row r="758" spans="1:40" ht="14.4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  <c r="AE758" s="80"/>
      <c r="AF758" s="80"/>
      <c r="AG758" s="80"/>
      <c r="AH758" s="80"/>
      <c r="AI758" s="80"/>
      <c r="AJ758" s="80"/>
      <c r="AK758" s="80"/>
      <c r="AL758" s="80"/>
      <c r="AM758" s="80"/>
      <c r="AN758" s="80"/>
    </row>
    <row r="759" spans="1:40" ht="14.4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  <c r="AE759" s="80"/>
      <c r="AF759" s="80"/>
      <c r="AG759" s="80"/>
      <c r="AH759" s="80"/>
      <c r="AI759" s="80"/>
      <c r="AJ759" s="80"/>
      <c r="AK759" s="80"/>
      <c r="AL759" s="80"/>
      <c r="AM759" s="80"/>
      <c r="AN759" s="80"/>
    </row>
    <row r="760" spans="1:40" ht="14.4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  <c r="AE760" s="80"/>
      <c r="AF760" s="80"/>
      <c r="AG760" s="80"/>
      <c r="AH760" s="80"/>
      <c r="AI760" s="80"/>
      <c r="AJ760" s="80"/>
      <c r="AK760" s="80"/>
      <c r="AL760" s="80"/>
      <c r="AM760" s="80"/>
      <c r="AN760" s="80"/>
    </row>
    <row r="761" spans="1:40" ht="14.4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  <c r="AE761" s="80"/>
      <c r="AF761" s="80"/>
      <c r="AG761" s="80"/>
      <c r="AH761" s="80"/>
      <c r="AI761" s="80"/>
      <c r="AJ761" s="80"/>
      <c r="AK761" s="80"/>
      <c r="AL761" s="80"/>
      <c r="AM761" s="80"/>
      <c r="AN761" s="80"/>
    </row>
    <row r="762" spans="1:40" ht="14.4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  <c r="AE762" s="80"/>
      <c r="AF762" s="80"/>
      <c r="AG762" s="80"/>
      <c r="AH762" s="80"/>
      <c r="AI762" s="80"/>
      <c r="AJ762" s="80"/>
      <c r="AK762" s="80"/>
      <c r="AL762" s="80"/>
      <c r="AM762" s="80"/>
      <c r="AN762" s="80"/>
    </row>
    <row r="763" spans="1:40" ht="14.4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  <c r="AE763" s="80"/>
      <c r="AF763" s="80"/>
      <c r="AG763" s="80"/>
      <c r="AH763" s="80"/>
      <c r="AI763" s="80"/>
      <c r="AJ763" s="80"/>
      <c r="AK763" s="80"/>
      <c r="AL763" s="80"/>
      <c r="AM763" s="80"/>
      <c r="AN763" s="80"/>
    </row>
    <row r="764" spans="1:40" ht="14.4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  <c r="AE764" s="80"/>
      <c r="AF764" s="80"/>
      <c r="AG764" s="80"/>
      <c r="AH764" s="80"/>
      <c r="AI764" s="80"/>
      <c r="AJ764" s="80"/>
      <c r="AK764" s="80"/>
      <c r="AL764" s="80"/>
      <c r="AM764" s="80"/>
      <c r="AN764" s="80"/>
    </row>
    <row r="765" spans="1:40" ht="14.4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  <c r="AE765" s="80"/>
      <c r="AF765" s="80"/>
      <c r="AG765" s="80"/>
      <c r="AH765" s="80"/>
      <c r="AI765" s="80"/>
      <c r="AJ765" s="80"/>
      <c r="AK765" s="80"/>
      <c r="AL765" s="80"/>
      <c r="AM765" s="80"/>
      <c r="AN765" s="80"/>
    </row>
    <row r="766" spans="1:40" ht="14.4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  <c r="AE766" s="80"/>
      <c r="AF766" s="80"/>
      <c r="AG766" s="80"/>
      <c r="AH766" s="80"/>
      <c r="AI766" s="80"/>
      <c r="AJ766" s="80"/>
      <c r="AK766" s="80"/>
      <c r="AL766" s="80"/>
      <c r="AM766" s="80"/>
      <c r="AN766" s="80"/>
    </row>
    <row r="767" spans="1:40" ht="14.4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  <c r="AE767" s="80"/>
      <c r="AF767" s="80"/>
      <c r="AG767" s="80"/>
      <c r="AH767" s="80"/>
      <c r="AI767" s="80"/>
      <c r="AJ767" s="80"/>
      <c r="AK767" s="80"/>
      <c r="AL767" s="80"/>
      <c r="AM767" s="80"/>
      <c r="AN767" s="80"/>
    </row>
    <row r="768" spans="1:40" ht="14.4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  <c r="AE768" s="80"/>
      <c r="AF768" s="80"/>
      <c r="AG768" s="80"/>
      <c r="AH768" s="80"/>
      <c r="AI768" s="80"/>
      <c r="AJ768" s="80"/>
      <c r="AK768" s="80"/>
      <c r="AL768" s="80"/>
      <c r="AM768" s="80"/>
      <c r="AN768" s="80"/>
    </row>
    <row r="769" spans="1:40" ht="14.4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  <c r="AE769" s="80"/>
      <c r="AF769" s="80"/>
      <c r="AG769" s="80"/>
      <c r="AH769" s="80"/>
      <c r="AI769" s="80"/>
      <c r="AJ769" s="80"/>
      <c r="AK769" s="80"/>
      <c r="AL769" s="80"/>
      <c r="AM769" s="80"/>
      <c r="AN769" s="80"/>
    </row>
    <row r="770" spans="1:40" ht="14.4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  <c r="AE770" s="80"/>
      <c r="AF770" s="80"/>
      <c r="AG770" s="80"/>
      <c r="AH770" s="80"/>
      <c r="AI770" s="80"/>
      <c r="AJ770" s="80"/>
      <c r="AK770" s="80"/>
      <c r="AL770" s="80"/>
      <c r="AM770" s="80"/>
      <c r="AN770" s="80"/>
    </row>
    <row r="771" spans="1:40" ht="14.4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  <c r="AE771" s="80"/>
      <c r="AF771" s="80"/>
      <c r="AG771" s="80"/>
      <c r="AH771" s="80"/>
      <c r="AI771" s="80"/>
      <c r="AJ771" s="80"/>
      <c r="AK771" s="80"/>
      <c r="AL771" s="80"/>
      <c r="AM771" s="80"/>
      <c r="AN771" s="80"/>
    </row>
    <row r="772" spans="1:40" ht="14.4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  <c r="AE772" s="80"/>
      <c r="AF772" s="80"/>
      <c r="AG772" s="80"/>
      <c r="AH772" s="80"/>
      <c r="AI772" s="80"/>
      <c r="AJ772" s="80"/>
      <c r="AK772" s="80"/>
      <c r="AL772" s="80"/>
      <c r="AM772" s="80"/>
      <c r="AN772" s="80"/>
    </row>
    <row r="773" spans="1:40" ht="14.4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  <c r="AE773" s="80"/>
      <c r="AF773" s="80"/>
      <c r="AG773" s="80"/>
      <c r="AH773" s="80"/>
      <c r="AI773" s="80"/>
      <c r="AJ773" s="80"/>
      <c r="AK773" s="80"/>
      <c r="AL773" s="80"/>
      <c r="AM773" s="80"/>
      <c r="AN773" s="80"/>
    </row>
    <row r="774" spans="1:40" ht="14.4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  <c r="AE774" s="80"/>
      <c r="AF774" s="80"/>
      <c r="AG774" s="80"/>
      <c r="AH774" s="80"/>
      <c r="AI774" s="80"/>
      <c r="AJ774" s="80"/>
      <c r="AK774" s="80"/>
      <c r="AL774" s="80"/>
      <c r="AM774" s="80"/>
      <c r="AN774" s="80"/>
    </row>
    <row r="775" spans="1:40" ht="14.4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  <c r="AE775" s="80"/>
      <c r="AF775" s="80"/>
      <c r="AG775" s="80"/>
      <c r="AH775" s="80"/>
      <c r="AI775" s="80"/>
      <c r="AJ775" s="80"/>
      <c r="AK775" s="80"/>
      <c r="AL775" s="80"/>
      <c r="AM775" s="80"/>
      <c r="AN775" s="80"/>
    </row>
    <row r="776" spans="1:40" ht="14.4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</row>
    <row r="777" spans="1:40" ht="14.4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  <c r="AE777" s="80"/>
      <c r="AF777" s="80"/>
      <c r="AG777" s="80"/>
      <c r="AH777" s="80"/>
      <c r="AI777" s="80"/>
      <c r="AJ777" s="80"/>
      <c r="AK777" s="80"/>
      <c r="AL777" s="80"/>
      <c r="AM777" s="80"/>
      <c r="AN777" s="80"/>
    </row>
    <row r="778" spans="1:40" ht="14.4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  <c r="AE778" s="80"/>
      <c r="AF778" s="80"/>
      <c r="AG778" s="80"/>
      <c r="AH778" s="80"/>
      <c r="AI778" s="80"/>
      <c r="AJ778" s="80"/>
      <c r="AK778" s="80"/>
      <c r="AL778" s="80"/>
      <c r="AM778" s="80"/>
      <c r="AN778" s="80"/>
    </row>
    <row r="779" spans="1:40" ht="14.4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  <c r="AE779" s="80"/>
      <c r="AF779" s="80"/>
      <c r="AG779" s="80"/>
      <c r="AH779" s="80"/>
      <c r="AI779" s="80"/>
      <c r="AJ779" s="80"/>
      <c r="AK779" s="80"/>
      <c r="AL779" s="80"/>
      <c r="AM779" s="80"/>
      <c r="AN779" s="80"/>
    </row>
    <row r="780" spans="1:40" ht="14.4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  <c r="AE780" s="80"/>
      <c r="AF780" s="80"/>
      <c r="AG780" s="80"/>
      <c r="AH780" s="80"/>
      <c r="AI780" s="80"/>
      <c r="AJ780" s="80"/>
      <c r="AK780" s="80"/>
      <c r="AL780" s="80"/>
      <c r="AM780" s="80"/>
      <c r="AN780" s="80"/>
    </row>
    <row r="781" spans="1:40" ht="14.4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  <c r="AE781" s="80"/>
      <c r="AF781" s="80"/>
      <c r="AG781" s="80"/>
      <c r="AH781" s="80"/>
      <c r="AI781" s="80"/>
      <c r="AJ781" s="80"/>
      <c r="AK781" s="80"/>
      <c r="AL781" s="80"/>
      <c r="AM781" s="80"/>
      <c r="AN781" s="80"/>
    </row>
    <row r="782" spans="1:40" ht="14.4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  <c r="AE782" s="80"/>
      <c r="AF782" s="80"/>
      <c r="AG782" s="80"/>
      <c r="AH782" s="80"/>
      <c r="AI782" s="80"/>
      <c r="AJ782" s="80"/>
      <c r="AK782" s="80"/>
      <c r="AL782" s="80"/>
      <c r="AM782" s="80"/>
      <c r="AN782" s="80"/>
    </row>
    <row r="783" spans="1:40" ht="14.4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  <c r="AE783" s="80"/>
      <c r="AF783" s="80"/>
      <c r="AG783" s="80"/>
      <c r="AH783" s="80"/>
      <c r="AI783" s="80"/>
      <c r="AJ783" s="80"/>
      <c r="AK783" s="80"/>
      <c r="AL783" s="80"/>
      <c r="AM783" s="80"/>
      <c r="AN783" s="80"/>
    </row>
    <row r="784" spans="1:40" ht="14.4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  <c r="AE784" s="80"/>
      <c r="AF784" s="80"/>
      <c r="AG784" s="80"/>
      <c r="AH784" s="80"/>
      <c r="AI784" s="80"/>
      <c r="AJ784" s="80"/>
      <c r="AK784" s="80"/>
      <c r="AL784" s="80"/>
      <c r="AM784" s="80"/>
      <c r="AN784" s="80"/>
    </row>
    <row r="785" spans="1:40" ht="14.4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  <c r="AE785" s="80"/>
      <c r="AF785" s="80"/>
      <c r="AG785" s="80"/>
      <c r="AH785" s="80"/>
      <c r="AI785" s="80"/>
      <c r="AJ785" s="80"/>
      <c r="AK785" s="80"/>
      <c r="AL785" s="80"/>
      <c r="AM785" s="80"/>
      <c r="AN785" s="80"/>
    </row>
    <row r="786" spans="1:40" ht="14.4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  <c r="AE786" s="80"/>
      <c r="AF786" s="80"/>
      <c r="AG786" s="80"/>
      <c r="AH786" s="80"/>
      <c r="AI786" s="80"/>
      <c r="AJ786" s="80"/>
      <c r="AK786" s="80"/>
      <c r="AL786" s="80"/>
      <c r="AM786" s="80"/>
      <c r="AN786" s="80"/>
    </row>
    <row r="787" spans="1:40" ht="14.4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  <c r="AE787" s="80"/>
      <c r="AF787" s="80"/>
      <c r="AG787" s="80"/>
      <c r="AH787" s="80"/>
      <c r="AI787" s="80"/>
      <c r="AJ787" s="80"/>
      <c r="AK787" s="80"/>
      <c r="AL787" s="80"/>
      <c r="AM787" s="80"/>
      <c r="AN787" s="80"/>
    </row>
    <row r="788" spans="1:40" ht="14.4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  <c r="AE788" s="80"/>
      <c r="AF788" s="80"/>
      <c r="AG788" s="80"/>
      <c r="AH788" s="80"/>
      <c r="AI788" s="80"/>
      <c r="AJ788" s="80"/>
      <c r="AK788" s="80"/>
      <c r="AL788" s="80"/>
      <c r="AM788" s="80"/>
      <c r="AN788" s="80"/>
    </row>
    <row r="789" spans="1:40" ht="14.4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80"/>
      <c r="AF789" s="80"/>
      <c r="AG789" s="80"/>
      <c r="AH789" s="80"/>
      <c r="AI789" s="80"/>
      <c r="AJ789" s="80"/>
      <c r="AK789" s="80"/>
      <c r="AL789" s="80"/>
      <c r="AM789" s="80"/>
      <c r="AN789" s="80"/>
    </row>
    <row r="790" spans="1:40" ht="14.4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80"/>
      <c r="AF790" s="80"/>
      <c r="AG790" s="80"/>
      <c r="AH790" s="80"/>
      <c r="AI790" s="80"/>
      <c r="AJ790" s="80"/>
      <c r="AK790" s="80"/>
      <c r="AL790" s="80"/>
      <c r="AM790" s="80"/>
      <c r="AN790" s="80"/>
    </row>
    <row r="791" spans="1:40" ht="14.4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80"/>
      <c r="AF791" s="80"/>
      <c r="AG791" s="80"/>
      <c r="AH791" s="80"/>
      <c r="AI791" s="80"/>
      <c r="AJ791" s="80"/>
      <c r="AK791" s="80"/>
      <c r="AL791" s="80"/>
      <c r="AM791" s="80"/>
      <c r="AN791" s="80"/>
    </row>
    <row r="792" spans="1:40" ht="14.4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80"/>
      <c r="AF792" s="80"/>
      <c r="AG792" s="80"/>
      <c r="AH792" s="80"/>
      <c r="AI792" s="80"/>
      <c r="AJ792" s="80"/>
      <c r="AK792" s="80"/>
      <c r="AL792" s="80"/>
      <c r="AM792" s="80"/>
      <c r="AN792" s="80"/>
    </row>
    <row r="793" spans="1:40" ht="14.4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80"/>
      <c r="AF793" s="80"/>
      <c r="AG793" s="80"/>
      <c r="AH793" s="80"/>
      <c r="AI793" s="80"/>
      <c r="AJ793" s="80"/>
      <c r="AK793" s="80"/>
      <c r="AL793" s="80"/>
      <c r="AM793" s="80"/>
      <c r="AN793" s="80"/>
    </row>
    <row r="794" spans="1:40" ht="14.4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80"/>
      <c r="AF794" s="80"/>
      <c r="AG794" s="80"/>
      <c r="AH794" s="80"/>
      <c r="AI794" s="80"/>
      <c r="AJ794" s="80"/>
      <c r="AK794" s="80"/>
      <c r="AL794" s="80"/>
      <c r="AM794" s="80"/>
      <c r="AN794" s="80"/>
    </row>
    <row r="795" spans="1:40" ht="14.4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80"/>
      <c r="AF795" s="80"/>
      <c r="AG795" s="80"/>
      <c r="AH795" s="80"/>
      <c r="AI795" s="80"/>
      <c r="AJ795" s="80"/>
      <c r="AK795" s="80"/>
      <c r="AL795" s="80"/>
      <c r="AM795" s="80"/>
      <c r="AN795" s="80"/>
    </row>
    <row r="796" spans="1:40" ht="14.4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80"/>
      <c r="AF796" s="80"/>
      <c r="AG796" s="80"/>
      <c r="AH796" s="80"/>
      <c r="AI796" s="80"/>
      <c r="AJ796" s="80"/>
      <c r="AK796" s="80"/>
      <c r="AL796" s="80"/>
      <c r="AM796" s="80"/>
      <c r="AN796" s="80"/>
    </row>
    <row r="797" spans="1:40" ht="14.4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80"/>
      <c r="AF797" s="80"/>
      <c r="AG797" s="80"/>
      <c r="AH797" s="80"/>
      <c r="AI797" s="80"/>
      <c r="AJ797" s="80"/>
      <c r="AK797" s="80"/>
      <c r="AL797" s="80"/>
      <c r="AM797" s="80"/>
      <c r="AN797" s="80"/>
    </row>
    <row r="798" spans="1:40" ht="14.4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</row>
    <row r="799" spans="1:40" ht="14.4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80"/>
      <c r="AF799" s="80"/>
      <c r="AG799" s="80"/>
      <c r="AH799" s="80"/>
      <c r="AI799" s="80"/>
      <c r="AJ799" s="80"/>
      <c r="AK799" s="80"/>
      <c r="AL799" s="80"/>
      <c r="AM799" s="80"/>
      <c r="AN799" s="80"/>
    </row>
    <row r="800" spans="1:40" ht="14.4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80"/>
      <c r="AF800" s="80"/>
      <c r="AG800" s="80"/>
      <c r="AH800" s="80"/>
      <c r="AI800" s="80"/>
      <c r="AJ800" s="80"/>
      <c r="AK800" s="80"/>
      <c r="AL800" s="80"/>
      <c r="AM800" s="80"/>
      <c r="AN800" s="80"/>
    </row>
    <row r="801" spans="1:40" ht="14.4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  <c r="AK801" s="80"/>
      <c r="AL801" s="80"/>
      <c r="AM801" s="80"/>
      <c r="AN801" s="80"/>
    </row>
    <row r="802" spans="1:40" ht="14.4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  <c r="AK802" s="80"/>
      <c r="AL802" s="80"/>
      <c r="AM802" s="80"/>
      <c r="AN802" s="80"/>
    </row>
    <row r="803" spans="1:40" ht="14.4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80"/>
      <c r="AF803" s="80"/>
      <c r="AG803" s="80"/>
      <c r="AH803" s="80"/>
      <c r="AI803" s="80"/>
      <c r="AJ803" s="80"/>
      <c r="AK803" s="80"/>
      <c r="AL803" s="80"/>
      <c r="AM803" s="80"/>
      <c r="AN803" s="80"/>
    </row>
    <row r="804" spans="1:40" ht="14.4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80"/>
      <c r="AF804" s="80"/>
      <c r="AG804" s="80"/>
      <c r="AH804" s="80"/>
      <c r="AI804" s="80"/>
      <c r="AJ804" s="80"/>
      <c r="AK804" s="80"/>
      <c r="AL804" s="80"/>
      <c r="AM804" s="80"/>
      <c r="AN804" s="80"/>
    </row>
    <row r="805" spans="1:40" ht="14.4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  <c r="AK805" s="80"/>
      <c r="AL805" s="80"/>
      <c r="AM805" s="80"/>
      <c r="AN805" s="80"/>
    </row>
    <row r="806" spans="1:40" ht="14.4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  <c r="AK806" s="80"/>
      <c r="AL806" s="80"/>
      <c r="AM806" s="80"/>
      <c r="AN806" s="80"/>
    </row>
    <row r="807" spans="1:40" ht="14.4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80"/>
      <c r="AF807" s="80"/>
      <c r="AG807" s="80"/>
      <c r="AH807" s="80"/>
      <c r="AI807" s="80"/>
      <c r="AJ807" s="80"/>
      <c r="AK807" s="80"/>
      <c r="AL807" s="80"/>
      <c r="AM807" s="80"/>
      <c r="AN807" s="80"/>
    </row>
    <row r="808" spans="1:40" ht="14.4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80"/>
      <c r="AF808" s="80"/>
      <c r="AG808" s="80"/>
      <c r="AH808" s="80"/>
      <c r="AI808" s="80"/>
      <c r="AJ808" s="80"/>
      <c r="AK808" s="80"/>
      <c r="AL808" s="80"/>
      <c r="AM808" s="80"/>
      <c r="AN808" s="80"/>
    </row>
    <row r="809" spans="1:40" ht="14.4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80"/>
      <c r="AF809" s="80"/>
      <c r="AG809" s="80"/>
      <c r="AH809" s="80"/>
      <c r="AI809" s="80"/>
      <c r="AJ809" s="80"/>
      <c r="AK809" s="80"/>
      <c r="AL809" s="80"/>
      <c r="AM809" s="80"/>
      <c r="AN809" s="80"/>
    </row>
    <row r="810" spans="1:40" ht="14.4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80"/>
      <c r="AF810" s="80"/>
      <c r="AG810" s="80"/>
      <c r="AH810" s="80"/>
      <c r="AI810" s="80"/>
      <c r="AJ810" s="80"/>
      <c r="AK810" s="80"/>
      <c r="AL810" s="80"/>
      <c r="AM810" s="80"/>
      <c r="AN810" s="80"/>
    </row>
    <row r="811" spans="1:40" ht="14.4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80"/>
      <c r="AF811" s="80"/>
      <c r="AG811" s="80"/>
      <c r="AH811" s="80"/>
      <c r="AI811" s="80"/>
      <c r="AJ811" s="80"/>
      <c r="AK811" s="80"/>
      <c r="AL811" s="80"/>
      <c r="AM811" s="80"/>
      <c r="AN811" s="80"/>
    </row>
    <row r="812" spans="1:40" ht="14.4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80"/>
      <c r="AF812" s="80"/>
      <c r="AG812" s="80"/>
      <c r="AH812" s="80"/>
      <c r="AI812" s="80"/>
      <c r="AJ812" s="80"/>
      <c r="AK812" s="80"/>
      <c r="AL812" s="80"/>
      <c r="AM812" s="80"/>
      <c r="AN812" s="80"/>
    </row>
    <row r="813" spans="1:40" ht="14.4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80"/>
      <c r="AF813" s="80"/>
      <c r="AG813" s="80"/>
      <c r="AH813" s="80"/>
      <c r="AI813" s="80"/>
      <c r="AJ813" s="80"/>
      <c r="AK813" s="80"/>
      <c r="AL813" s="80"/>
      <c r="AM813" s="80"/>
      <c r="AN813" s="80"/>
    </row>
    <row r="814" spans="1:40" ht="14.4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80"/>
      <c r="AF814" s="80"/>
      <c r="AG814" s="80"/>
      <c r="AH814" s="80"/>
      <c r="AI814" s="80"/>
      <c r="AJ814" s="80"/>
      <c r="AK814" s="80"/>
      <c r="AL814" s="80"/>
      <c r="AM814" s="80"/>
      <c r="AN814" s="80"/>
    </row>
    <row r="815" spans="1:40" ht="14.4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80"/>
      <c r="AF815" s="80"/>
      <c r="AG815" s="80"/>
      <c r="AH815" s="80"/>
      <c r="AI815" s="80"/>
      <c r="AJ815" s="80"/>
      <c r="AK815" s="80"/>
      <c r="AL815" s="80"/>
      <c r="AM815" s="80"/>
      <c r="AN815" s="80"/>
    </row>
    <row r="816" spans="1:40" ht="14.4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  <c r="AK816" s="80"/>
      <c r="AL816" s="80"/>
      <c r="AM816" s="80"/>
      <c r="AN816" s="80"/>
    </row>
    <row r="817" spans="1:40" ht="14.4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80"/>
      <c r="AF817" s="80"/>
      <c r="AG817" s="80"/>
      <c r="AH817" s="80"/>
      <c r="AI817" s="80"/>
      <c r="AJ817" s="80"/>
      <c r="AK817" s="80"/>
      <c r="AL817" s="80"/>
      <c r="AM817" s="80"/>
      <c r="AN817" s="80"/>
    </row>
    <row r="818" spans="1:40" ht="14.4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80"/>
      <c r="AF818" s="80"/>
      <c r="AG818" s="80"/>
      <c r="AH818" s="80"/>
      <c r="AI818" s="80"/>
      <c r="AJ818" s="80"/>
      <c r="AK818" s="80"/>
      <c r="AL818" s="80"/>
      <c r="AM818" s="80"/>
      <c r="AN818" s="80"/>
    </row>
    <row r="819" spans="1:40" ht="14.4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80"/>
      <c r="AF819" s="80"/>
      <c r="AG819" s="80"/>
      <c r="AH819" s="80"/>
      <c r="AI819" s="80"/>
      <c r="AJ819" s="80"/>
      <c r="AK819" s="80"/>
      <c r="AL819" s="80"/>
      <c r="AM819" s="80"/>
      <c r="AN819" s="80"/>
    </row>
    <row r="820" spans="1:40" ht="14.4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</row>
    <row r="821" spans="1:40" ht="14.4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80"/>
      <c r="AF821" s="80"/>
      <c r="AG821" s="80"/>
      <c r="AH821" s="80"/>
      <c r="AI821" s="80"/>
      <c r="AJ821" s="80"/>
      <c r="AK821" s="80"/>
      <c r="AL821" s="80"/>
      <c r="AM821" s="80"/>
      <c r="AN821" s="80"/>
    </row>
    <row r="822" spans="1:40" ht="14.4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80"/>
      <c r="AF822" s="80"/>
      <c r="AG822" s="80"/>
      <c r="AH822" s="80"/>
      <c r="AI822" s="80"/>
      <c r="AJ822" s="80"/>
      <c r="AK822" s="80"/>
      <c r="AL822" s="80"/>
      <c r="AM822" s="80"/>
      <c r="AN822" s="80"/>
    </row>
    <row r="823" spans="1:40" ht="14.4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80"/>
      <c r="AF823" s="80"/>
      <c r="AG823" s="80"/>
      <c r="AH823" s="80"/>
      <c r="AI823" s="80"/>
      <c r="AJ823" s="80"/>
      <c r="AK823" s="80"/>
      <c r="AL823" s="80"/>
      <c r="AM823" s="80"/>
      <c r="AN823" s="80"/>
    </row>
    <row r="824" spans="1:40" ht="14.4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80"/>
      <c r="AF824" s="80"/>
      <c r="AG824" s="80"/>
      <c r="AH824" s="80"/>
      <c r="AI824" s="80"/>
      <c r="AJ824" s="80"/>
      <c r="AK824" s="80"/>
      <c r="AL824" s="80"/>
      <c r="AM824" s="80"/>
      <c r="AN824" s="80"/>
    </row>
    <row r="825" spans="1:40" ht="14.4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80"/>
      <c r="AF825" s="80"/>
      <c r="AG825" s="80"/>
      <c r="AH825" s="80"/>
      <c r="AI825" s="80"/>
      <c r="AJ825" s="80"/>
      <c r="AK825" s="80"/>
      <c r="AL825" s="80"/>
      <c r="AM825" s="80"/>
      <c r="AN825" s="80"/>
    </row>
    <row r="826" spans="1:40" ht="14.4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80"/>
      <c r="AF826" s="80"/>
      <c r="AG826" s="80"/>
      <c r="AH826" s="80"/>
      <c r="AI826" s="80"/>
      <c r="AJ826" s="80"/>
      <c r="AK826" s="80"/>
      <c r="AL826" s="80"/>
      <c r="AM826" s="80"/>
      <c r="AN826" s="80"/>
    </row>
    <row r="827" spans="1:40" ht="14.4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80"/>
      <c r="AF827" s="80"/>
      <c r="AG827" s="80"/>
      <c r="AH827" s="80"/>
      <c r="AI827" s="80"/>
      <c r="AJ827" s="80"/>
      <c r="AK827" s="80"/>
      <c r="AL827" s="80"/>
      <c r="AM827" s="80"/>
      <c r="AN827" s="80"/>
    </row>
    <row r="828" spans="1:40" ht="14.4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  <c r="AK828" s="80"/>
      <c r="AL828" s="80"/>
      <c r="AM828" s="80"/>
      <c r="AN828" s="80"/>
    </row>
    <row r="829" spans="1:40" ht="14.4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80"/>
      <c r="AF829" s="80"/>
      <c r="AG829" s="80"/>
      <c r="AH829" s="80"/>
      <c r="AI829" s="80"/>
      <c r="AJ829" s="80"/>
      <c r="AK829" s="80"/>
      <c r="AL829" s="80"/>
      <c r="AM829" s="80"/>
      <c r="AN829" s="80"/>
    </row>
    <row r="830" spans="1:40" ht="14.4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80"/>
      <c r="AF830" s="80"/>
      <c r="AG830" s="80"/>
      <c r="AH830" s="80"/>
      <c r="AI830" s="80"/>
      <c r="AJ830" s="80"/>
      <c r="AK830" s="80"/>
      <c r="AL830" s="80"/>
      <c r="AM830" s="80"/>
      <c r="AN830" s="80"/>
    </row>
    <row r="831" spans="1:40" ht="14.4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80"/>
      <c r="AF831" s="80"/>
      <c r="AG831" s="80"/>
      <c r="AH831" s="80"/>
      <c r="AI831" s="80"/>
      <c r="AJ831" s="80"/>
      <c r="AK831" s="80"/>
      <c r="AL831" s="80"/>
      <c r="AM831" s="80"/>
      <c r="AN831" s="80"/>
    </row>
    <row r="832" spans="1:40" ht="14.4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80"/>
      <c r="AF832" s="80"/>
      <c r="AG832" s="80"/>
      <c r="AH832" s="80"/>
      <c r="AI832" s="80"/>
      <c r="AJ832" s="80"/>
      <c r="AK832" s="80"/>
      <c r="AL832" s="80"/>
      <c r="AM832" s="80"/>
      <c r="AN832" s="80"/>
    </row>
    <row r="833" spans="1:40" ht="14.4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80"/>
      <c r="AF833" s="80"/>
      <c r="AG833" s="80"/>
      <c r="AH833" s="80"/>
      <c r="AI833" s="80"/>
      <c r="AJ833" s="80"/>
      <c r="AK833" s="80"/>
      <c r="AL833" s="80"/>
      <c r="AM833" s="80"/>
      <c r="AN833" s="80"/>
    </row>
    <row r="834" spans="1:40" ht="14.4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  <c r="AK834" s="80"/>
      <c r="AL834" s="80"/>
      <c r="AM834" s="80"/>
      <c r="AN834" s="80"/>
    </row>
    <row r="835" spans="1:40" ht="14.4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  <c r="AK835" s="80"/>
      <c r="AL835" s="80"/>
      <c r="AM835" s="80"/>
      <c r="AN835" s="80"/>
    </row>
    <row r="836" spans="1:40" ht="14.4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80"/>
      <c r="AF836" s="80"/>
      <c r="AG836" s="80"/>
      <c r="AH836" s="80"/>
      <c r="AI836" s="80"/>
      <c r="AJ836" s="80"/>
      <c r="AK836" s="80"/>
      <c r="AL836" s="80"/>
      <c r="AM836" s="80"/>
      <c r="AN836" s="80"/>
    </row>
    <row r="837" spans="1:40" ht="14.4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80"/>
      <c r="AF837" s="80"/>
      <c r="AG837" s="80"/>
      <c r="AH837" s="80"/>
      <c r="AI837" s="80"/>
      <c r="AJ837" s="80"/>
      <c r="AK837" s="80"/>
      <c r="AL837" s="80"/>
      <c r="AM837" s="80"/>
      <c r="AN837" s="80"/>
    </row>
    <row r="838" spans="1:40" ht="14.4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80"/>
      <c r="AF838" s="80"/>
      <c r="AG838" s="80"/>
      <c r="AH838" s="80"/>
      <c r="AI838" s="80"/>
      <c r="AJ838" s="80"/>
      <c r="AK838" s="80"/>
      <c r="AL838" s="80"/>
      <c r="AM838" s="80"/>
      <c r="AN838" s="80"/>
    </row>
    <row r="839" spans="1:40" ht="14.4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80"/>
      <c r="AF839" s="80"/>
      <c r="AG839" s="80"/>
      <c r="AH839" s="80"/>
      <c r="AI839" s="80"/>
      <c r="AJ839" s="80"/>
      <c r="AK839" s="80"/>
      <c r="AL839" s="80"/>
      <c r="AM839" s="80"/>
      <c r="AN839" s="80"/>
    </row>
    <row r="840" spans="1:40" ht="14.4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80"/>
      <c r="AF840" s="80"/>
      <c r="AG840" s="80"/>
      <c r="AH840" s="80"/>
      <c r="AI840" s="80"/>
      <c r="AJ840" s="80"/>
      <c r="AK840" s="80"/>
      <c r="AL840" s="80"/>
      <c r="AM840" s="80"/>
      <c r="AN840" s="80"/>
    </row>
    <row r="841" spans="1:40" ht="14.4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</row>
    <row r="842" spans="1:40" ht="14.4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</row>
    <row r="843" spans="1:40" ht="14.4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80"/>
      <c r="AF843" s="80"/>
      <c r="AG843" s="80"/>
      <c r="AH843" s="80"/>
      <c r="AI843" s="80"/>
      <c r="AJ843" s="80"/>
      <c r="AK843" s="80"/>
      <c r="AL843" s="80"/>
      <c r="AM843" s="80"/>
      <c r="AN843" s="80"/>
    </row>
    <row r="844" spans="1:40" ht="14.4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80"/>
      <c r="AF844" s="80"/>
      <c r="AG844" s="80"/>
      <c r="AH844" s="80"/>
      <c r="AI844" s="80"/>
      <c r="AJ844" s="80"/>
      <c r="AK844" s="80"/>
      <c r="AL844" s="80"/>
      <c r="AM844" s="80"/>
      <c r="AN844" s="80"/>
    </row>
    <row r="845" spans="1:40" ht="14.4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80"/>
      <c r="AF845" s="80"/>
      <c r="AG845" s="80"/>
      <c r="AH845" s="80"/>
      <c r="AI845" s="80"/>
      <c r="AJ845" s="80"/>
      <c r="AK845" s="80"/>
      <c r="AL845" s="80"/>
      <c r="AM845" s="80"/>
      <c r="AN845" s="80"/>
    </row>
    <row r="846" spans="1:40" ht="14.4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80"/>
      <c r="AF846" s="80"/>
      <c r="AG846" s="80"/>
      <c r="AH846" s="80"/>
      <c r="AI846" s="80"/>
      <c r="AJ846" s="80"/>
      <c r="AK846" s="80"/>
      <c r="AL846" s="80"/>
      <c r="AM846" s="80"/>
      <c r="AN846" s="80"/>
    </row>
    <row r="847" spans="1:40" ht="14.4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80"/>
      <c r="AF847" s="80"/>
      <c r="AG847" s="80"/>
      <c r="AH847" s="80"/>
      <c r="AI847" s="80"/>
      <c r="AJ847" s="80"/>
      <c r="AK847" s="80"/>
      <c r="AL847" s="80"/>
      <c r="AM847" s="80"/>
      <c r="AN847" s="80"/>
    </row>
    <row r="848" spans="1:40" ht="14.4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80"/>
      <c r="AF848" s="80"/>
      <c r="AG848" s="80"/>
      <c r="AH848" s="80"/>
      <c r="AI848" s="80"/>
      <c r="AJ848" s="80"/>
      <c r="AK848" s="80"/>
      <c r="AL848" s="80"/>
      <c r="AM848" s="80"/>
      <c r="AN848" s="80"/>
    </row>
    <row r="849" spans="1:40" ht="14.4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80"/>
      <c r="AF849" s="80"/>
      <c r="AG849" s="80"/>
      <c r="AH849" s="80"/>
      <c r="AI849" s="80"/>
      <c r="AJ849" s="80"/>
      <c r="AK849" s="80"/>
      <c r="AL849" s="80"/>
      <c r="AM849" s="80"/>
      <c r="AN849" s="80"/>
    </row>
    <row r="850" spans="1:40" ht="14.4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80"/>
      <c r="AF850" s="80"/>
      <c r="AG850" s="80"/>
      <c r="AH850" s="80"/>
      <c r="AI850" s="80"/>
      <c r="AJ850" s="80"/>
      <c r="AK850" s="80"/>
      <c r="AL850" s="80"/>
      <c r="AM850" s="80"/>
      <c r="AN850" s="80"/>
    </row>
    <row r="851" spans="1:40" ht="14.4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80"/>
      <c r="AF851" s="80"/>
      <c r="AG851" s="80"/>
      <c r="AH851" s="80"/>
      <c r="AI851" s="80"/>
      <c r="AJ851" s="80"/>
      <c r="AK851" s="80"/>
      <c r="AL851" s="80"/>
      <c r="AM851" s="80"/>
      <c r="AN851" s="80"/>
    </row>
    <row r="852" spans="1:40" ht="14.4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80"/>
      <c r="AF852" s="80"/>
      <c r="AG852" s="80"/>
      <c r="AH852" s="80"/>
      <c r="AI852" s="80"/>
      <c r="AJ852" s="80"/>
      <c r="AK852" s="80"/>
      <c r="AL852" s="80"/>
      <c r="AM852" s="80"/>
      <c r="AN852" s="80"/>
    </row>
    <row r="853" spans="1:40" ht="14.4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80"/>
      <c r="AF853" s="80"/>
      <c r="AG853" s="80"/>
      <c r="AH853" s="80"/>
      <c r="AI853" s="80"/>
      <c r="AJ853" s="80"/>
      <c r="AK853" s="80"/>
      <c r="AL853" s="80"/>
      <c r="AM853" s="80"/>
      <c r="AN853" s="80"/>
    </row>
    <row r="854" spans="1:40" ht="14.4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80"/>
      <c r="AF854" s="80"/>
      <c r="AG854" s="80"/>
      <c r="AH854" s="80"/>
      <c r="AI854" s="80"/>
      <c r="AJ854" s="80"/>
      <c r="AK854" s="80"/>
      <c r="AL854" s="80"/>
      <c r="AM854" s="80"/>
      <c r="AN854" s="80"/>
    </row>
    <row r="855" spans="1:40" ht="14.4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80"/>
      <c r="AF855" s="80"/>
      <c r="AG855" s="80"/>
      <c r="AH855" s="80"/>
      <c r="AI855" s="80"/>
      <c r="AJ855" s="80"/>
      <c r="AK855" s="80"/>
      <c r="AL855" s="80"/>
      <c r="AM855" s="80"/>
      <c r="AN855" s="80"/>
    </row>
    <row r="856" spans="1:40" ht="14.4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80"/>
      <c r="AF856" s="80"/>
      <c r="AG856" s="80"/>
      <c r="AH856" s="80"/>
      <c r="AI856" s="80"/>
      <c r="AJ856" s="80"/>
      <c r="AK856" s="80"/>
      <c r="AL856" s="80"/>
      <c r="AM856" s="80"/>
      <c r="AN856" s="80"/>
    </row>
    <row r="857" spans="1:40" ht="14.4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80"/>
      <c r="AF857" s="80"/>
      <c r="AG857" s="80"/>
      <c r="AH857" s="80"/>
      <c r="AI857" s="80"/>
      <c r="AJ857" s="80"/>
      <c r="AK857" s="80"/>
      <c r="AL857" s="80"/>
      <c r="AM857" s="80"/>
      <c r="AN857" s="80"/>
    </row>
    <row r="858" spans="1:40" ht="14.4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/>
      <c r="AH858" s="80"/>
      <c r="AI858" s="80"/>
      <c r="AJ858" s="80"/>
      <c r="AK858" s="80"/>
      <c r="AL858" s="80"/>
      <c r="AM858" s="80"/>
      <c r="AN858" s="80"/>
    </row>
    <row r="859" spans="1:40" ht="14.4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80"/>
      <c r="AF859" s="80"/>
      <c r="AG859" s="80"/>
      <c r="AH859" s="80"/>
      <c r="AI859" s="80"/>
      <c r="AJ859" s="80"/>
      <c r="AK859" s="80"/>
      <c r="AL859" s="80"/>
      <c r="AM859" s="80"/>
      <c r="AN859" s="80"/>
    </row>
    <row r="860" spans="1:40" ht="14.4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80"/>
      <c r="AF860" s="80"/>
      <c r="AG860" s="80"/>
      <c r="AH860" s="80"/>
      <c r="AI860" s="80"/>
      <c r="AJ860" s="80"/>
      <c r="AK860" s="80"/>
      <c r="AL860" s="80"/>
      <c r="AM860" s="80"/>
      <c r="AN860" s="80"/>
    </row>
    <row r="861" spans="1:40" ht="14.4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80"/>
      <c r="AF861" s="80"/>
      <c r="AG861" s="80"/>
      <c r="AH861" s="80"/>
      <c r="AI861" s="80"/>
      <c r="AJ861" s="80"/>
      <c r="AK861" s="80"/>
      <c r="AL861" s="80"/>
      <c r="AM861" s="80"/>
      <c r="AN861" s="80"/>
    </row>
    <row r="862" spans="1:40" ht="14.4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80"/>
      <c r="AF862" s="80"/>
      <c r="AG862" s="80"/>
      <c r="AH862" s="80"/>
      <c r="AI862" s="80"/>
      <c r="AJ862" s="80"/>
      <c r="AK862" s="80"/>
      <c r="AL862" s="80"/>
      <c r="AM862" s="80"/>
      <c r="AN862" s="80"/>
    </row>
    <row r="863" spans="1:40" ht="14.4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80"/>
      <c r="AF863" s="80"/>
      <c r="AG863" s="80"/>
      <c r="AH863" s="80"/>
      <c r="AI863" s="80"/>
      <c r="AJ863" s="80"/>
      <c r="AK863" s="80"/>
      <c r="AL863" s="80"/>
      <c r="AM863" s="80"/>
      <c r="AN863" s="80"/>
    </row>
    <row r="864" spans="1:40" ht="14.4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</row>
    <row r="865" spans="1:40" ht="14.4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80"/>
      <c r="AF865" s="80"/>
      <c r="AG865" s="80"/>
      <c r="AH865" s="80"/>
      <c r="AI865" s="80"/>
      <c r="AJ865" s="80"/>
      <c r="AK865" s="80"/>
      <c r="AL865" s="80"/>
      <c r="AM865" s="80"/>
      <c r="AN865" s="80"/>
    </row>
    <row r="866" spans="1:40" ht="14.4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80"/>
      <c r="AF866" s="80"/>
      <c r="AG866" s="80"/>
      <c r="AH866" s="80"/>
      <c r="AI866" s="80"/>
      <c r="AJ866" s="80"/>
      <c r="AK866" s="80"/>
      <c r="AL866" s="80"/>
      <c r="AM866" s="80"/>
      <c r="AN866" s="80"/>
    </row>
    <row r="867" spans="1:40" ht="14.4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80"/>
      <c r="AF867" s="80"/>
      <c r="AG867" s="80"/>
      <c r="AH867" s="80"/>
      <c r="AI867" s="80"/>
      <c r="AJ867" s="80"/>
      <c r="AK867" s="80"/>
      <c r="AL867" s="80"/>
      <c r="AM867" s="80"/>
      <c r="AN867" s="80"/>
    </row>
    <row r="868" spans="1:40" ht="14.4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80"/>
      <c r="AF868" s="80"/>
      <c r="AG868" s="80"/>
      <c r="AH868" s="80"/>
      <c r="AI868" s="80"/>
      <c r="AJ868" s="80"/>
      <c r="AK868" s="80"/>
      <c r="AL868" s="80"/>
      <c r="AM868" s="80"/>
      <c r="AN868" s="80"/>
    </row>
    <row r="869" spans="1:40" ht="14.4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80"/>
      <c r="AF869" s="80"/>
      <c r="AG869" s="80"/>
      <c r="AH869" s="80"/>
      <c r="AI869" s="80"/>
      <c r="AJ869" s="80"/>
      <c r="AK869" s="80"/>
      <c r="AL869" s="80"/>
      <c r="AM869" s="80"/>
      <c r="AN869" s="80"/>
    </row>
    <row r="870" spans="1:40" ht="14.4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80"/>
      <c r="AF870" s="80"/>
      <c r="AG870" s="80"/>
      <c r="AH870" s="80"/>
      <c r="AI870" s="80"/>
      <c r="AJ870" s="80"/>
      <c r="AK870" s="80"/>
      <c r="AL870" s="80"/>
      <c r="AM870" s="80"/>
      <c r="AN870" s="80"/>
    </row>
    <row r="871" spans="1:40" ht="14.4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80"/>
      <c r="AF871" s="80"/>
      <c r="AG871" s="80"/>
      <c r="AH871" s="80"/>
      <c r="AI871" s="80"/>
      <c r="AJ871" s="80"/>
      <c r="AK871" s="80"/>
      <c r="AL871" s="80"/>
      <c r="AM871" s="80"/>
      <c r="AN871" s="80"/>
    </row>
    <row r="872" spans="1:40" ht="14.4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80"/>
      <c r="AF872" s="80"/>
      <c r="AG872" s="80"/>
      <c r="AH872" s="80"/>
      <c r="AI872" s="80"/>
      <c r="AJ872" s="80"/>
      <c r="AK872" s="80"/>
      <c r="AL872" s="80"/>
      <c r="AM872" s="80"/>
      <c r="AN872" s="80"/>
    </row>
    <row r="873" spans="1:40" ht="14.4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80"/>
      <c r="AF873" s="80"/>
      <c r="AG873" s="80"/>
      <c r="AH873" s="80"/>
      <c r="AI873" s="80"/>
      <c r="AJ873" s="80"/>
      <c r="AK873" s="80"/>
      <c r="AL873" s="80"/>
      <c r="AM873" s="80"/>
      <c r="AN873" s="80"/>
    </row>
    <row r="874" spans="1:40" ht="14.4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80"/>
      <c r="AF874" s="80"/>
      <c r="AG874" s="80"/>
      <c r="AH874" s="80"/>
      <c r="AI874" s="80"/>
      <c r="AJ874" s="80"/>
      <c r="AK874" s="80"/>
      <c r="AL874" s="80"/>
      <c r="AM874" s="80"/>
      <c r="AN874" s="80"/>
    </row>
    <row r="875" spans="1:40" ht="14.4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80"/>
      <c r="AF875" s="80"/>
      <c r="AG875" s="80"/>
      <c r="AH875" s="80"/>
      <c r="AI875" s="80"/>
      <c r="AJ875" s="80"/>
      <c r="AK875" s="80"/>
      <c r="AL875" s="80"/>
      <c r="AM875" s="80"/>
      <c r="AN875" s="80"/>
    </row>
    <row r="876" spans="1:40" ht="14.4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80"/>
      <c r="AF876" s="80"/>
      <c r="AG876" s="80"/>
      <c r="AH876" s="80"/>
      <c r="AI876" s="80"/>
      <c r="AJ876" s="80"/>
      <c r="AK876" s="80"/>
      <c r="AL876" s="80"/>
      <c r="AM876" s="80"/>
      <c r="AN876" s="80"/>
    </row>
    <row r="877" spans="1:40" ht="14.4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80"/>
      <c r="AF877" s="80"/>
      <c r="AG877" s="80"/>
      <c r="AH877" s="80"/>
      <c r="AI877" s="80"/>
      <c r="AJ877" s="80"/>
      <c r="AK877" s="80"/>
      <c r="AL877" s="80"/>
      <c r="AM877" s="80"/>
      <c r="AN877" s="80"/>
    </row>
    <row r="878" spans="1:40" ht="14.4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80"/>
      <c r="AF878" s="80"/>
      <c r="AG878" s="80"/>
      <c r="AH878" s="80"/>
      <c r="AI878" s="80"/>
      <c r="AJ878" s="80"/>
      <c r="AK878" s="80"/>
      <c r="AL878" s="80"/>
      <c r="AM878" s="80"/>
      <c r="AN878" s="80"/>
    </row>
    <row r="879" spans="1:40" ht="14.4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80"/>
      <c r="AF879" s="80"/>
      <c r="AG879" s="80"/>
      <c r="AH879" s="80"/>
      <c r="AI879" s="80"/>
      <c r="AJ879" s="80"/>
      <c r="AK879" s="80"/>
      <c r="AL879" s="80"/>
      <c r="AM879" s="80"/>
      <c r="AN879" s="80"/>
    </row>
    <row r="880" spans="1:40" ht="14.4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80"/>
      <c r="AF880" s="80"/>
      <c r="AG880" s="80"/>
      <c r="AH880" s="80"/>
      <c r="AI880" s="80"/>
      <c r="AJ880" s="80"/>
      <c r="AK880" s="80"/>
      <c r="AL880" s="80"/>
      <c r="AM880" s="80"/>
      <c r="AN880" s="80"/>
    </row>
    <row r="881" spans="1:40" ht="14.4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80"/>
      <c r="AF881" s="80"/>
      <c r="AG881" s="80"/>
      <c r="AH881" s="80"/>
      <c r="AI881" s="80"/>
      <c r="AJ881" s="80"/>
      <c r="AK881" s="80"/>
      <c r="AL881" s="80"/>
      <c r="AM881" s="80"/>
      <c r="AN881" s="80"/>
    </row>
    <row r="882" spans="1:40" ht="14.4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80"/>
      <c r="AF882" s="80"/>
      <c r="AG882" s="80"/>
      <c r="AH882" s="80"/>
      <c r="AI882" s="80"/>
      <c r="AJ882" s="80"/>
      <c r="AK882" s="80"/>
      <c r="AL882" s="80"/>
      <c r="AM882" s="80"/>
      <c r="AN882" s="80"/>
    </row>
    <row r="883" spans="1:40" ht="14.4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80"/>
      <c r="AF883" s="80"/>
      <c r="AG883" s="80"/>
      <c r="AH883" s="80"/>
      <c r="AI883" s="80"/>
      <c r="AJ883" s="80"/>
      <c r="AK883" s="80"/>
      <c r="AL883" s="80"/>
      <c r="AM883" s="80"/>
      <c r="AN883" s="80"/>
    </row>
    <row r="884" spans="1:40" ht="14.4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80"/>
      <c r="AF884" s="80"/>
      <c r="AG884" s="80"/>
      <c r="AH884" s="80"/>
      <c r="AI884" s="80"/>
      <c r="AJ884" s="80"/>
      <c r="AK884" s="80"/>
      <c r="AL884" s="80"/>
      <c r="AM884" s="80"/>
      <c r="AN884" s="80"/>
    </row>
    <row r="885" spans="1:40" ht="14.4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  <c r="AK885" s="80"/>
      <c r="AL885" s="80"/>
      <c r="AM885" s="80"/>
      <c r="AN885" s="80"/>
    </row>
    <row r="886" spans="1:40" ht="14.4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</row>
    <row r="887" spans="1:40" ht="14.4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80"/>
      <c r="AF887" s="80"/>
      <c r="AG887" s="80"/>
      <c r="AH887" s="80"/>
      <c r="AI887" s="80"/>
      <c r="AJ887" s="80"/>
      <c r="AK887" s="80"/>
      <c r="AL887" s="80"/>
      <c r="AM887" s="80"/>
      <c r="AN887" s="80"/>
    </row>
    <row r="888" spans="1:40" ht="14.4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  <c r="AK888" s="80"/>
      <c r="AL888" s="80"/>
      <c r="AM888" s="80"/>
      <c r="AN888" s="80"/>
    </row>
    <row r="889" spans="1:40" ht="14.4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80"/>
      <c r="AF889" s="80"/>
      <c r="AG889" s="80"/>
      <c r="AH889" s="80"/>
      <c r="AI889" s="80"/>
      <c r="AJ889" s="80"/>
      <c r="AK889" s="80"/>
      <c r="AL889" s="80"/>
      <c r="AM889" s="80"/>
      <c r="AN889" s="80"/>
    </row>
    <row r="890" spans="1:40" ht="14.4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80"/>
      <c r="AF890" s="80"/>
      <c r="AG890" s="80"/>
      <c r="AH890" s="80"/>
      <c r="AI890" s="80"/>
      <c r="AJ890" s="80"/>
      <c r="AK890" s="80"/>
      <c r="AL890" s="80"/>
      <c r="AM890" s="80"/>
      <c r="AN890" s="80"/>
    </row>
    <row r="891" spans="1:40" ht="14.4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80"/>
      <c r="AF891" s="80"/>
      <c r="AG891" s="80"/>
      <c r="AH891" s="80"/>
      <c r="AI891" s="80"/>
      <c r="AJ891" s="80"/>
      <c r="AK891" s="80"/>
      <c r="AL891" s="80"/>
      <c r="AM891" s="80"/>
      <c r="AN891" s="80"/>
    </row>
    <row r="892" spans="1:40" ht="14.4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80"/>
      <c r="AF892" s="80"/>
      <c r="AG892" s="80"/>
      <c r="AH892" s="80"/>
      <c r="AI892" s="80"/>
      <c r="AJ892" s="80"/>
      <c r="AK892" s="80"/>
      <c r="AL892" s="80"/>
      <c r="AM892" s="80"/>
      <c r="AN892" s="80"/>
    </row>
    <row r="893" spans="1:40" ht="14.4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80"/>
      <c r="AF893" s="80"/>
      <c r="AG893" s="80"/>
      <c r="AH893" s="80"/>
      <c r="AI893" s="80"/>
      <c r="AJ893" s="80"/>
      <c r="AK893" s="80"/>
      <c r="AL893" s="80"/>
      <c r="AM893" s="80"/>
      <c r="AN893" s="80"/>
    </row>
    <row r="894" spans="1:40" ht="14.4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80"/>
      <c r="AF894" s="80"/>
      <c r="AG894" s="80"/>
      <c r="AH894" s="80"/>
      <c r="AI894" s="80"/>
      <c r="AJ894" s="80"/>
      <c r="AK894" s="80"/>
      <c r="AL894" s="80"/>
      <c r="AM894" s="80"/>
      <c r="AN894" s="80"/>
    </row>
    <row r="895" spans="1:40" ht="14.4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80"/>
      <c r="AF895" s="80"/>
      <c r="AG895" s="80"/>
      <c r="AH895" s="80"/>
      <c r="AI895" s="80"/>
      <c r="AJ895" s="80"/>
      <c r="AK895" s="80"/>
      <c r="AL895" s="80"/>
      <c r="AM895" s="80"/>
      <c r="AN895" s="80"/>
    </row>
    <row r="896" spans="1:40" ht="14.4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80"/>
      <c r="AF896" s="80"/>
      <c r="AG896" s="80"/>
      <c r="AH896" s="80"/>
      <c r="AI896" s="80"/>
      <c r="AJ896" s="80"/>
      <c r="AK896" s="80"/>
      <c r="AL896" s="80"/>
      <c r="AM896" s="80"/>
      <c r="AN896" s="80"/>
    </row>
    <row r="897" spans="1:40" ht="14.4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80"/>
      <c r="AF897" s="80"/>
      <c r="AG897" s="80"/>
      <c r="AH897" s="80"/>
      <c r="AI897" s="80"/>
      <c r="AJ897" s="80"/>
      <c r="AK897" s="80"/>
      <c r="AL897" s="80"/>
      <c r="AM897" s="80"/>
      <c r="AN897" s="80"/>
    </row>
    <row r="898" spans="1:40" ht="14.4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80"/>
      <c r="AF898" s="80"/>
      <c r="AG898" s="80"/>
      <c r="AH898" s="80"/>
      <c r="AI898" s="80"/>
      <c r="AJ898" s="80"/>
      <c r="AK898" s="80"/>
      <c r="AL898" s="80"/>
      <c r="AM898" s="80"/>
      <c r="AN898" s="80"/>
    </row>
    <row r="899" spans="1:40" ht="14.4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80"/>
      <c r="AF899" s="80"/>
      <c r="AG899" s="80"/>
      <c r="AH899" s="80"/>
      <c r="AI899" s="80"/>
      <c r="AJ899" s="80"/>
      <c r="AK899" s="80"/>
      <c r="AL899" s="80"/>
      <c r="AM899" s="80"/>
      <c r="AN899" s="80"/>
    </row>
    <row r="900" spans="1:40" ht="14.4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80"/>
      <c r="AF900" s="80"/>
      <c r="AG900" s="80"/>
      <c r="AH900" s="80"/>
      <c r="AI900" s="80"/>
      <c r="AJ900" s="80"/>
      <c r="AK900" s="80"/>
      <c r="AL900" s="80"/>
      <c r="AM900" s="80"/>
      <c r="AN900" s="80"/>
    </row>
    <row r="901" spans="1:40" ht="14.4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80"/>
      <c r="AF901" s="80"/>
      <c r="AG901" s="80"/>
      <c r="AH901" s="80"/>
      <c r="AI901" s="80"/>
      <c r="AJ901" s="80"/>
      <c r="AK901" s="80"/>
      <c r="AL901" s="80"/>
      <c r="AM901" s="80"/>
      <c r="AN901" s="80"/>
    </row>
    <row r="902" spans="1:40" ht="14.4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80"/>
      <c r="AF902" s="80"/>
      <c r="AG902" s="80"/>
      <c r="AH902" s="80"/>
      <c r="AI902" s="80"/>
      <c r="AJ902" s="80"/>
      <c r="AK902" s="80"/>
      <c r="AL902" s="80"/>
      <c r="AM902" s="80"/>
      <c r="AN902" s="80"/>
    </row>
    <row r="903" spans="1:40" ht="14.4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</row>
    <row r="904" spans="1:40" ht="14.4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</row>
    <row r="905" spans="1:40" ht="14.4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80"/>
      <c r="AF905" s="80"/>
      <c r="AG905" s="80"/>
      <c r="AH905" s="80"/>
      <c r="AI905" s="80"/>
      <c r="AJ905" s="80"/>
      <c r="AK905" s="80"/>
      <c r="AL905" s="80"/>
      <c r="AM905" s="80"/>
      <c r="AN905" s="80"/>
    </row>
    <row r="906" spans="1:40" ht="14.4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80"/>
      <c r="AF906" s="80"/>
      <c r="AG906" s="80"/>
      <c r="AH906" s="80"/>
      <c r="AI906" s="80"/>
      <c r="AJ906" s="80"/>
      <c r="AK906" s="80"/>
      <c r="AL906" s="80"/>
      <c r="AM906" s="80"/>
      <c r="AN906" s="80"/>
    </row>
    <row r="907" spans="1:40" ht="14.4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80"/>
      <c r="AF907" s="80"/>
      <c r="AG907" s="80"/>
      <c r="AH907" s="80"/>
      <c r="AI907" s="80"/>
      <c r="AJ907" s="80"/>
      <c r="AK907" s="80"/>
      <c r="AL907" s="80"/>
      <c r="AM907" s="80"/>
      <c r="AN907" s="80"/>
    </row>
    <row r="908" spans="1:40" ht="14.4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</row>
    <row r="909" spans="1:40" ht="14.4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80"/>
      <c r="AF909" s="80"/>
      <c r="AG909" s="80"/>
      <c r="AH909" s="80"/>
      <c r="AI909" s="80"/>
      <c r="AJ909" s="80"/>
      <c r="AK909" s="80"/>
      <c r="AL909" s="80"/>
      <c r="AM909" s="80"/>
      <c r="AN909" s="80"/>
    </row>
    <row r="910" spans="1:40" ht="14.4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80"/>
      <c r="AF910" s="80"/>
      <c r="AG910" s="80"/>
      <c r="AH910" s="80"/>
      <c r="AI910" s="80"/>
      <c r="AJ910" s="80"/>
      <c r="AK910" s="80"/>
      <c r="AL910" s="80"/>
      <c r="AM910" s="80"/>
      <c r="AN910" s="80"/>
    </row>
    <row r="911" spans="1:40" ht="14.4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80"/>
      <c r="AF911" s="80"/>
      <c r="AG911" s="80"/>
      <c r="AH911" s="80"/>
      <c r="AI911" s="80"/>
      <c r="AJ911" s="80"/>
      <c r="AK911" s="80"/>
      <c r="AL911" s="80"/>
      <c r="AM911" s="80"/>
      <c r="AN911" s="80"/>
    </row>
    <row r="912" spans="1:40" ht="14.4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80"/>
      <c r="AF912" s="80"/>
      <c r="AG912" s="80"/>
      <c r="AH912" s="80"/>
      <c r="AI912" s="80"/>
      <c r="AJ912" s="80"/>
      <c r="AK912" s="80"/>
      <c r="AL912" s="80"/>
      <c r="AM912" s="80"/>
      <c r="AN912" s="80"/>
    </row>
    <row r="913" spans="1:40" ht="14.4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80"/>
      <c r="AF913" s="80"/>
      <c r="AG913" s="80"/>
      <c r="AH913" s="80"/>
      <c r="AI913" s="80"/>
      <c r="AJ913" s="80"/>
      <c r="AK913" s="80"/>
      <c r="AL913" s="80"/>
      <c r="AM913" s="80"/>
      <c r="AN913" s="80"/>
    </row>
    <row r="914" spans="1:40" ht="14.4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80"/>
      <c r="AF914" s="80"/>
      <c r="AG914" s="80"/>
      <c r="AH914" s="80"/>
      <c r="AI914" s="80"/>
      <c r="AJ914" s="80"/>
      <c r="AK914" s="80"/>
      <c r="AL914" s="80"/>
      <c r="AM914" s="80"/>
      <c r="AN914" s="80"/>
    </row>
    <row r="915" spans="1:40" ht="14.4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80"/>
      <c r="AF915" s="80"/>
      <c r="AG915" s="80"/>
      <c r="AH915" s="80"/>
      <c r="AI915" s="80"/>
      <c r="AJ915" s="80"/>
      <c r="AK915" s="80"/>
      <c r="AL915" s="80"/>
      <c r="AM915" s="80"/>
      <c r="AN915" s="80"/>
    </row>
    <row r="916" spans="1:40" ht="14.4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80"/>
      <c r="AF916" s="80"/>
      <c r="AG916" s="80"/>
      <c r="AH916" s="80"/>
      <c r="AI916" s="80"/>
      <c r="AJ916" s="80"/>
      <c r="AK916" s="80"/>
      <c r="AL916" s="80"/>
      <c r="AM916" s="80"/>
      <c r="AN916" s="80"/>
    </row>
    <row r="917" spans="1:40" ht="14.4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80"/>
      <c r="AF917" s="80"/>
      <c r="AG917" s="80"/>
      <c r="AH917" s="80"/>
      <c r="AI917" s="80"/>
      <c r="AJ917" s="80"/>
      <c r="AK917" s="80"/>
      <c r="AL917" s="80"/>
      <c r="AM917" s="80"/>
      <c r="AN917" s="80"/>
    </row>
    <row r="918" spans="1:40" ht="14.4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80"/>
      <c r="AF918" s="80"/>
      <c r="AG918" s="80"/>
      <c r="AH918" s="80"/>
      <c r="AI918" s="80"/>
      <c r="AJ918" s="80"/>
      <c r="AK918" s="80"/>
      <c r="AL918" s="80"/>
      <c r="AM918" s="80"/>
      <c r="AN918" s="80"/>
    </row>
    <row r="919" spans="1:40" ht="14.4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80"/>
      <c r="AF919" s="80"/>
      <c r="AG919" s="80"/>
      <c r="AH919" s="80"/>
      <c r="AI919" s="80"/>
      <c r="AJ919" s="80"/>
      <c r="AK919" s="80"/>
      <c r="AL919" s="80"/>
      <c r="AM919" s="80"/>
      <c r="AN919" s="80"/>
    </row>
    <row r="920" spans="1:40" ht="14.4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80"/>
      <c r="AF920" s="80"/>
      <c r="AG920" s="80"/>
      <c r="AH920" s="80"/>
      <c r="AI920" s="80"/>
      <c r="AJ920" s="80"/>
      <c r="AK920" s="80"/>
      <c r="AL920" s="80"/>
      <c r="AM920" s="80"/>
      <c r="AN920" s="80"/>
    </row>
    <row r="921" spans="1:40" ht="14.4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80"/>
      <c r="AF921" s="80"/>
      <c r="AG921" s="80"/>
      <c r="AH921" s="80"/>
      <c r="AI921" s="80"/>
      <c r="AJ921" s="80"/>
      <c r="AK921" s="80"/>
      <c r="AL921" s="80"/>
      <c r="AM921" s="80"/>
      <c r="AN921" s="80"/>
    </row>
    <row r="922" spans="1:40" ht="14.4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80"/>
      <c r="AF922" s="80"/>
      <c r="AG922" s="80"/>
      <c r="AH922" s="80"/>
      <c r="AI922" s="80"/>
      <c r="AJ922" s="80"/>
      <c r="AK922" s="80"/>
      <c r="AL922" s="80"/>
      <c r="AM922" s="80"/>
      <c r="AN922" s="80"/>
    </row>
    <row r="923" spans="1:40" ht="14.4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80"/>
      <c r="AF923" s="80"/>
      <c r="AG923" s="80"/>
      <c r="AH923" s="80"/>
      <c r="AI923" s="80"/>
      <c r="AJ923" s="80"/>
      <c r="AK923" s="80"/>
      <c r="AL923" s="80"/>
      <c r="AM923" s="80"/>
      <c r="AN923" s="80"/>
    </row>
    <row r="924" spans="1:40" ht="14.4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80"/>
      <c r="AF924" s="80"/>
      <c r="AG924" s="80"/>
      <c r="AH924" s="80"/>
      <c r="AI924" s="80"/>
      <c r="AJ924" s="80"/>
      <c r="AK924" s="80"/>
      <c r="AL924" s="80"/>
      <c r="AM924" s="80"/>
      <c r="AN924" s="80"/>
    </row>
    <row r="925" spans="1:40" ht="14.4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80"/>
      <c r="AF925" s="80"/>
      <c r="AG925" s="80"/>
      <c r="AH925" s="80"/>
      <c r="AI925" s="80"/>
      <c r="AJ925" s="80"/>
      <c r="AK925" s="80"/>
      <c r="AL925" s="80"/>
      <c r="AM925" s="80"/>
      <c r="AN925" s="80"/>
    </row>
    <row r="926" spans="1:40" ht="14.4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80"/>
      <c r="AF926" s="80"/>
      <c r="AG926" s="80"/>
      <c r="AH926" s="80"/>
      <c r="AI926" s="80"/>
      <c r="AJ926" s="80"/>
      <c r="AK926" s="80"/>
      <c r="AL926" s="80"/>
      <c r="AM926" s="80"/>
      <c r="AN926" s="80"/>
    </row>
    <row r="927" spans="1:40" ht="14.4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80"/>
      <c r="AF927" s="80"/>
      <c r="AG927" s="80"/>
      <c r="AH927" s="80"/>
      <c r="AI927" s="80"/>
      <c r="AJ927" s="80"/>
      <c r="AK927" s="80"/>
      <c r="AL927" s="80"/>
      <c r="AM927" s="80"/>
      <c r="AN927" s="80"/>
    </row>
    <row r="928" spans="1:40" ht="14.4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80"/>
      <c r="AF928" s="80"/>
      <c r="AG928" s="80"/>
      <c r="AH928" s="80"/>
      <c r="AI928" s="80"/>
      <c r="AJ928" s="80"/>
      <c r="AK928" s="80"/>
      <c r="AL928" s="80"/>
      <c r="AM928" s="80"/>
      <c r="AN928" s="80"/>
    </row>
    <row r="929" spans="1:40" ht="14.4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80"/>
      <c r="AF929" s="80"/>
      <c r="AG929" s="80"/>
      <c r="AH929" s="80"/>
      <c r="AI929" s="80"/>
      <c r="AJ929" s="80"/>
      <c r="AK929" s="80"/>
      <c r="AL929" s="80"/>
      <c r="AM929" s="80"/>
      <c r="AN929" s="80"/>
    </row>
    <row r="930" spans="1:40" ht="14.4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</row>
    <row r="931" spans="1:40" ht="14.4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80"/>
      <c r="AF931" s="80"/>
      <c r="AG931" s="80"/>
      <c r="AH931" s="80"/>
      <c r="AI931" s="80"/>
      <c r="AJ931" s="80"/>
      <c r="AK931" s="80"/>
      <c r="AL931" s="80"/>
      <c r="AM931" s="80"/>
      <c r="AN931" s="80"/>
    </row>
    <row r="932" spans="1:40" ht="14.4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80"/>
      <c r="AF932" s="80"/>
      <c r="AG932" s="80"/>
      <c r="AH932" s="80"/>
      <c r="AI932" s="80"/>
      <c r="AJ932" s="80"/>
      <c r="AK932" s="80"/>
      <c r="AL932" s="80"/>
      <c r="AM932" s="80"/>
      <c r="AN932" s="80"/>
    </row>
    <row r="933" spans="1:40" ht="14.4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80"/>
      <c r="AF933" s="80"/>
      <c r="AG933" s="80"/>
      <c r="AH933" s="80"/>
      <c r="AI933" s="80"/>
      <c r="AJ933" s="80"/>
      <c r="AK933" s="80"/>
      <c r="AL933" s="80"/>
      <c r="AM933" s="80"/>
      <c r="AN933" s="80"/>
    </row>
    <row r="934" spans="1:40" ht="14.4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80"/>
      <c r="AF934" s="80"/>
      <c r="AG934" s="80"/>
      <c r="AH934" s="80"/>
      <c r="AI934" s="80"/>
      <c r="AJ934" s="80"/>
      <c r="AK934" s="80"/>
      <c r="AL934" s="80"/>
      <c r="AM934" s="80"/>
      <c r="AN934" s="80"/>
    </row>
    <row r="935" spans="1:40" ht="14.4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80"/>
      <c r="AF935" s="80"/>
      <c r="AG935" s="80"/>
      <c r="AH935" s="80"/>
      <c r="AI935" s="80"/>
      <c r="AJ935" s="80"/>
      <c r="AK935" s="80"/>
      <c r="AL935" s="80"/>
      <c r="AM935" s="80"/>
      <c r="AN935" s="80"/>
    </row>
    <row r="936" spans="1:40" ht="14.4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80"/>
      <c r="AF936" s="80"/>
      <c r="AG936" s="80"/>
      <c r="AH936" s="80"/>
      <c r="AI936" s="80"/>
      <c r="AJ936" s="80"/>
      <c r="AK936" s="80"/>
      <c r="AL936" s="80"/>
      <c r="AM936" s="80"/>
      <c r="AN936" s="80"/>
    </row>
    <row r="937" spans="1:40" ht="14.4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80"/>
      <c r="AF937" s="80"/>
      <c r="AG937" s="80"/>
      <c r="AH937" s="80"/>
      <c r="AI937" s="80"/>
      <c r="AJ937" s="80"/>
      <c r="AK937" s="80"/>
      <c r="AL937" s="80"/>
      <c r="AM937" s="80"/>
      <c r="AN937" s="80"/>
    </row>
    <row r="938" spans="1:40" ht="14.4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80"/>
      <c r="AF938" s="80"/>
      <c r="AG938" s="80"/>
      <c r="AH938" s="80"/>
      <c r="AI938" s="80"/>
      <c r="AJ938" s="80"/>
      <c r="AK938" s="80"/>
      <c r="AL938" s="80"/>
      <c r="AM938" s="80"/>
      <c r="AN938" s="80"/>
    </row>
    <row r="939" spans="1:40" ht="14.4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80"/>
      <c r="AF939" s="80"/>
      <c r="AG939" s="80"/>
      <c r="AH939" s="80"/>
      <c r="AI939" s="80"/>
      <c r="AJ939" s="80"/>
      <c r="AK939" s="80"/>
      <c r="AL939" s="80"/>
      <c r="AM939" s="80"/>
      <c r="AN939" s="80"/>
    </row>
    <row r="940" spans="1:40" ht="14.4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80"/>
      <c r="AF940" s="80"/>
      <c r="AG940" s="80"/>
      <c r="AH940" s="80"/>
      <c r="AI940" s="80"/>
      <c r="AJ940" s="80"/>
      <c r="AK940" s="80"/>
      <c r="AL940" s="80"/>
      <c r="AM940" s="80"/>
      <c r="AN940" s="80"/>
    </row>
    <row r="941" spans="1:40" ht="14.4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80"/>
      <c r="AF941" s="80"/>
      <c r="AG941" s="80"/>
      <c r="AH941" s="80"/>
      <c r="AI941" s="80"/>
      <c r="AJ941" s="80"/>
      <c r="AK941" s="80"/>
      <c r="AL941" s="80"/>
      <c r="AM941" s="80"/>
      <c r="AN941" s="80"/>
    </row>
    <row r="942" spans="1:40" ht="14.4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80"/>
      <c r="AF942" s="80"/>
      <c r="AG942" s="80"/>
      <c r="AH942" s="80"/>
      <c r="AI942" s="80"/>
      <c r="AJ942" s="80"/>
      <c r="AK942" s="80"/>
      <c r="AL942" s="80"/>
      <c r="AM942" s="80"/>
      <c r="AN942" s="80"/>
    </row>
    <row r="943" spans="1:40" ht="14.4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80"/>
      <c r="AF943" s="80"/>
      <c r="AG943" s="80"/>
      <c r="AH943" s="80"/>
      <c r="AI943" s="80"/>
      <c r="AJ943" s="80"/>
      <c r="AK943" s="80"/>
      <c r="AL943" s="80"/>
      <c r="AM943" s="80"/>
      <c r="AN943" s="80"/>
    </row>
    <row r="944" spans="1:40" ht="14.4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80"/>
      <c r="AF944" s="80"/>
      <c r="AG944" s="80"/>
      <c r="AH944" s="80"/>
      <c r="AI944" s="80"/>
      <c r="AJ944" s="80"/>
      <c r="AK944" s="80"/>
      <c r="AL944" s="80"/>
      <c r="AM944" s="80"/>
      <c r="AN944" s="80"/>
    </row>
    <row r="945" spans="1:40" ht="14.4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80"/>
      <c r="AF945" s="80"/>
      <c r="AG945" s="80"/>
      <c r="AH945" s="80"/>
      <c r="AI945" s="80"/>
      <c r="AJ945" s="80"/>
      <c r="AK945" s="80"/>
      <c r="AL945" s="80"/>
      <c r="AM945" s="80"/>
      <c r="AN945" s="80"/>
    </row>
    <row r="946" spans="1:40" ht="14.4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80"/>
      <c r="AF946" s="80"/>
      <c r="AG946" s="80"/>
      <c r="AH946" s="80"/>
      <c r="AI946" s="80"/>
      <c r="AJ946" s="80"/>
      <c r="AK946" s="80"/>
      <c r="AL946" s="80"/>
      <c r="AM946" s="80"/>
      <c r="AN946" s="80"/>
    </row>
    <row r="947" spans="1:40" ht="14.4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80"/>
      <c r="AF947" s="80"/>
      <c r="AG947" s="80"/>
      <c r="AH947" s="80"/>
      <c r="AI947" s="80"/>
      <c r="AJ947" s="80"/>
      <c r="AK947" s="80"/>
      <c r="AL947" s="80"/>
      <c r="AM947" s="80"/>
      <c r="AN947" s="80"/>
    </row>
    <row r="948" spans="1:40" ht="14.4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80"/>
      <c r="AF948" s="80"/>
      <c r="AG948" s="80"/>
      <c r="AH948" s="80"/>
      <c r="AI948" s="80"/>
      <c r="AJ948" s="80"/>
      <c r="AK948" s="80"/>
      <c r="AL948" s="80"/>
      <c r="AM948" s="80"/>
      <c r="AN948" s="80"/>
    </row>
    <row r="949" spans="1:40" ht="14.4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80"/>
      <c r="AF949" s="80"/>
      <c r="AG949" s="80"/>
      <c r="AH949" s="80"/>
      <c r="AI949" s="80"/>
      <c r="AJ949" s="80"/>
      <c r="AK949" s="80"/>
      <c r="AL949" s="80"/>
      <c r="AM949" s="80"/>
      <c r="AN949" s="80"/>
    </row>
    <row r="950" spans="1:40" ht="14.4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80"/>
      <c r="AF950" s="80"/>
      <c r="AG950" s="80"/>
      <c r="AH950" s="80"/>
      <c r="AI950" s="80"/>
      <c r="AJ950" s="80"/>
      <c r="AK950" s="80"/>
      <c r="AL950" s="80"/>
      <c r="AM950" s="80"/>
      <c r="AN950" s="80"/>
    </row>
    <row r="951" spans="1:40" ht="14.4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80"/>
      <c r="AF951" s="80"/>
      <c r="AG951" s="80"/>
      <c r="AH951" s="80"/>
      <c r="AI951" s="80"/>
      <c r="AJ951" s="80"/>
      <c r="AK951" s="80"/>
      <c r="AL951" s="80"/>
      <c r="AM951" s="80"/>
      <c r="AN951" s="80"/>
    </row>
    <row r="952" spans="1:40" ht="14.4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</row>
    <row r="953" spans="1:40" ht="14.4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80"/>
      <c r="AF953" s="80"/>
      <c r="AG953" s="80"/>
      <c r="AH953" s="80"/>
      <c r="AI953" s="80"/>
      <c r="AJ953" s="80"/>
      <c r="AK953" s="80"/>
      <c r="AL953" s="80"/>
      <c r="AM953" s="80"/>
      <c r="AN953" s="80"/>
    </row>
    <row r="954" spans="1:40" ht="14.4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80"/>
      <c r="AF954" s="80"/>
      <c r="AG954" s="80"/>
      <c r="AH954" s="80"/>
      <c r="AI954" s="80"/>
      <c r="AJ954" s="80"/>
      <c r="AK954" s="80"/>
      <c r="AL954" s="80"/>
      <c r="AM954" s="80"/>
      <c r="AN954" s="80"/>
    </row>
    <row r="955" spans="1:40" ht="14.4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80"/>
      <c r="AF955" s="80"/>
      <c r="AG955" s="80"/>
      <c r="AH955" s="80"/>
      <c r="AI955" s="80"/>
      <c r="AJ955" s="80"/>
      <c r="AK955" s="80"/>
      <c r="AL955" s="80"/>
      <c r="AM955" s="80"/>
      <c r="AN955" s="80"/>
    </row>
    <row r="956" spans="1:40" ht="14.4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80"/>
      <c r="AF956" s="80"/>
      <c r="AG956" s="80"/>
      <c r="AH956" s="80"/>
      <c r="AI956" s="80"/>
      <c r="AJ956" s="80"/>
      <c r="AK956" s="80"/>
      <c r="AL956" s="80"/>
      <c r="AM956" s="80"/>
      <c r="AN956" s="80"/>
    </row>
    <row r="957" spans="1:40" ht="14.4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80"/>
      <c r="AF957" s="80"/>
      <c r="AG957" s="80"/>
      <c r="AH957" s="80"/>
      <c r="AI957" s="80"/>
      <c r="AJ957" s="80"/>
      <c r="AK957" s="80"/>
      <c r="AL957" s="80"/>
      <c r="AM957" s="80"/>
      <c r="AN957" s="80"/>
    </row>
    <row r="958" spans="1:40" ht="14.4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80"/>
      <c r="AF958" s="80"/>
      <c r="AG958" s="80"/>
      <c r="AH958" s="80"/>
      <c r="AI958" s="80"/>
      <c r="AJ958" s="80"/>
      <c r="AK958" s="80"/>
      <c r="AL958" s="80"/>
      <c r="AM958" s="80"/>
      <c r="AN958" s="80"/>
    </row>
    <row r="959" spans="1:40" ht="14.4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80"/>
      <c r="AF959" s="80"/>
      <c r="AG959" s="80"/>
      <c r="AH959" s="80"/>
      <c r="AI959" s="80"/>
      <c r="AJ959" s="80"/>
      <c r="AK959" s="80"/>
      <c r="AL959" s="80"/>
      <c r="AM959" s="80"/>
      <c r="AN959" s="80"/>
    </row>
    <row r="960" spans="1:40" ht="14.4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80"/>
      <c r="AF960" s="80"/>
      <c r="AG960" s="80"/>
      <c r="AH960" s="80"/>
      <c r="AI960" s="80"/>
      <c r="AJ960" s="80"/>
      <c r="AK960" s="80"/>
      <c r="AL960" s="80"/>
      <c r="AM960" s="80"/>
      <c r="AN960" s="80"/>
    </row>
    <row r="961" spans="1:40" ht="14.4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80"/>
      <c r="AF961" s="80"/>
      <c r="AG961" s="80"/>
      <c r="AH961" s="80"/>
      <c r="AI961" s="80"/>
      <c r="AJ961" s="80"/>
      <c r="AK961" s="80"/>
      <c r="AL961" s="80"/>
      <c r="AM961" s="80"/>
      <c r="AN961" s="80"/>
    </row>
    <row r="962" spans="1:40" ht="14.4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80"/>
      <c r="AF962" s="80"/>
      <c r="AG962" s="80"/>
      <c r="AH962" s="80"/>
      <c r="AI962" s="80"/>
      <c r="AJ962" s="80"/>
      <c r="AK962" s="80"/>
      <c r="AL962" s="80"/>
      <c r="AM962" s="80"/>
      <c r="AN962" s="80"/>
    </row>
    <row r="963" spans="1:40" ht="14.4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80"/>
      <c r="AF963" s="80"/>
      <c r="AG963" s="80"/>
      <c r="AH963" s="80"/>
      <c r="AI963" s="80"/>
      <c r="AJ963" s="80"/>
      <c r="AK963" s="80"/>
      <c r="AL963" s="80"/>
      <c r="AM963" s="80"/>
      <c r="AN963" s="80"/>
    </row>
    <row r="964" spans="1:40" ht="14.4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80"/>
      <c r="AF964" s="80"/>
      <c r="AG964" s="80"/>
      <c r="AH964" s="80"/>
      <c r="AI964" s="80"/>
      <c r="AJ964" s="80"/>
      <c r="AK964" s="80"/>
      <c r="AL964" s="80"/>
      <c r="AM964" s="80"/>
      <c r="AN964" s="80"/>
    </row>
    <row r="965" spans="1:40" ht="14.4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80"/>
      <c r="AF965" s="80"/>
      <c r="AG965" s="80"/>
      <c r="AH965" s="80"/>
      <c r="AI965" s="80"/>
      <c r="AJ965" s="80"/>
      <c r="AK965" s="80"/>
      <c r="AL965" s="80"/>
      <c r="AM965" s="80"/>
      <c r="AN965" s="80"/>
    </row>
    <row r="966" spans="1:40" ht="14.4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80"/>
      <c r="AF966" s="80"/>
      <c r="AG966" s="80"/>
      <c r="AH966" s="80"/>
      <c r="AI966" s="80"/>
      <c r="AJ966" s="80"/>
      <c r="AK966" s="80"/>
      <c r="AL966" s="80"/>
      <c r="AM966" s="80"/>
      <c r="AN966" s="80"/>
    </row>
    <row r="967" spans="1:40" ht="14.4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80"/>
      <c r="AF967" s="80"/>
      <c r="AG967" s="80"/>
      <c r="AH967" s="80"/>
      <c r="AI967" s="80"/>
      <c r="AJ967" s="80"/>
      <c r="AK967" s="80"/>
      <c r="AL967" s="80"/>
      <c r="AM967" s="80"/>
      <c r="AN967" s="80"/>
    </row>
    <row r="968" spans="1:40" ht="14.4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80"/>
      <c r="AF968" s="80"/>
      <c r="AG968" s="80"/>
      <c r="AH968" s="80"/>
      <c r="AI968" s="80"/>
      <c r="AJ968" s="80"/>
      <c r="AK968" s="80"/>
      <c r="AL968" s="80"/>
      <c r="AM968" s="80"/>
      <c r="AN968" s="80"/>
    </row>
    <row r="969" spans="1:40" ht="14.4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80"/>
      <c r="AF969" s="80"/>
      <c r="AG969" s="80"/>
      <c r="AH969" s="80"/>
      <c r="AI969" s="80"/>
      <c r="AJ969" s="80"/>
      <c r="AK969" s="80"/>
      <c r="AL969" s="80"/>
      <c r="AM969" s="80"/>
      <c r="AN969" s="80"/>
    </row>
    <row r="970" spans="1:40" ht="14.4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80"/>
      <c r="AF970" s="80"/>
      <c r="AG970" s="80"/>
      <c r="AH970" s="80"/>
      <c r="AI970" s="80"/>
      <c r="AJ970" s="80"/>
      <c r="AK970" s="80"/>
      <c r="AL970" s="80"/>
      <c r="AM970" s="80"/>
      <c r="AN970" s="80"/>
    </row>
    <row r="971" spans="1:40" ht="14.4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80"/>
      <c r="AF971" s="80"/>
      <c r="AG971" s="80"/>
      <c r="AH971" s="80"/>
      <c r="AI971" s="80"/>
      <c r="AJ971" s="80"/>
      <c r="AK971" s="80"/>
      <c r="AL971" s="80"/>
      <c r="AM971" s="80"/>
      <c r="AN971" s="80"/>
    </row>
    <row r="972" spans="1:40" ht="14.4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80"/>
      <c r="AF972" s="80"/>
      <c r="AG972" s="80"/>
      <c r="AH972" s="80"/>
      <c r="AI972" s="80"/>
      <c r="AJ972" s="80"/>
      <c r="AK972" s="80"/>
      <c r="AL972" s="80"/>
      <c r="AM972" s="80"/>
      <c r="AN972" s="80"/>
    </row>
    <row r="973" spans="1:40" ht="14.4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80"/>
      <c r="AF973" s="80"/>
      <c r="AG973" s="80"/>
      <c r="AH973" s="80"/>
      <c r="AI973" s="80"/>
      <c r="AJ973" s="80"/>
      <c r="AK973" s="80"/>
      <c r="AL973" s="80"/>
      <c r="AM973" s="80"/>
      <c r="AN973" s="80"/>
    </row>
    <row r="974" spans="1:40" ht="14.4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</row>
    <row r="975" spans="1:40" ht="14.4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80"/>
      <c r="AF975" s="80"/>
      <c r="AG975" s="80"/>
      <c r="AH975" s="80"/>
      <c r="AI975" s="80"/>
      <c r="AJ975" s="80"/>
      <c r="AK975" s="80"/>
      <c r="AL975" s="80"/>
      <c r="AM975" s="80"/>
      <c r="AN975" s="80"/>
    </row>
    <row r="976" spans="1:40" ht="14.4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80"/>
      <c r="AF976" s="80"/>
      <c r="AG976" s="80"/>
      <c r="AH976" s="80"/>
      <c r="AI976" s="80"/>
      <c r="AJ976" s="80"/>
      <c r="AK976" s="80"/>
      <c r="AL976" s="80"/>
      <c r="AM976" s="80"/>
      <c r="AN976" s="80"/>
    </row>
    <row r="977" spans="1:40" ht="14.4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80"/>
      <c r="AF977" s="80"/>
      <c r="AG977" s="80"/>
      <c r="AH977" s="80"/>
      <c r="AI977" s="80"/>
      <c r="AJ977" s="80"/>
      <c r="AK977" s="80"/>
      <c r="AL977" s="80"/>
      <c r="AM977" s="80"/>
      <c r="AN977" s="80"/>
    </row>
    <row r="978" spans="1:40" ht="14.4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80"/>
      <c r="AF978" s="80"/>
      <c r="AG978" s="80"/>
      <c r="AH978" s="80"/>
      <c r="AI978" s="80"/>
      <c r="AJ978" s="80"/>
      <c r="AK978" s="80"/>
      <c r="AL978" s="80"/>
      <c r="AM978" s="80"/>
      <c r="AN978" s="80"/>
    </row>
    <row r="979" spans="1:40" ht="14.4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80"/>
      <c r="AF979" s="80"/>
      <c r="AG979" s="80"/>
      <c r="AH979" s="80"/>
      <c r="AI979" s="80"/>
      <c r="AJ979" s="80"/>
      <c r="AK979" s="80"/>
      <c r="AL979" s="80"/>
      <c r="AM979" s="80"/>
      <c r="AN979" s="80"/>
    </row>
    <row r="980" spans="1:40" ht="14.4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80"/>
      <c r="AF980" s="80"/>
      <c r="AG980" s="80"/>
      <c r="AH980" s="80"/>
      <c r="AI980" s="80"/>
      <c r="AJ980" s="80"/>
      <c r="AK980" s="80"/>
      <c r="AL980" s="80"/>
      <c r="AM980" s="80"/>
      <c r="AN980" s="80"/>
    </row>
    <row r="981" spans="1:40" ht="14.4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80"/>
      <c r="AF981" s="80"/>
      <c r="AG981" s="80"/>
      <c r="AH981" s="80"/>
      <c r="AI981" s="80"/>
      <c r="AJ981" s="80"/>
      <c r="AK981" s="80"/>
      <c r="AL981" s="80"/>
      <c r="AM981" s="80"/>
      <c r="AN981" s="80"/>
    </row>
    <row r="982" spans="1:40" ht="14.4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80"/>
      <c r="AF982" s="80"/>
      <c r="AG982" s="80"/>
      <c r="AH982" s="80"/>
      <c r="AI982" s="80"/>
      <c r="AJ982" s="80"/>
      <c r="AK982" s="80"/>
      <c r="AL982" s="80"/>
      <c r="AM982" s="80"/>
      <c r="AN982" s="80"/>
    </row>
    <row r="983" spans="1:40" ht="14.4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80"/>
      <c r="AF983" s="80"/>
      <c r="AG983" s="80"/>
      <c r="AH983" s="80"/>
      <c r="AI983" s="80"/>
      <c r="AJ983" s="80"/>
      <c r="AK983" s="80"/>
      <c r="AL983" s="80"/>
      <c r="AM983" s="80"/>
      <c r="AN983" s="80"/>
    </row>
    <row r="984" spans="1:40" ht="14.4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80"/>
      <c r="AF984" s="80"/>
      <c r="AG984" s="80"/>
      <c r="AH984" s="80"/>
      <c r="AI984" s="80"/>
      <c r="AJ984" s="80"/>
      <c r="AK984" s="80"/>
      <c r="AL984" s="80"/>
      <c r="AM984" s="80"/>
      <c r="AN984" s="80"/>
    </row>
    <row r="985" spans="1:40" ht="14.4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80"/>
      <c r="AF985" s="80"/>
      <c r="AG985" s="80"/>
      <c r="AH985" s="80"/>
      <c r="AI985" s="80"/>
      <c r="AJ985" s="80"/>
      <c r="AK985" s="80"/>
      <c r="AL985" s="80"/>
      <c r="AM985" s="80"/>
      <c r="AN985" s="80"/>
    </row>
    <row r="986" spans="1:40" ht="14.4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80"/>
      <c r="AF986" s="80"/>
      <c r="AG986" s="80"/>
      <c r="AH986" s="80"/>
      <c r="AI986" s="80"/>
      <c r="AJ986" s="80"/>
      <c r="AK986" s="80"/>
      <c r="AL986" s="80"/>
      <c r="AM986" s="80"/>
      <c r="AN986" s="80"/>
    </row>
    <row r="987" spans="1:40" ht="14.4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80"/>
      <c r="AF987" s="80"/>
      <c r="AG987" s="80"/>
      <c r="AH987" s="80"/>
      <c r="AI987" s="80"/>
      <c r="AJ987" s="80"/>
      <c r="AK987" s="80"/>
      <c r="AL987" s="80"/>
      <c r="AM987" s="80"/>
      <c r="AN987" s="80"/>
    </row>
    <row r="988" spans="1:40" ht="14.4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80"/>
      <c r="AF988" s="80"/>
      <c r="AG988" s="80"/>
      <c r="AH988" s="80"/>
      <c r="AI988" s="80"/>
      <c r="AJ988" s="80"/>
      <c r="AK988" s="80"/>
      <c r="AL988" s="80"/>
      <c r="AM988" s="80"/>
      <c r="AN988" s="80"/>
    </row>
    <row r="989" spans="1:40" ht="14.4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80"/>
      <c r="AF989" s="80"/>
      <c r="AG989" s="80"/>
      <c r="AH989" s="80"/>
      <c r="AI989" s="80"/>
      <c r="AJ989" s="80"/>
      <c r="AK989" s="80"/>
      <c r="AL989" s="80"/>
      <c r="AM989" s="80"/>
      <c r="AN989" s="80"/>
    </row>
    <row r="990" spans="1:40" ht="14.4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80"/>
      <c r="AF990" s="80"/>
      <c r="AG990" s="80"/>
      <c r="AH990" s="80"/>
      <c r="AI990" s="80"/>
      <c r="AJ990" s="80"/>
      <c r="AK990" s="80"/>
      <c r="AL990" s="80"/>
      <c r="AM990" s="80"/>
      <c r="AN990" s="80"/>
    </row>
    <row r="991" spans="1:40" ht="14.4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80"/>
      <c r="AF991" s="80"/>
      <c r="AG991" s="80"/>
      <c r="AH991" s="80"/>
      <c r="AI991" s="80"/>
      <c r="AJ991" s="80"/>
      <c r="AK991" s="80"/>
      <c r="AL991" s="80"/>
      <c r="AM991" s="80"/>
      <c r="AN991" s="80"/>
    </row>
    <row r="992" spans="1:40" ht="14.4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80"/>
      <c r="AF992" s="80"/>
      <c r="AG992" s="80"/>
      <c r="AH992" s="80"/>
      <c r="AI992" s="80"/>
      <c r="AJ992" s="80"/>
      <c r="AK992" s="80"/>
      <c r="AL992" s="80"/>
      <c r="AM992" s="80"/>
      <c r="AN992" s="80"/>
    </row>
    <row r="993" spans="1:40" ht="14.4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80"/>
      <c r="AF993" s="80"/>
      <c r="AG993" s="80"/>
      <c r="AH993" s="80"/>
      <c r="AI993" s="80"/>
      <c r="AJ993" s="80"/>
      <c r="AK993" s="80"/>
      <c r="AL993" s="80"/>
      <c r="AM993" s="80"/>
      <c r="AN993" s="80"/>
    </row>
    <row r="994" spans="1:40" ht="14.4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80"/>
      <c r="AF994" s="80"/>
      <c r="AG994" s="80"/>
      <c r="AH994" s="80"/>
      <c r="AI994" s="80"/>
      <c r="AJ994" s="80"/>
      <c r="AK994" s="80"/>
      <c r="AL994" s="80"/>
      <c r="AM994" s="80"/>
      <c r="AN994" s="80"/>
    </row>
    <row r="995" spans="1:40" ht="14.4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80"/>
      <c r="AF995" s="80"/>
      <c r="AG995" s="80"/>
      <c r="AH995" s="80"/>
      <c r="AI995" s="80"/>
      <c r="AJ995" s="80"/>
      <c r="AK995" s="80"/>
      <c r="AL995" s="80"/>
      <c r="AM995" s="80"/>
      <c r="AN995" s="80"/>
    </row>
    <row r="996" spans="1:40" ht="14.4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</row>
    <row r="997" spans="1:40" ht="14.4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80"/>
      <c r="AF997" s="80"/>
      <c r="AG997" s="80"/>
      <c r="AH997" s="80"/>
      <c r="AI997" s="80"/>
      <c r="AJ997" s="80"/>
      <c r="AK997" s="80"/>
      <c r="AL997" s="80"/>
      <c r="AM997" s="80"/>
      <c r="AN997" s="80"/>
    </row>
    <row r="998" spans="1:40" ht="14.4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80"/>
      <c r="AF998" s="80"/>
      <c r="AG998" s="80"/>
      <c r="AH998" s="80"/>
      <c r="AI998" s="80"/>
      <c r="AJ998" s="80"/>
      <c r="AK998" s="80"/>
      <c r="AL998" s="80"/>
      <c r="AM998" s="80"/>
      <c r="AN998" s="80"/>
    </row>
    <row r="999" spans="1:40" ht="14.4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80"/>
      <c r="AF999" s="80"/>
      <c r="AG999" s="80"/>
      <c r="AH999" s="80"/>
      <c r="AI999" s="80"/>
      <c r="AJ999" s="80"/>
      <c r="AK999" s="80"/>
      <c r="AL999" s="80"/>
      <c r="AM999" s="80"/>
      <c r="AN999" s="80"/>
    </row>
    <row r="1000" spans="1:40" ht="14.4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80"/>
      <c r="AF1000" s="80"/>
      <c r="AG1000" s="80"/>
      <c r="AH1000" s="80"/>
      <c r="AI1000" s="80"/>
      <c r="AJ1000" s="80"/>
      <c r="AK1000" s="80"/>
      <c r="AL1000" s="80"/>
      <c r="AM1000" s="80"/>
      <c r="AN1000" s="80"/>
    </row>
    <row r="1001" spans="1:40" ht="14.4">
      <c r="A1001" s="80"/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80"/>
      <c r="AF1001" s="80"/>
      <c r="AG1001" s="80"/>
      <c r="AH1001" s="80"/>
      <c r="AI1001" s="80"/>
      <c r="AJ1001" s="80"/>
      <c r="AK1001" s="80"/>
      <c r="AL1001" s="80"/>
      <c r="AM1001" s="80"/>
      <c r="AN1001" s="80"/>
    </row>
    <row r="1002" spans="1:40" ht="14.4">
      <c r="A1002" s="80"/>
      <c r="B1002" s="80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80"/>
      <c r="AF1002" s="80"/>
      <c r="AG1002" s="80"/>
      <c r="AH1002" s="80"/>
      <c r="AI1002" s="80"/>
      <c r="AJ1002" s="80"/>
      <c r="AK1002" s="80"/>
      <c r="AL1002" s="80"/>
      <c r="AM1002" s="80"/>
      <c r="AN1002" s="80"/>
    </row>
    <row r="1003" spans="1:40" ht="14.4">
      <c r="A1003" s="80"/>
      <c r="B1003" s="80"/>
      <c r="C1003" s="80"/>
      <c r="D1003" s="80"/>
      <c r="E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80"/>
      <c r="AF1003" s="80"/>
      <c r="AG1003" s="80"/>
      <c r="AH1003" s="80"/>
      <c r="AI1003" s="80"/>
      <c r="AJ1003" s="80"/>
      <c r="AK1003" s="80"/>
      <c r="AL1003" s="80"/>
      <c r="AM1003" s="80"/>
      <c r="AN1003" s="80"/>
    </row>
    <row r="1004" spans="1:40" ht="14.4">
      <c r="A1004" s="80"/>
      <c r="B1004" s="80"/>
      <c r="C1004" s="80"/>
      <c r="D1004" s="80"/>
      <c r="E1004" s="80"/>
      <c r="F1004" s="80"/>
      <c r="G1004" s="80"/>
      <c r="H1004" s="80"/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80"/>
      <c r="AF1004" s="80"/>
      <c r="AG1004" s="80"/>
      <c r="AH1004" s="80"/>
      <c r="AI1004" s="80"/>
      <c r="AJ1004" s="80"/>
      <c r="AK1004" s="80"/>
      <c r="AL1004" s="80"/>
      <c r="AM1004" s="80"/>
      <c r="AN1004" s="80"/>
    </row>
    <row r="1005" spans="1:40" ht="14.4">
      <c r="A1005" s="80"/>
      <c r="B1005" s="80"/>
      <c r="C1005" s="80"/>
      <c r="D1005" s="80"/>
      <c r="E1005" s="80"/>
      <c r="F1005" s="80"/>
      <c r="G1005" s="80"/>
      <c r="H1005" s="80"/>
      <c r="I1005" s="80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80"/>
      <c r="AF1005" s="80"/>
      <c r="AG1005" s="80"/>
      <c r="AH1005" s="80"/>
      <c r="AI1005" s="80"/>
      <c r="AJ1005" s="80"/>
      <c r="AK1005" s="80"/>
      <c r="AL1005" s="80"/>
      <c r="AM1005" s="80"/>
      <c r="AN1005" s="80"/>
    </row>
    <row r="1006" spans="1:40" ht="14.4">
      <c r="A1006" s="80"/>
      <c r="B1006" s="80"/>
      <c r="C1006" s="80"/>
      <c r="D1006" s="80"/>
      <c r="E1006" s="80"/>
      <c r="F1006" s="80"/>
      <c r="G1006" s="80"/>
      <c r="H1006" s="80"/>
      <c r="I1006" s="80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80"/>
      <c r="AF1006" s="80"/>
      <c r="AG1006" s="80"/>
      <c r="AH1006" s="80"/>
      <c r="AI1006" s="80"/>
      <c r="AJ1006" s="80"/>
      <c r="AK1006" s="80"/>
      <c r="AL1006" s="80"/>
      <c r="AM1006" s="80"/>
      <c r="AN1006" s="80"/>
    </row>
    <row r="1007" spans="1:40" ht="14.4">
      <c r="A1007" s="80"/>
      <c r="B1007" s="80"/>
      <c r="C1007" s="80"/>
      <c r="D1007" s="80"/>
      <c r="E1007" s="80"/>
      <c r="F1007" s="80"/>
      <c r="G1007" s="80"/>
      <c r="H1007" s="80"/>
      <c r="I1007" s="80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80"/>
      <c r="AF1007" s="80"/>
      <c r="AG1007" s="80"/>
      <c r="AH1007" s="80"/>
      <c r="AI1007" s="80"/>
      <c r="AJ1007" s="80"/>
      <c r="AK1007" s="80"/>
      <c r="AL1007" s="80"/>
      <c r="AM1007" s="80"/>
      <c r="AN1007" s="80"/>
    </row>
    <row r="1008" spans="1:40" ht="14.4">
      <c r="A1008" s="80"/>
      <c r="B1008" s="80"/>
      <c r="C1008" s="80"/>
      <c r="D1008" s="80"/>
      <c r="E1008" s="80"/>
      <c r="F1008" s="80"/>
      <c r="G1008" s="80"/>
      <c r="H1008" s="80"/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80"/>
      <c r="AF1008" s="80"/>
      <c r="AG1008" s="80"/>
      <c r="AH1008" s="80"/>
      <c r="AI1008" s="80"/>
      <c r="AJ1008" s="80"/>
      <c r="AK1008" s="80"/>
      <c r="AL1008" s="80"/>
      <c r="AM1008" s="80"/>
      <c r="AN1008" s="80"/>
    </row>
    <row r="1009" spans="1:40" ht="14.4">
      <c r="A1009" s="80"/>
      <c r="B1009" s="80"/>
      <c r="C1009" s="80"/>
      <c r="D1009" s="80"/>
      <c r="E1009" s="80"/>
      <c r="F1009" s="80"/>
      <c r="G1009" s="80"/>
      <c r="H1009" s="80"/>
      <c r="I1009" s="80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80"/>
      <c r="AF1009" s="80"/>
      <c r="AG1009" s="80"/>
      <c r="AH1009" s="80"/>
      <c r="AI1009" s="80"/>
      <c r="AJ1009" s="80"/>
      <c r="AK1009" s="80"/>
      <c r="AL1009" s="80"/>
      <c r="AM1009" s="80"/>
      <c r="AN1009" s="80"/>
    </row>
    <row r="1010" spans="1:40" ht="14.4">
      <c r="A1010" s="80"/>
      <c r="B1010" s="80"/>
      <c r="C1010" s="80"/>
      <c r="D1010" s="80"/>
      <c r="E1010" s="80"/>
      <c r="F1010" s="80"/>
      <c r="G1010" s="80"/>
      <c r="H1010" s="80"/>
      <c r="I1010" s="80"/>
      <c r="J1010" s="80"/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80"/>
      <c r="AF1010" s="80"/>
      <c r="AG1010" s="80"/>
      <c r="AH1010" s="80"/>
      <c r="AI1010" s="80"/>
      <c r="AJ1010" s="80"/>
      <c r="AK1010" s="80"/>
      <c r="AL1010" s="80"/>
      <c r="AM1010" s="80"/>
      <c r="AN1010" s="80"/>
    </row>
    <row r="1011" spans="1:40" ht="14.4">
      <c r="A1011" s="80"/>
      <c r="B1011" s="80"/>
      <c r="C1011" s="80"/>
      <c r="D1011" s="80"/>
      <c r="E1011" s="80"/>
      <c r="F1011" s="80"/>
      <c r="G1011" s="80"/>
      <c r="H1011" s="80"/>
      <c r="I1011" s="80"/>
      <c r="J1011" s="80"/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80"/>
      <c r="AF1011" s="80"/>
      <c r="AG1011" s="80"/>
      <c r="AH1011" s="80"/>
      <c r="AI1011" s="80"/>
      <c r="AJ1011" s="80"/>
      <c r="AK1011" s="80"/>
      <c r="AL1011" s="80"/>
      <c r="AM1011" s="80"/>
      <c r="AN1011" s="80"/>
    </row>
    <row r="1012" spans="1:40" ht="14.4">
      <c r="A1012" s="80"/>
      <c r="B1012" s="80"/>
      <c r="C1012" s="80"/>
      <c r="D1012" s="80"/>
      <c r="E1012" s="80"/>
      <c r="F1012" s="80"/>
      <c r="G1012" s="80"/>
      <c r="H1012" s="80"/>
      <c r="I1012" s="80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80"/>
      <c r="AF1012" s="80"/>
      <c r="AG1012" s="80"/>
      <c r="AH1012" s="80"/>
      <c r="AI1012" s="80"/>
      <c r="AJ1012" s="80"/>
      <c r="AK1012" s="80"/>
      <c r="AL1012" s="80"/>
      <c r="AM1012" s="80"/>
      <c r="AN1012" s="80"/>
    </row>
    <row r="1013" spans="1:40" ht="14.4">
      <c r="A1013" s="80"/>
      <c r="B1013" s="80"/>
      <c r="C1013" s="80"/>
      <c r="D1013" s="80"/>
      <c r="E1013" s="80"/>
      <c r="F1013" s="80"/>
      <c r="G1013" s="80"/>
      <c r="H1013" s="80"/>
      <c r="I1013" s="80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80"/>
      <c r="AF1013" s="80"/>
      <c r="AG1013" s="80"/>
      <c r="AH1013" s="80"/>
      <c r="AI1013" s="80"/>
      <c r="AJ1013" s="80"/>
      <c r="AK1013" s="80"/>
      <c r="AL1013" s="80"/>
      <c r="AM1013" s="80"/>
      <c r="AN1013" s="80"/>
    </row>
    <row r="1014" spans="1:40" ht="14.4">
      <c r="A1014" s="80"/>
      <c r="B1014" s="80"/>
      <c r="C1014" s="80"/>
      <c r="D1014" s="80"/>
      <c r="E1014" s="80"/>
      <c r="F1014" s="80"/>
      <c r="G1014" s="80"/>
      <c r="H1014" s="80"/>
      <c r="I1014" s="80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80"/>
      <c r="AF1014" s="80"/>
      <c r="AG1014" s="80"/>
      <c r="AH1014" s="80"/>
      <c r="AI1014" s="80"/>
      <c r="AJ1014" s="80"/>
      <c r="AK1014" s="80"/>
      <c r="AL1014" s="80"/>
      <c r="AM1014" s="80"/>
      <c r="AN1014" s="80"/>
    </row>
  </sheetData>
  <mergeCells count="4">
    <mergeCell ref="B2:P2"/>
    <mergeCell ref="G33:H33"/>
    <mergeCell ref="M33:N33"/>
    <mergeCell ref="B101:P101"/>
  </mergeCells>
  <conditionalFormatting sqref="F107:F127">
    <cfRule type="colorScale" priority="1">
      <colorScale>
        <cfvo type="min"/>
        <cfvo type="max"/>
        <color rgb="FFFFFFFF"/>
        <color rgb="FF57BB8A"/>
      </colorScale>
    </cfRule>
  </conditionalFormatting>
  <conditionalFormatting sqref="G107:G112">
    <cfRule type="colorScale" priority="2">
      <colorScale>
        <cfvo type="min"/>
        <cfvo type="max"/>
        <color rgb="FFFFFFFF"/>
        <color rgb="FF57BB8A"/>
      </colorScale>
    </cfRule>
  </conditionalFormatting>
  <conditionalFormatting sqref="H107:H112">
    <cfRule type="colorScale" priority="3">
      <colorScale>
        <cfvo type="min"/>
        <cfvo type="max"/>
        <color rgb="FFFFFFFF"/>
        <color rgb="FF57BB8A"/>
      </colorScale>
    </cfRule>
  </conditionalFormatting>
  <conditionalFormatting sqref="S107:S112 S129">
    <cfRule type="colorScale" priority="4">
      <colorScale>
        <cfvo type="min"/>
        <cfvo type="max"/>
        <color rgb="FFFFFFFF"/>
        <color rgb="FF57BB8A"/>
      </colorScale>
    </cfRule>
  </conditionalFormatting>
  <conditionalFormatting sqref="T107:T112 T129">
    <cfRule type="colorScale" priority="5">
      <colorScale>
        <cfvo type="min"/>
        <cfvo type="max"/>
        <color rgb="FFFFFFFF"/>
        <color rgb="FF57BB8A"/>
      </colorScale>
    </cfRule>
  </conditionalFormatting>
  <conditionalFormatting sqref="U107:U112 U129">
    <cfRule type="colorScale" priority="6">
      <colorScale>
        <cfvo type="min"/>
        <cfvo type="max"/>
        <color rgb="FF57BB8A"/>
        <color rgb="FFFFFFFF"/>
      </colorScale>
    </cfRule>
  </conditionalFormatting>
  <conditionalFormatting sqref="V107:V112 V129">
    <cfRule type="colorScale" priority="7">
      <colorScale>
        <cfvo type="min"/>
        <cfvo type="max"/>
        <color rgb="FF57BB8A"/>
        <color rgb="FFFFFFFF"/>
      </colorScale>
    </cfRule>
  </conditionalFormatting>
  <conditionalFormatting sqref="W107:W112 W129">
    <cfRule type="colorScale" priority="8">
      <colorScale>
        <cfvo type="min"/>
        <cfvo type="max"/>
        <color rgb="FFFFFFFF"/>
        <color rgb="FF57BB8A"/>
      </colorScale>
    </cfRule>
  </conditionalFormatting>
  <conditionalFormatting sqref="X107:X112 X129">
    <cfRule type="colorScale" priority="9">
      <colorScale>
        <cfvo type="min"/>
        <cfvo type="max"/>
        <color rgb="FF57BB8A"/>
        <color rgb="FFFFFFFF"/>
      </colorScale>
    </cfRule>
  </conditionalFormatting>
  <conditionalFormatting sqref="Y107:Y112 Y129">
    <cfRule type="colorScale" priority="10">
      <colorScale>
        <cfvo type="min"/>
        <cfvo type="max"/>
        <color rgb="FFFFFFFF"/>
        <color rgb="FF57BB8A"/>
      </colorScale>
    </cfRule>
  </conditionalFormatting>
  <conditionalFormatting sqref="Z107:Z112 Z129">
    <cfRule type="colorScale" priority="11">
      <colorScale>
        <cfvo type="min"/>
        <cfvo type="max"/>
        <color rgb="FFFFFFFF"/>
        <color rgb="FF57BB8A"/>
      </colorScale>
    </cfRule>
  </conditionalFormatting>
  <conditionalFormatting sqref="AA107:AA112 AA129">
    <cfRule type="colorScale" priority="12">
      <colorScale>
        <cfvo type="min"/>
        <cfvo type="max"/>
        <color rgb="FFFFFFFF"/>
        <color rgb="FF57BB8A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PATANJALI</vt:lpstr>
      <vt:lpstr>EDIBLE OILS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Piyush Patel</dc:creator>
  <cp:lastModifiedBy>Piyush Patel</cp:lastModifiedBy>
  <dcterms:created xsi:type="dcterms:W3CDTF">2024-07-29T11:44:41Z</dcterms:created>
  <dcterms:modified xsi:type="dcterms:W3CDTF">2024-07-29T11:45:11Z</dcterms:modified>
</cp:coreProperties>
</file>