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25\"/>
    </mc:Choice>
  </mc:AlternateContent>
  <xr:revisionPtr revIDLastSave="0" documentId="8_{A770C62C-487E-4DF0-8CCA-A2B30C4519DE}" xr6:coauthVersionLast="47" xr6:coauthVersionMax="47" xr10:uidLastSave="{00000000-0000-0000-0000-000000000000}"/>
  <bookViews>
    <workbookView xWindow="-108" yWindow="-108" windowWidth="23256" windowHeight="12456" xr2:uid="{93513AF5-6060-46B0-93BC-60F14E9DB704}"/>
  </bookViews>
  <sheets>
    <sheet name="BAJFINANCE" sheetId="1" r:id="rId1"/>
    <sheet name=" Non Banking Financial Company_" sheetId="2" r:id="rId2"/>
  </sheets>
  <externalReferences>
    <externalReference r:id="rId3"/>
  </externalReferences>
  <definedNames>
    <definedName name="_xlnm._FilterDatabase" localSheetId="1" hidden="1">' Non Banking Financial Company_'!$A$140:$D$328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9" i="2" l="1"/>
  <c r="M329" i="2"/>
  <c r="L329" i="2"/>
  <c r="N329" i="2" s="1"/>
  <c r="K329" i="2"/>
  <c r="Q329" i="2" s="1"/>
  <c r="J329" i="2"/>
  <c r="I329" i="2"/>
  <c r="H329" i="2"/>
  <c r="P329" i="2" s="1"/>
  <c r="G329" i="2"/>
  <c r="O329" i="2" s="1"/>
  <c r="F329" i="2"/>
  <c r="D326" i="2"/>
  <c r="C326" i="2"/>
  <c r="D325" i="2"/>
  <c r="C325" i="2"/>
  <c r="D324" i="2"/>
  <c r="C324" i="2"/>
  <c r="D323" i="2"/>
  <c r="C323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T150" i="2"/>
  <c r="S150" i="2"/>
  <c r="U150" i="2" s="1"/>
  <c r="Q150" i="2"/>
  <c r="P150" i="2"/>
  <c r="O150" i="2"/>
  <c r="N150" i="2"/>
  <c r="M150" i="2"/>
  <c r="D150" i="2"/>
  <c r="C150" i="2"/>
  <c r="T149" i="2"/>
  <c r="S149" i="2"/>
  <c r="Q149" i="2"/>
  <c r="P149" i="2"/>
  <c r="O149" i="2"/>
  <c r="N149" i="2"/>
  <c r="M149" i="2"/>
  <c r="D149" i="2"/>
  <c r="C149" i="2"/>
  <c r="T148" i="2"/>
  <c r="S148" i="2"/>
  <c r="U148" i="2" s="1"/>
  <c r="Q148" i="2"/>
  <c r="P148" i="2"/>
  <c r="O148" i="2"/>
  <c r="N148" i="2"/>
  <c r="M148" i="2"/>
  <c r="D148" i="2"/>
  <c r="C148" i="2"/>
  <c r="T147" i="2"/>
  <c r="S147" i="2"/>
  <c r="U147" i="2" s="1"/>
  <c r="Q147" i="2"/>
  <c r="P147" i="2"/>
  <c r="O147" i="2"/>
  <c r="N147" i="2"/>
  <c r="M147" i="2"/>
  <c r="D147" i="2"/>
  <c r="C147" i="2"/>
  <c r="T146" i="2"/>
  <c r="S146" i="2"/>
  <c r="U146" i="2" s="1"/>
  <c r="Q146" i="2"/>
  <c r="P146" i="2"/>
  <c r="O146" i="2"/>
  <c r="N146" i="2"/>
  <c r="M146" i="2"/>
  <c r="D146" i="2"/>
  <c r="C146" i="2"/>
  <c r="U145" i="2"/>
  <c r="T145" i="2"/>
  <c r="S145" i="2"/>
  <c r="Q145" i="2"/>
  <c r="P145" i="2"/>
  <c r="O145" i="2"/>
  <c r="N145" i="2"/>
  <c r="M145" i="2"/>
  <c r="D145" i="2"/>
  <c r="C145" i="2"/>
  <c r="T144" i="2"/>
  <c r="S144" i="2"/>
  <c r="Q144" i="2"/>
  <c r="P144" i="2"/>
  <c r="O144" i="2"/>
  <c r="N144" i="2"/>
  <c r="M144" i="2"/>
  <c r="D144" i="2"/>
  <c r="C144" i="2"/>
  <c r="T143" i="2"/>
  <c r="S143" i="2"/>
  <c r="Q143" i="2"/>
  <c r="P143" i="2"/>
  <c r="O143" i="2"/>
  <c r="N143" i="2"/>
  <c r="M143" i="2"/>
  <c r="D143" i="2"/>
  <c r="C143" i="2"/>
  <c r="Q142" i="2"/>
  <c r="P142" i="2"/>
  <c r="O142" i="2"/>
  <c r="N142" i="2"/>
  <c r="M142" i="2"/>
  <c r="D142" i="2"/>
  <c r="C142" i="2"/>
  <c r="U142" i="2" s="1"/>
  <c r="T141" i="2"/>
  <c r="S141" i="2"/>
  <c r="Q141" i="2"/>
  <c r="P141" i="2"/>
  <c r="O141" i="2"/>
  <c r="N141" i="2"/>
  <c r="M141" i="2"/>
  <c r="D141" i="2"/>
  <c r="C141" i="2"/>
  <c r="U141" i="2" s="1"/>
  <c r="L120" i="2"/>
  <c r="H120" i="2"/>
  <c r="K55" i="2"/>
  <c r="G55" i="2"/>
  <c r="C55" i="2"/>
  <c r="D22" i="2"/>
  <c r="C22" i="2"/>
  <c r="E20" i="2"/>
  <c r="E22" i="2" s="1"/>
  <c r="E19" i="2"/>
  <c r="E18" i="2"/>
  <c r="E17" i="2"/>
  <c r="E16" i="2"/>
  <c r="E15" i="2"/>
  <c r="E14" i="2"/>
  <c r="E13" i="2"/>
  <c r="E12" i="2"/>
  <c r="E11" i="2"/>
  <c r="E10" i="2"/>
  <c r="E9" i="2"/>
  <c r="E8" i="2"/>
  <c r="R74" i="1"/>
  <c r="T72" i="1"/>
  <c r="S71" i="1"/>
  <c r="T71" i="1" s="1"/>
  <c r="S70" i="1"/>
  <c r="S74" i="1" s="1"/>
  <c r="T69" i="1"/>
  <c r="T66" i="1"/>
  <c r="S66" i="1"/>
  <c r="R66" i="1"/>
  <c r="U66" i="1" s="1"/>
  <c r="U64" i="1"/>
  <c r="U63" i="1"/>
  <c r="T63" i="1"/>
  <c r="U62" i="1"/>
  <c r="T62" i="1"/>
  <c r="AA61" i="1"/>
  <c r="Z61" i="1"/>
  <c r="Y61" i="1"/>
  <c r="X61" i="1"/>
  <c r="U61" i="1"/>
  <c r="T61" i="1"/>
  <c r="U60" i="1"/>
  <c r="T60" i="1"/>
  <c r="AA59" i="1"/>
  <c r="Z59" i="1"/>
  <c r="U59" i="1"/>
  <c r="T59" i="1"/>
  <c r="AA58" i="1"/>
  <c r="Z58" i="1"/>
  <c r="U58" i="1"/>
  <c r="T58" i="1"/>
  <c r="AA57" i="1"/>
  <c r="Z57" i="1"/>
  <c r="U57" i="1"/>
  <c r="T57" i="1"/>
  <c r="AA56" i="1"/>
  <c r="Z56" i="1"/>
  <c r="U56" i="1"/>
  <c r="T56" i="1"/>
  <c r="AA55" i="1"/>
  <c r="Z55" i="1"/>
  <c r="U55" i="1"/>
  <c r="T55" i="1"/>
  <c r="L55" i="1"/>
  <c r="AA54" i="1"/>
  <c r="Z54" i="1"/>
  <c r="U54" i="1"/>
  <c r="T54" i="1"/>
  <c r="AF51" i="1"/>
  <c r="Z51" i="1"/>
  <c r="T51" i="1"/>
  <c r="AF50" i="1"/>
  <c r="AE50" i="1"/>
  <c r="AD50" i="1"/>
  <c r="Z50" i="1"/>
  <c r="Y50" i="1"/>
  <c r="X50" i="1"/>
  <c r="S50" i="1"/>
  <c r="R50" i="1"/>
  <c r="B9" i="1" s="1"/>
  <c r="O50" i="1"/>
  <c r="AF49" i="1"/>
  <c r="Z49" i="1"/>
  <c r="T49" i="1"/>
  <c r="E49" i="1"/>
  <c r="F49" i="1" s="1"/>
  <c r="D49" i="1"/>
  <c r="D50" i="1" s="1"/>
  <c r="D51" i="1" s="1"/>
  <c r="AF48" i="1"/>
  <c r="Z48" i="1"/>
  <c r="T48" i="1"/>
  <c r="AF47" i="1"/>
  <c r="Z47" i="1"/>
  <c r="T47" i="1"/>
  <c r="AF46" i="1"/>
  <c r="Z46" i="1"/>
  <c r="T46" i="1"/>
  <c r="AF45" i="1"/>
  <c r="Z45" i="1"/>
  <c r="T45" i="1"/>
  <c r="AF44" i="1"/>
  <c r="Z44" i="1"/>
  <c r="T44" i="1"/>
  <c r="D9" i="1" s="1"/>
  <c r="N41" i="1"/>
  <c r="J41" i="1"/>
  <c r="I41" i="1"/>
  <c r="G41" i="1"/>
  <c r="F41" i="1"/>
  <c r="E41" i="1"/>
  <c r="D41" i="1"/>
  <c r="N40" i="1"/>
  <c r="J40" i="1"/>
  <c r="I40" i="1"/>
  <c r="G40" i="1"/>
  <c r="F40" i="1"/>
  <c r="E40" i="1"/>
  <c r="D40" i="1"/>
  <c r="N39" i="1"/>
  <c r="J39" i="1"/>
  <c r="I39" i="1"/>
  <c r="G39" i="1"/>
  <c r="F39" i="1"/>
  <c r="E39" i="1"/>
  <c r="D39" i="1"/>
  <c r="N38" i="1"/>
  <c r="J38" i="1"/>
  <c r="I38" i="1"/>
  <c r="H38" i="1"/>
  <c r="H45" i="1" s="1"/>
  <c r="G38" i="1"/>
  <c r="F38" i="1"/>
  <c r="E38" i="1"/>
  <c r="N35" i="1"/>
  <c r="M35" i="1"/>
  <c r="G35" i="1"/>
  <c r="J35" i="1" s="1"/>
  <c r="F35" i="1"/>
  <c r="E35" i="1"/>
  <c r="N34" i="1"/>
  <c r="L41" i="1" s="1"/>
  <c r="M34" i="1"/>
  <c r="K41" i="1" s="1"/>
  <c r="J34" i="1"/>
  <c r="H41" i="1" s="1"/>
  <c r="H34" i="1"/>
  <c r="F34" i="1"/>
  <c r="N33" i="1"/>
  <c r="M33" i="1"/>
  <c r="J33" i="1"/>
  <c r="H33" i="1"/>
  <c r="F33" i="1"/>
  <c r="N32" i="1"/>
  <c r="M32" i="1"/>
  <c r="J32" i="1"/>
  <c r="H32" i="1"/>
  <c r="F32" i="1"/>
  <c r="Q31" i="1"/>
  <c r="N31" i="1"/>
  <c r="M31" i="1"/>
  <c r="J31" i="1"/>
  <c r="H31" i="1"/>
  <c r="F31" i="1"/>
  <c r="Q30" i="1"/>
  <c r="N30" i="1"/>
  <c r="M30" i="1"/>
  <c r="J30" i="1"/>
  <c r="H30" i="1"/>
  <c r="F30" i="1"/>
  <c r="Q29" i="1"/>
  <c r="N29" i="1"/>
  <c r="L40" i="1" s="1"/>
  <c r="M29" i="1"/>
  <c r="K40" i="1" s="1"/>
  <c r="J29" i="1"/>
  <c r="H40" i="1" s="1"/>
  <c r="H29" i="1"/>
  <c r="F29" i="1"/>
  <c r="Q28" i="1"/>
  <c r="N28" i="1"/>
  <c r="M28" i="1"/>
  <c r="J28" i="1"/>
  <c r="H28" i="1"/>
  <c r="F28" i="1"/>
  <c r="Q27" i="1"/>
  <c r="N27" i="1"/>
  <c r="M27" i="1"/>
  <c r="J27" i="1"/>
  <c r="H27" i="1"/>
  <c r="F27" i="1"/>
  <c r="Q26" i="1"/>
  <c r="N26" i="1"/>
  <c r="L39" i="1" s="1"/>
  <c r="M26" i="1"/>
  <c r="J26" i="1"/>
  <c r="H26" i="1"/>
  <c r="F26" i="1"/>
  <c r="Q25" i="1"/>
  <c r="N25" i="1"/>
  <c r="M25" i="1"/>
  <c r="J25" i="1"/>
  <c r="H25" i="1"/>
  <c r="F25" i="1"/>
  <c r="Q24" i="1"/>
  <c r="N24" i="1"/>
  <c r="M24" i="1"/>
  <c r="K39" i="1" s="1"/>
  <c r="M40" i="1" s="1"/>
  <c r="J24" i="1"/>
  <c r="H39" i="1" s="1"/>
  <c r="H24" i="1"/>
  <c r="F24" i="1"/>
  <c r="Q23" i="1"/>
  <c r="N23" i="1"/>
  <c r="M23" i="1"/>
  <c r="J23" i="1"/>
  <c r="H23" i="1"/>
  <c r="F23" i="1"/>
  <c r="Q22" i="1"/>
  <c r="N22" i="1"/>
  <c r="M22" i="1"/>
  <c r="J22" i="1"/>
  <c r="H22" i="1"/>
  <c r="F22" i="1"/>
  <c r="Q21" i="1"/>
  <c r="N21" i="1"/>
  <c r="M21" i="1"/>
  <c r="J21" i="1"/>
  <c r="H21" i="1"/>
  <c r="F21" i="1"/>
  <c r="Q20" i="1"/>
  <c r="N20" i="1"/>
  <c r="M20" i="1"/>
  <c r="J20" i="1"/>
  <c r="H20" i="1"/>
  <c r="F20" i="1"/>
  <c r="Q19" i="1"/>
  <c r="N19" i="1"/>
  <c r="M19" i="1"/>
  <c r="J19" i="1"/>
  <c r="H19" i="1"/>
  <c r="F19" i="1"/>
  <c r="Q18" i="1"/>
  <c r="N18" i="1"/>
  <c r="M18" i="1"/>
  <c r="J18" i="1"/>
  <c r="H18" i="1"/>
  <c r="F18" i="1"/>
  <c r="Q17" i="1"/>
  <c r="N17" i="1"/>
  <c r="M17" i="1"/>
  <c r="J17" i="1"/>
  <c r="H17" i="1"/>
  <c r="F17" i="1"/>
  <c r="Q16" i="1"/>
  <c r="N16" i="1"/>
  <c r="M16" i="1"/>
  <c r="J16" i="1"/>
  <c r="H16" i="1"/>
  <c r="F16" i="1"/>
  <c r="Q15" i="1"/>
  <c r="N15" i="1"/>
  <c r="M15" i="1"/>
  <c r="J15" i="1"/>
  <c r="H15" i="1"/>
  <c r="F15" i="1"/>
  <c r="Q14" i="1"/>
  <c r="N14" i="1"/>
  <c r="L38" i="1" s="1"/>
  <c r="M14" i="1"/>
  <c r="K38" i="1" s="1"/>
  <c r="J14" i="1"/>
  <c r="H14" i="1"/>
  <c r="F14" i="1"/>
  <c r="Q13" i="1"/>
  <c r="N13" i="1"/>
  <c r="M13" i="1"/>
  <c r="J13" i="1"/>
  <c r="H13" i="1"/>
  <c r="F13" i="1"/>
  <c r="Q12" i="1"/>
  <c r="N12" i="1"/>
  <c r="M12" i="1"/>
  <c r="J12" i="1"/>
  <c r="P9" i="1"/>
  <c r="J9" i="1"/>
  <c r="F9" i="1"/>
  <c r="C9" i="1"/>
  <c r="O6" i="1"/>
  <c r="M6" i="1"/>
  <c r="K6" i="1"/>
  <c r="H6" i="1"/>
  <c r="E9" i="1" s="1"/>
  <c r="D6" i="1"/>
  <c r="M55" i="1" s="1"/>
  <c r="C6" i="1"/>
  <c r="T329" i="2" l="1"/>
  <c r="U149" i="2"/>
  <c r="S329" i="2"/>
  <c r="U143" i="2"/>
  <c r="U144" i="2"/>
  <c r="E251" i="2"/>
  <c r="E160" i="2"/>
  <c r="E200" i="2"/>
  <c r="E216" i="2"/>
  <c r="E224" i="2"/>
  <c r="E264" i="2"/>
  <c r="E280" i="2"/>
  <c r="E288" i="2"/>
  <c r="E148" i="2"/>
  <c r="E309" i="2"/>
  <c r="E325" i="2"/>
  <c r="U329" i="2"/>
  <c r="E210" i="2"/>
  <c r="E218" i="2"/>
  <c r="E242" i="2"/>
  <c r="E322" i="2"/>
  <c r="E142" i="2"/>
  <c r="E144" i="2"/>
  <c r="D329" i="2"/>
  <c r="E146" i="2" s="1"/>
  <c r="N55" i="1"/>
  <c r="O53" i="1" s="1"/>
  <c r="R9" i="1" s="1"/>
  <c r="F46" i="1"/>
  <c r="G46" i="1" s="1"/>
  <c r="G49" i="1" s="1"/>
  <c r="H49" i="1" s="1"/>
  <c r="L6" i="1"/>
  <c r="M41" i="1"/>
  <c r="M38" i="1"/>
  <c r="M39" i="1"/>
  <c r="T74" i="1"/>
  <c r="H35" i="1"/>
  <c r="T64" i="1"/>
  <c r="T70" i="1"/>
  <c r="T50" i="1"/>
  <c r="E50" i="1"/>
  <c r="N9" i="1"/>
  <c r="O9" i="1"/>
  <c r="Q9" i="1"/>
  <c r="E306" i="2" l="1"/>
  <c r="E202" i="2"/>
  <c r="E324" i="2"/>
  <c r="E260" i="2"/>
  <c r="E196" i="2"/>
  <c r="E282" i="2"/>
  <c r="E194" i="2"/>
  <c r="E320" i="2"/>
  <c r="E256" i="2"/>
  <c r="E192" i="2"/>
  <c r="E274" i="2"/>
  <c r="E178" i="2"/>
  <c r="E312" i="2"/>
  <c r="E248" i="2"/>
  <c r="E184" i="2"/>
  <c r="E266" i="2"/>
  <c r="E149" i="2"/>
  <c r="E296" i="2"/>
  <c r="E232" i="2"/>
  <c r="E168" i="2"/>
  <c r="E258" i="2"/>
  <c r="E292" i="2"/>
  <c r="E228" i="2"/>
  <c r="E164" i="2"/>
  <c r="E314" i="2"/>
  <c r="E250" i="2"/>
  <c r="E186" i="2"/>
  <c r="E317" i="2"/>
  <c r="E316" i="2"/>
  <c r="E284" i="2"/>
  <c r="E252" i="2"/>
  <c r="E220" i="2"/>
  <c r="E188" i="2"/>
  <c r="E156" i="2"/>
  <c r="E152" i="2"/>
  <c r="E298" i="2"/>
  <c r="E234" i="2"/>
  <c r="E170" i="2"/>
  <c r="E293" i="2"/>
  <c r="E308" i="2"/>
  <c r="E276" i="2"/>
  <c r="E244" i="2"/>
  <c r="E212" i="2"/>
  <c r="E180" i="2"/>
  <c r="E329" i="2"/>
  <c r="E313" i="2"/>
  <c r="E305" i="2"/>
  <c r="E297" i="2"/>
  <c r="E289" i="2"/>
  <c r="E281" i="2"/>
  <c r="E217" i="2"/>
  <c r="E145" i="2"/>
  <c r="E326" i="2"/>
  <c r="E318" i="2"/>
  <c r="E310" i="2"/>
  <c r="E302" i="2"/>
  <c r="E294" i="2"/>
  <c r="E286" i="2"/>
  <c r="E278" i="2"/>
  <c r="E270" i="2"/>
  <c r="E262" i="2"/>
  <c r="E254" i="2"/>
  <c r="E246" i="2"/>
  <c r="E238" i="2"/>
  <c r="E230" i="2"/>
  <c r="E222" i="2"/>
  <c r="E214" i="2"/>
  <c r="E206" i="2"/>
  <c r="E198" i="2"/>
  <c r="E190" i="2"/>
  <c r="E182" i="2"/>
  <c r="E174" i="2"/>
  <c r="E166" i="2"/>
  <c r="E158" i="2"/>
  <c r="E150" i="2"/>
  <c r="E257" i="2"/>
  <c r="E249" i="2"/>
  <c r="E241" i="2"/>
  <c r="E185" i="2"/>
  <c r="E177" i="2"/>
  <c r="E161" i="2"/>
  <c r="E323" i="2"/>
  <c r="E315" i="2"/>
  <c r="E307" i="2"/>
  <c r="E299" i="2"/>
  <c r="E291" i="2"/>
  <c r="E275" i="2"/>
  <c r="E267" i="2"/>
  <c r="E243" i="2"/>
  <c r="E235" i="2"/>
  <c r="E227" i="2"/>
  <c r="E219" i="2"/>
  <c r="E211" i="2"/>
  <c r="E203" i="2"/>
  <c r="E195" i="2"/>
  <c r="E187" i="2"/>
  <c r="E171" i="2"/>
  <c r="E163" i="2"/>
  <c r="E155" i="2"/>
  <c r="E147" i="2"/>
  <c r="E141" i="2"/>
  <c r="E153" i="2"/>
  <c r="E301" i="2"/>
  <c r="E285" i="2"/>
  <c r="E277" i="2"/>
  <c r="E269" i="2"/>
  <c r="E261" i="2"/>
  <c r="E253" i="2"/>
  <c r="E245" i="2"/>
  <c r="E237" i="2"/>
  <c r="E229" i="2"/>
  <c r="E221" i="2"/>
  <c r="E205" i="2"/>
  <c r="E197" i="2"/>
  <c r="E189" i="2"/>
  <c r="E181" i="2"/>
  <c r="E165" i="2"/>
  <c r="E157" i="2"/>
  <c r="E169" i="2"/>
  <c r="E265" i="2"/>
  <c r="E233" i="2"/>
  <c r="E193" i="2"/>
  <c r="E319" i="2"/>
  <c r="E311" i="2"/>
  <c r="E303" i="2"/>
  <c r="E295" i="2"/>
  <c r="E287" i="2"/>
  <c r="E279" i="2"/>
  <c r="E271" i="2"/>
  <c r="E263" i="2"/>
  <c r="E255" i="2"/>
  <c r="E247" i="2"/>
  <c r="E239" i="2"/>
  <c r="E231" i="2"/>
  <c r="E223" i="2"/>
  <c r="E215" i="2"/>
  <c r="E207" i="2"/>
  <c r="E199" i="2"/>
  <c r="E191" i="2"/>
  <c r="E183" i="2"/>
  <c r="E175" i="2"/>
  <c r="E167" i="2"/>
  <c r="E159" i="2"/>
  <c r="E151" i="2"/>
  <c r="E143" i="2"/>
  <c r="E321" i="2"/>
  <c r="E273" i="2"/>
  <c r="E225" i="2"/>
  <c r="E209" i="2"/>
  <c r="E201" i="2"/>
  <c r="E290" i="2"/>
  <c r="E226" i="2"/>
  <c r="E162" i="2"/>
  <c r="E213" i="2"/>
  <c r="E304" i="2"/>
  <c r="E272" i="2"/>
  <c r="E240" i="2"/>
  <c r="E208" i="2"/>
  <c r="E176" i="2"/>
  <c r="E283" i="2"/>
  <c r="E154" i="2"/>
  <c r="E173" i="2"/>
  <c r="E300" i="2"/>
  <c r="E268" i="2"/>
  <c r="E236" i="2"/>
  <c r="E204" i="2"/>
  <c r="E172" i="2"/>
  <c r="E259" i="2"/>
  <c r="E179" i="2"/>
  <c r="M9" i="1"/>
  <c r="L9" i="1"/>
  <c r="K9" i="1"/>
  <c r="F50" i="1"/>
  <c r="E51" i="1"/>
  <c r="G50" i="1" l="1"/>
  <c r="F51" i="1"/>
  <c r="H50" i="1" l="1"/>
  <c r="G51" i="1"/>
  <c r="H51" i="1" s="1"/>
</calcChain>
</file>

<file path=xl/sharedStrings.xml><?xml version="1.0" encoding="utf-8"?>
<sst xmlns="http://schemas.openxmlformats.org/spreadsheetml/2006/main" count="601" uniqueCount="377">
  <si>
    <t>BAJAJ FINANCE</t>
  </si>
  <si>
    <t>MARKET</t>
  </si>
  <si>
    <t>INCOME</t>
  </si>
  <si>
    <t>BALANCESHEET</t>
  </si>
  <si>
    <t>BAJFINANCE</t>
  </si>
  <si>
    <t>MARKETCAP</t>
  </si>
  <si>
    <t>Price</t>
  </si>
  <si>
    <t>Equity</t>
  </si>
  <si>
    <t>FV</t>
  </si>
  <si>
    <t>Reserve</t>
  </si>
  <si>
    <t>AUM</t>
  </si>
  <si>
    <t>DEPOSITS</t>
  </si>
  <si>
    <t>BORROWING</t>
  </si>
  <si>
    <t>SALES</t>
  </si>
  <si>
    <t>PROFIT</t>
  </si>
  <si>
    <t>TRAIL_EPS</t>
  </si>
  <si>
    <t>ASSETS</t>
  </si>
  <si>
    <t>LIABILITIES</t>
  </si>
  <si>
    <t>EMPLOYEE</t>
  </si>
  <si>
    <t>COSTOFFUND</t>
  </si>
  <si>
    <t>FINANCE</t>
  </si>
  <si>
    <t>MARGIN</t>
  </si>
  <si>
    <t>SALES GRO</t>
  </si>
  <si>
    <t>AUM GR</t>
  </si>
  <si>
    <t>DEP %</t>
  </si>
  <si>
    <t>GNPA%</t>
  </si>
  <si>
    <t>PCR</t>
  </si>
  <si>
    <t>CAR</t>
  </si>
  <si>
    <t>LCR</t>
  </si>
  <si>
    <t>DEBTRATIO</t>
  </si>
  <si>
    <t>ROA</t>
  </si>
  <si>
    <t>ROE</t>
  </si>
  <si>
    <t>ROPE</t>
  </si>
  <si>
    <t>Trail_PE</t>
  </si>
  <si>
    <t>F-YIELD</t>
  </si>
  <si>
    <t>BOOKVALUE</t>
  </si>
  <si>
    <t>P/BV X</t>
  </si>
  <si>
    <t>PEG</t>
  </si>
  <si>
    <t>Actual</t>
  </si>
  <si>
    <t>Year</t>
  </si>
  <si>
    <t>Sales</t>
  </si>
  <si>
    <t>Sales Growth</t>
  </si>
  <si>
    <t>Profit</t>
  </si>
  <si>
    <t>Profit Growth</t>
  </si>
  <si>
    <t>EPS</t>
  </si>
  <si>
    <t>Margin</t>
  </si>
  <si>
    <t>PriceHigh</t>
  </si>
  <si>
    <t>PriceLow</t>
  </si>
  <si>
    <t>HPE</t>
  </si>
  <si>
    <t>LPE</t>
  </si>
  <si>
    <t>Researve</t>
  </si>
  <si>
    <t>10% Dividend</t>
  </si>
  <si>
    <t>NETNPA</t>
  </si>
  <si>
    <t>fy_2002</t>
  </si>
  <si>
    <t>fy_2003</t>
  </si>
  <si>
    <t>fy_2004</t>
  </si>
  <si>
    <t>fy_2005</t>
  </si>
  <si>
    <t>fy_2006</t>
  </si>
  <si>
    <t>fy_2007</t>
  </si>
  <si>
    <t>fy_2008</t>
  </si>
  <si>
    <t>fy_2009</t>
  </si>
  <si>
    <t>fy_2010</t>
  </si>
  <si>
    <t>fy_2011</t>
  </si>
  <si>
    <t>fy_2012</t>
  </si>
  <si>
    <t>fy_2013</t>
  </si>
  <si>
    <t>fy_2014</t>
  </si>
  <si>
    <t>fy_2015</t>
  </si>
  <si>
    <t>fy_2016</t>
  </si>
  <si>
    <t>SplitBonus</t>
  </si>
  <si>
    <t>fy_2017</t>
  </si>
  <si>
    <t>fy_2018</t>
  </si>
  <si>
    <t>fy_2019</t>
  </si>
  <si>
    <t>fy_2020</t>
  </si>
  <si>
    <t>fy_2021</t>
  </si>
  <si>
    <t>fy_2022</t>
  </si>
  <si>
    <t>fy_2023</t>
  </si>
  <si>
    <t>fy_2024</t>
  </si>
  <si>
    <t>Trail_fy25</t>
  </si>
  <si>
    <t>GROWTH</t>
  </si>
  <si>
    <t>FYEAR</t>
  </si>
  <si>
    <t>FAIR_PE</t>
  </si>
  <si>
    <t>Growth 20Y LONGTERM</t>
  </si>
  <si>
    <t>Growth 10y MIDTERM</t>
  </si>
  <si>
    <t>Growth 5y SHORTTERM</t>
  </si>
  <si>
    <t>Last Year Gr</t>
  </si>
  <si>
    <t>RESULT</t>
  </si>
  <si>
    <t>Q1_FY_25</t>
  </si>
  <si>
    <t>Q1_FY_24</t>
  </si>
  <si>
    <t>Q4_FY_24</t>
  </si>
  <si>
    <t>Q4_FY_23</t>
  </si>
  <si>
    <t>FY_24</t>
  </si>
  <si>
    <t>FY_23</t>
  </si>
  <si>
    <t>Expectation</t>
  </si>
  <si>
    <t>YEAR</t>
  </si>
  <si>
    <t>TREND</t>
  </si>
  <si>
    <t>H1_FY_24</t>
  </si>
  <si>
    <t>9M_FY_24</t>
  </si>
  <si>
    <t>EST_FY25</t>
  </si>
  <si>
    <t>LONG TERM</t>
  </si>
  <si>
    <t>FY_2025</t>
  </si>
  <si>
    <t>COST</t>
  </si>
  <si>
    <t>EST_YEARS</t>
  </si>
  <si>
    <t>FAIRVALUE</t>
  </si>
  <si>
    <t>TRAIL-EPS</t>
  </si>
  <si>
    <t>Q2_FY_24</t>
  </si>
  <si>
    <t>Q3_FY_24</t>
  </si>
  <si>
    <t>FY_2030</t>
  </si>
  <si>
    <t>FY_2035</t>
  </si>
  <si>
    <t>GROSS NPA</t>
  </si>
  <si>
    <t>EPS_24</t>
  </si>
  <si>
    <t>T_EPS_25</t>
  </si>
  <si>
    <t>F_EPS_25</t>
  </si>
  <si>
    <t>F_PEG.</t>
  </si>
  <si>
    <t>SEGMENT AUM</t>
  </si>
  <si>
    <t>SHARE</t>
  </si>
  <si>
    <t>MAJORCOST</t>
  </si>
  <si>
    <t>PE_24</t>
  </si>
  <si>
    <t>T_PE_25</t>
  </si>
  <si>
    <t>R_PE_25</t>
  </si>
  <si>
    <t>MORTGAGES</t>
  </si>
  <si>
    <t>Urban 82C</t>
  </si>
  <si>
    <t xml:space="preserve">SME lending </t>
  </si>
  <si>
    <t>IMPARIMENT</t>
  </si>
  <si>
    <t>Urban Sales Finance</t>
  </si>
  <si>
    <t>OTHERCOST</t>
  </si>
  <si>
    <t xml:space="preserve">Rural 82C </t>
  </si>
  <si>
    <t>COMMISION</t>
  </si>
  <si>
    <t xml:space="preserve">Commercial lending </t>
  </si>
  <si>
    <t>D&amp;A</t>
  </si>
  <si>
    <t xml:space="preserve">Loan against Securities </t>
  </si>
  <si>
    <t>2&amp;3 WHEELER FIN</t>
  </si>
  <si>
    <t>TOTAL</t>
  </si>
  <si>
    <t xml:space="preserve">Rural Sales Finance </t>
  </si>
  <si>
    <t>Gold Loans</t>
  </si>
  <si>
    <t>Car Loans</t>
  </si>
  <si>
    <t>SHP</t>
  </si>
  <si>
    <t>FY_16</t>
  </si>
  <si>
    <t>PROMOTER</t>
  </si>
  <si>
    <t>MUTUALFUND</t>
  </si>
  <si>
    <t>FII</t>
  </si>
  <si>
    <t>RETAIL</t>
  </si>
  <si>
    <t xml:space="preserve"> Non Banking Financial Company_NBFC ANALYSIS</t>
  </si>
  <si>
    <t>INDUSTRY</t>
  </si>
  <si>
    <t>RETAIL_CREDIT_LAKH CR</t>
  </si>
  <si>
    <t>COMMERCIAL_CREDIT_LAKH CR</t>
  </si>
  <si>
    <t>FY_2023</t>
  </si>
  <si>
    <t>FY_2013</t>
  </si>
  <si>
    <t>FY_2014</t>
  </si>
  <si>
    <t>MSME</t>
  </si>
  <si>
    <t>FY_2015</t>
  </si>
  <si>
    <t>OTHERS</t>
  </si>
  <si>
    <t>FY_2016</t>
  </si>
  <si>
    <t>AGRI</t>
  </si>
  <si>
    <t>FY_2017</t>
  </si>
  <si>
    <t>PL</t>
  </si>
  <si>
    <t>FY_2018</t>
  </si>
  <si>
    <t>AUTO</t>
  </si>
  <si>
    <t>FY_2019</t>
  </si>
  <si>
    <t>CV</t>
  </si>
  <si>
    <t>FY_2020</t>
  </si>
  <si>
    <t>GOLD</t>
  </si>
  <si>
    <t>FY_2021</t>
  </si>
  <si>
    <t>CREDITCARD</t>
  </si>
  <si>
    <t>FY_2022</t>
  </si>
  <si>
    <t>EST_FY_2024</t>
  </si>
  <si>
    <t>EST_FY_2028</t>
  </si>
  <si>
    <t>GROWTH_5Y</t>
  </si>
  <si>
    <t>COMPANY</t>
  </si>
  <si>
    <t>SALES_23</t>
  </si>
  <si>
    <t>PROFIT_23</t>
  </si>
  <si>
    <t>JIOFIN</t>
  </si>
  <si>
    <t>CHOLAFIN</t>
  </si>
  <si>
    <t>SHRIRAMFIN</t>
  </si>
  <si>
    <t>SBICARD</t>
  </si>
  <si>
    <t>MUTHOOTFIN</t>
  </si>
  <si>
    <t>SUNDARMFIN</t>
  </si>
  <si>
    <t>POONAWALLA</t>
  </si>
  <si>
    <t>M&amp;MFIN</t>
  </si>
  <si>
    <t>IIFL</t>
  </si>
  <si>
    <t>OTHERS_176</t>
  </si>
  <si>
    <t>SALES_5Y_GR</t>
  </si>
  <si>
    <t>CY_SALES GR</t>
  </si>
  <si>
    <t>MARGIN_23</t>
  </si>
  <si>
    <t>CY_MARGIN</t>
  </si>
  <si>
    <t>NA</t>
  </si>
  <si>
    <t>PROFITABILITY</t>
  </si>
  <si>
    <t>VALUATIONS</t>
  </si>
  <si>
    <t>ROE%</t>
  </si>
  <si>
    <t>PE</t>
  </si>
  <si>
    <t>YIELD%</t>
  </si>
  <si>
    <t>RAWDATA</t>
  </si>
  <si>
    <t>Security Code</t>
  </si>
  <si>
    <t>CMP</t>
  </si>
  <si>
    <t>Companies weightage</t>
  </si>
  <si>
    <t>SALES_18</t>
  </si>
  <si>
    <t>9M_FY24_SALES</t>
  </si>
  <si>
    <t>9M_FY23_SALES</t>
  </si>
  <si>
    <t>9M_FY24_PROFIT</t>
  </si>
  <si>
    <t>9M_FY23_PROFIT</t>
  </si>
  <si>
    <t>CY_PRPFIT_GR</t>
  </si>
  <si>
    <t>TRAILEPS</t>
  </si>
  <si>
    <t>FIVESTAR</t>
  </si>
  <si>
    <t>CGCL</t>
  </si>
  <si>
    <t>PEL</t>
  </si>
  <si>
    <t>MANAPPURAM</t>
  </si>
  <si>
    <t>AIIL</t>
  </si>
  <si>
    <t>BENGALASM</t>
  </si>
  <si>
    <t>SBFC</t>
  </si>
  <si>
    <t>PAISALO</t>
  </si>
  <si>
    <t>UJJIVAN</t>
  </si>
  <si>
    <t>MASFIN</t>
  </si>
  <si>
    <t>FEDFINA</t>
  </si>
  <si>
    <t>MUFIN</t>
  </si>
  <si>
    <t>PFS</t>
  </si>
  <si>
    <t>INDOSTAR</t>
  </si>
  <si>
    <t>SGFIN</t>
  </si>
  <si>
    <t>UGROCAP</t>
  </si>
  <si>
    <t>ARMANFIN</t>
  </si>
  <si>
    <t>NSIL</t>
  </si>
  <si>
    <t>MASTERTR</t>
  </si>
  <si>
    <t>SUMMITSEC</t>
  </si>
  <si>
    <t>BLIL</t>
  </si>
  <si>
    <t>CREST</t>
  </si>
  <si>
    <t>CIFL</t>
  </si>
  <si>
    <t>CSLFINANCE</t>
  </si>
  <si>
    <t>VHL</t>
  </si>
  <si>
    <t>LASTMILE</t>
  </si>
  <si>
    <t>TRU</t>
  </si>
  <si>
    <t>NIYOGIN</t>
  </si>
  <si>
    <t>MONEYBOXX</t>
  </si>
  <si>
    <t>IMCAP</t>
  </si>
  <si>
    <t>FINKURVE</t>
  </si>
  <si>
    <t>AKCAPIT</t>
  </si>
  <si>
    <t>MANGIND</t>
  </si>
  <si>
    <t>UYFINCORP</t>
  </si>
  <si>
    <t>MUTHTFN</t>
  </si>
  <si>
    <t>IITL</t>
  </si>
  <si>
    <t>STANCAP</t>
  </si>
  <si>
    <t>KIRANVYPAR</t>
  </si>
  <si>
    <t>ZSARACOM</t>
  </si>
  <si>
    <t>SAHLIBHFI</t>
  </si>
  <si>
    <t>VAARAD</t>
  </si>
  <si>
    <t>APOLLOFI</t>
  </si>
  <si>
    <t>SCL</t>
  </si>
  <si>
    <t>BAIDFIN</t>
  </si>
  <si>
    <t>CTL</t>
  </si>
  <si>
    <t>STARTECK</t>
  </si>
  <si>
    <t>BOMOXY-B1</t>
  </si>
  <si>
    <t>ARYAMAN</t>
  </si>
  <si>
    <t>NAYSAA</t>
  </si>
  <si>
    <t>AVONMORE</t>
  </si>
  <si>
    <t>AVAILFC</t>
  </si>
  <si>
    <t>CAPITALT</t>
  </si>
  <si>
    <t>MANCREDIT</t>
  </si>
  <si>
    <t>VGCL</t>
  </si>
  <si>
    <t>IFINSEC</t>
  </si>
  <si>
    <t>KIFS</t>
  </si>
  <si>
    <t>PMCFIN</t>
  </si>
  <si>
    <t>REGIS</t>
  </si>
  <si>
    <t>SONAL</t>
  </si>
  <si>
    <t>ADVIKCA</t>
  </si>
  <si>
    <t>CGFL</t>
  </si>
  <si>
    <t>ABHICAP</t>
  </si>
  <si>
    <t>RSDFIN</t>
  </si>
  <si>
    <t>ACME</t>
  </si>
  <si>
    <t>MENAMANI</t>
  </si>
  <si>
    <t>ALFREDHE</t>
  </si>
  <si>
    <t>KALYANCAP</t>
  </si>
  <si>
    <t>MMLF</t>
  </si>
  <si>
    <t>SODFC</t>
  </si>
  <si>
    <t>TIMESGTY</t>
  </si>
  <si>
    <t>KREONFIN</t>
  </si>
  <si>
    <t>ARNOLD</t>
  </si>
  <si>
    <t>MUKESHB</t>
  </si>
  <si>
    <t>ASHIKA</t>
  </si>
  <si>
    <t>SERA</t>
  </si>
  <si>
    <t>ASSAMENT</t>
  </si>
  <si>
    <t>NCLRESE</t>
  </si>
  <si>
    <t>SAUMYA</t>
  </si>
  <si>
    <t>SANGAMFIN</t>
  </si>
  <si>
    <t>TITANSEC</t>
  </si>
  <si>
    <t>EMERALD</t>
  </si>
  <si>
    <t>OPTIFIN</t>
  </si>
  <si>
    <t>DYNAMICP</t>
  </si>
  <si>
    <t>UPSURGE</t>
  </si>
  <si>
    <t>CEEJAY</t>
  </si>
  <si>
    <t>MORARKFI</t>
  </si>
  <si>
    <t>SPS</t>
  </si>
  <si>
    <t>SUPRAPFSL</t>
  </si>
  <si>
    <t>YOGI</t>
  </si>
  <si>
    <t>HBSTOCK</t>
  </si>
  <si>
    <t>SKPSEC</t>
  </si>
  <si>
    <t>TCFCFINQ</t>
  </si>
  <si>
    <t>INDIANVSH</t>
  </si>
  <si>
    <t>COMFINCAP</t>
  </si>
  <si>
    <t>SULABEN</t>
  </si>
  <si>
    <t>SALEM</t>
  </si>
  <si>
    <t>TFL</t>
  </si>
  <si>
    <t>SAGARPROD</t>
  </si>
  <si>
    <t>ADMANUM</t>
  </si>
  <si>
    <t>KEYCORP</t>
  </si>
  <si>
    <t>SMARTFIN</t>
  </si>
  <si>
    <t>TTIENT</t>
  </si>
  <si>
    <t>SOFTRAKV</t>
  </si>
  <si>
    <t>EVERFIN</t>
  </si>
  <si>
    <t>MORGAN</t>
  </si>
  <si>
    <t>INDCEMCAP</t>
  </si>
  <si>
    <t>LADDERUP</t>
  </si>
  <si>
    <t>ODYCORP</t>
  </si>
  <si>
    <t>GLOBALCA</t>
  </si>
  <si>
    <t>ADCON</t>
  </si>
  <si>
    <t>INTRGLB</t>
  </si>
  <si>
    <t>NEIL</t>
  </si>
  <si>
    <t>MEGACOR</t>
  </si>
  <si>
    <t>GARBIFIN</t>
  </si>
  <si>
    <t>NLFL</t>
  </si>
  <si>
    <t>BAMPSL</t>
  </si>
  <si>
    <t>JAFINANCE</t>
  </si>
  <si>
    <t>INTECCAP</t>
  </si>
  <si>
    <t>HYBRIDFIN</t>
  </si>
  <si>
    <t>JMJFIN</t>
  </si>
  <si>
    <t>SHREESEC</t>
  </si>
  <si>
    <t>FMEC</t>
  </si>
  <si>
    <t>SHRYDUS</t>
  </si>
  <si>
    <t>ANUPAM</t>
  </si>
  <si>
    <t>SARVOTTAM</t>
  </si>
  <si>
    <t>CHALLANI</t>
  </si>
  <si>
    <t>LLFICL</t>
  </si>
  <si>
    <t>FRANKLIN</t>
  </si>
  <si>
    <t>KJMCFIN</t>
  </si>
  <si>
    <t>EASUN</t>
  </si>
  <si>
    <t>STDBAT</t>
  </si>
  <si>
    <t>DAL</t>
  </si>
  <si>
    <t>SWRNASE</t>
  </si>
  <si>
    <t>BFLAFL</t>
  </si>
  <si>
    <t>VFL</t>
  </si>
  <si>
    <t>RFLL</t>
  </si>
  <si>
    <t>KARNAVATI</t>
  </si>
  <si>
    <t>ISFL</t>
  </si>
  <si>
    <t>CSL</t>
  </si>
  <si>
    <t>PARAGONF</t>
  </si>
  <si>
    <t>SHARPINV</t>
  </si>
  <si>
    <t>SUJALA</t>
  </si>
  <si>
    <t>RRFIN</t>
  </si>
  <si>
    <t>PRISMMEDI</t>
  </si>
  <si>
    <t>OASISEC</t>
  </si>
  <si>
    <t>GILADAFINS</t>
  </si>
  <si>
    <t>SHREMETAL</t>
  </si>
  <si>
    <t>HELPAGE</t>
  </si>
  <si>
    <t>ACFSL</t>
  </si>
  <si>
    <t>INDUSFINL</t>
  </si>
  <si>
    <t>MEHIF</t>
  </si>
  <si>
    <t>SHRICON</t>
  </si>
  <si>
    <t>ETIL</t>
  </si>
  <si>
    <t>PANAFIC</t>
  </si>
  <si>
    <t>ANJANIFIN</t>
  </si>
  <si>
    <t>KAPILRAJ</t>
  </si>
  <si>
    <t>UNITDCR</t>
  </si>
  <si>
    <t>ANNAINFRA</t>
  </si>
  <si>
    <t>HASTIFIN</t>
  </si>
  <si>
    <t>ALFL</t>
  </si>
  <si>
    <t>PYXISFIN</t>
  </si>
  <si>
    <t>RAP</t>
  </si>
  <si>
    <t>GOYALASS</t>
  </si>
  <si>
    <t>GBFL</t>
  </si>
  <si>
    <t>1STCUS</t>
  </si>
  <si>
    <t>EPIC</t>
  </si>
  <si>
    <t>FGP</t>
  </si>
  <si>
    <t>TPROJECT</t>
  </si>
  <si>
    <t>LEADFIN</t>
  </si>
  <si>
    <t>WILLIMFI</t>
  </si>
  <si>
    <t>SUPERIOR</t>
  </si>
  <si>
    <t>MATHEWE</t>
  </si>
  <si>
    <t>SCC</t>
  </si>
  <si>
    <t>RLFL</t>
  </si>
  <si>
    <t>ATHARVENT</t>
  </si>
  <si>
    <t>SYTIXSE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</si>
</sst>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31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9"/>
      <color rgb="FF000000"/>
      <name val="Arial"/>
    </font>
    <font>
      <sz val="36"/>
      <color rgb="FFFFFFFF"/>
      <name val="Calibri"/>
      <scheme val="minor"/>
    </font>
    <font>
      <sz val="11"/>
      <color theme="10"/>
      <name val="Calibri"/>
    </font>
    <font>
      <sz val="11"/>
      <color theme="1"/>
      <name val="Arial"/>
    </font>
    <font>
      <sz val="11"/>
      <color theme="1"/>
      <name val="Calibri"/>
    </font>
    <font>
      <b/>
      <sz val="11"/>
      <color rgb="FFFFFFFF"/>
      <name val="Source Code Pro"/>
    </font>
    <font>
      <sz val="7"/>
      <color rgb="FF000000"/>
      <name val="Arial"/>
    </font>
    <font>
      <sz val="11"/>
      <color theme="1"/>
      <name val="Source Code Pro"/>
    </font>
    <font>
      <sz val="11"/>
      <color rgb="FF0000FF"/>
      <name val="Source Code Pro"/>
    </font>
    <font>
      <b/>
      <sz val="11"/>
      <color theme="0"/>
      <name val="Source Code Pro"/>
    </font>
    <font>
      <sz val="11"/>
      <color rgb="FF9C6500"/>
      <name val="Source Code Pro"/>
    </font>
    <font>
      <sz val="11"/>
      <color rgb="FF9C0006"/>
      <name val="Source Code Pro"/>
    </font>
    <font>
      <b/>
      <i/>
      <sz val="11"/>
      <color rgb="FF000000"/>
      <name val="Source Code Pro"/>
    </font>
    <font>
      <b/>
      <i/>
      <sz val="11"/>
      <color rgb="FF7F7F7F"/>
      <name val="Source Code Pro"/>
    </font>
    <font>
      <b/>
      <sz val="11"/>
      <color theme="0"/>
      <name val="Calibri"/>
    </font>
    <font>
      <sz val="25"/>
      <color theme="1"/>
      <name val="Calibri"/>
      <scheme val="minor"/>
    </font>
    <font>
      <b/>
      <sz val="11"/>
      <color rgb="FFFFFFFF"/>
      <name val="Calibri"/>
    </font>
    <font>
      <sz val="11"/>
      <name val="Arial"/>
    </font>
    <font>
      <b/>
      <sz val="11"/>
      <color theme="1"/>
      <name val="Arial"/>
    </font>
    <font>
      <b/>
      <sz val="11"/>
      <color theme="1"/>
      <name val="Calibri"/>
      <scheme val="minor"/>
    </font>
    <font>
      <b/>
      <i/>
      <sz val="11"/>
      <color theme="1"/>
      <name val="Calibri"/>
      <scheme val="minor"/>
    </font>
    <font>
      <b/>
      <sz val="11"/>
      <color theme="1"/>
      <name val="Calibri"/>
    </font>
    <font>
      <b/>
      <i/>
      <sz val="11"/>
      <color theme="1"/>
      <name val="Source Code Pro"/>
    </font>
    <font>
      <sz val="20"/>
      <color rgb="FFFFFFFF"/>
      <name val="Arial"/>
    </font>
    <font>
      <sz val="11"/>
      <color rgb="FFFFFFFF"/>
      <name val="Arial"/>
    </font>
    <font>
      <b/>
      <sz val="11"/>
      <color rgb="FFFFFFFF"/>
      <name val="Arial"/>
    </font>
    <font>
      <b/>
      <i/>
      <sz val="11"/>
      <color theme="1"/>
      <name val="Arial"/>
    </font>
    <font>
      <b/>
      <i/>
      <u/>
      <sz val="11"/>
      <color theme="1"/>
      <name val="Arial"/>
    </font>
    <font>
      <sz val="11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73763"/>
        <bgColor rgb="FF073763"/>
      </patternFill>
    </fill>
    <fill>
      <patternFill patternType="solid">
        <fgColor rgb="FF4F81BD"/>
        <bgColor rgb="FF4F81BD"/>
      </patternFill>
    </fill>
    <fill>
      <patternFill patternType="solid">
        <fgColor theme="4"/>
        <bgColor theme="4"/>
      </patternFill>
    </fill>
    <fill>
      <patternFill patternType="solid">
        <fgColor rgb="FFEAF1DD"/>
        <bgColor rgb="FFEAF1DD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4C1130"/>
        <bgColor rgb="FF4C113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1">
    <xf numFmtId="0" fontId="0" fillId="0" borderId="0" xfId="0"/>
    <xf numFmtId="4" fontId="2" fillId="2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center"/>
    </xf>
    <xf numFmtId="0" fontId="0" fillId="0" borderId="0" xfId="0"/>
    <xf numFmtId="0" fontId="4" fillId="2" borderId="0" xfId="0" applyFont="1" applyFill="1" applyAlignment="1">
      <alignment horizontal="right" wrapText="1"/>
    </xf>
    <xf numFmtId="0" fontId="5" fillId="2" borderId="0" xfId="0" applyFont="1" applyFill="1"/>
    <xf numFmtId="0" fontId="6" fillId="2" borderId="0" xfId="0" applyFont="1" applyFill="1"/>
    <xf numFmtId="0" fontId="1" fillId="0" borderId="0" xfId="0" applyFont="1"/>
    <xf numFmtId="0" fontId="7" fillId="4" borderId="1" xfId="0" applyFont="1" applyFill="1" applyBorder="1"/>
    <xf numFmtId="9" fontId="6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 wrapText="1"/>
    </xf>
    <xf numFmtId="0" fontId="9" fillId="0" borderId="1" xfId="0" applyFont="1" applyBorder="1"/>
    <xf numFmtId="1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0" fillId="2" borderId="1" xfId="0" applyFont="1" applyFill="1" applyBorder="1" applyAlignment="1">
      <alignment horizontal="right" wrapText="1"/>
    </xf>
    <xf numFmtId="10" fontId="1" fillId="0" borderId="0" xfId="0" applyNumberFormat="1" applyFont="1"/>
    <xf numFmtId="9" fontId="1" fillId="0" borderId="0" xfId="0" applyNumberFormat="1" applyFont="1"/>
    <xf numFmtId="4" fontId="1" fillId="0" borderId="0" xfId="0" applyNumberFormat="1" applyFont="1"/>
    <xf numFmtId="9" fontId="9" fillId="0" borderId="0" xfId="0" applyNumberFormat="1" applyFont="1"/>
    <xf numFmtId="0" fontId="9" fillId="0" borderId="0" xfId="0" applyFont="1"/>
    <xf numFmtId="9" fontId="7" fillId="4" borderId="1" xfId="0" applyNumberFormat="1" applyFont="1" applyFill="1" applyBorder="1"/>
    <xf numFmtId="9" fontId="9" fillId="0" borderId="1" xfId="0" applyNumberFormat="1" applyFont="1" applyBorder="1" applyAlignment="1">
      <alignment horizontal="right"/>
    </xf>
    <xf numFmtId="9" fontId="1" fillId="0" borderId="1" xfId="0" applyNumberFormat="1" applyFont="1" applyBorder="1"/>
    <xf numFmtId="10" fontId="1" fillId="0" borderId="1" xfId="0" applyNumberFormat="1" applyFont="1" applyBorder="1"/>
    <xf numFmtId="10" fontId="9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1" fontId="1" fillId="0" borderId="0" xfId="0" applyNumberFormat="1" applyFont="1"/>
    <xf numFmtId="0" fontId="11" fillId="5" borderId="1" xfId="0" applyFont="1" applyFill="1" applyBorder="1"/>
    <xf numFmtId="0" fontId="11" fillId="5" borderId="1" xfId="0" applyFont="1" applyFill="1" applyBorder="1" applyAlignment="1">
      <alignment horizontal="left"/>
    </xf>
    <xf numFmtId="164" fontId="7" fillId="5" borderId="1" xfId="0" applyNumberFormat="1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left"/>
    </xf>
    <xf numFmtId="1" fontId="9" fillId="6" borderId="1" xfId="0" applyNumberFormat="1" applyFont="1" applyFill="1" applyBorder="1"/>
    <xf numFmtId="1" fontId="9" fillId="2" borderId="1" xfId="0" applyNumberFormat="1" applyFont="1" applyFill="1" applyBorder="1"/>
    <xf numFmtId="9" fontId="9" fillId="2" borderId="1" xfId="0" applyNumberFormat="1" applyFont="1" applyFill="1" applyBorder="1"/>
    <xf numFmtId="164" fontId="9" fillId="0" borderId="1" xfId="0" applyNumberFormat="1" applyFont="1" applyBorder="1"/>
    <xf numFmtId="9" fontId="12" fillId="7" borderId="1" xfId="0" applyNumberFormat="1" applyFont="1" applyFill="1" applyBorder="1"/>
    <xf numFmtId="1" fontId="13" fillId="8" borderId="1" xfId="0" applyNumberFormat="1" applyFont="1" applyFill="1" applyBorder="1"/>
    <xf numFmtId="9" fontId="13" fillId="8" borderId="1" xfId="0" applyNumberFormat="1" applyFont="1" applyFill="1" applyBorder="1"/>
    <xf numFmtId="9" fontId="9" fillId="0" borderId="1" xfId="0" applyNumberFormat="1" applyFont="1" applyBorder="1"/>
    <xf numFmtId="0" fontId="9" fillId="6" borderId="1" xfId="0" applyFont="1" applyFill="1" applyBorder="1"/>
    <xf numFmtId="1" fontId="9" fillId="0" borderId="1" xfId="0" applyNumberFormat="1" applyFont="1" applyBorder="1"/>
    <xf numFmtId="1" fontId="1" fillId="0" borderId="1" xfId="0" applyNumberFormat="1" applyFont="1" applyBorder="1"/>
    <xf numFmtId="0" fontId="1" fillId="0" borderId="1" xfId="0" applyFont="1" applyBorder="1"/>
    <xf numFmtId="0" fontId="7" fillId="5" borderId="1" xfId="0" applyFont="1" applyFill="1" applyBorder="1"/>
    <xf numFmtId="1" fontId="11" fillId="5" borderId="1" xfId="0" applyNumberFormat="1" applyFont="1" applyFill="1" applyBorder="1"/>
    <xf numFmtId="0" fontId="7" fillId="5" borderId="1" xfId="0" applyFont="1" applyFill="1" applyBorder="1" applyAlignment="1">
      <alignment horizontal="left"/>
    </xf>
    <xf numFmtId="9" fontId="14" fillId="2" borderId="1" xfId="0" applyNumberFormat="1" applyFont="1" applyFill="1" applyBorder="1"/>
    <xf numFmtId="3" fontId="14" fillId="2" borderId="1" xfId="0" applyNumberFormat="1" applyFont="1" applyFill="1" applyBorder="1"/>
    <xf numFmtId="0" fontId="9" fillId="2" borderId="2" xfId="0" applyFont="1" applyFill="1" applyBorder="1"/>
    <xf numFmtId="0" fontId="15" fillId="2" borderId="2" xfId="0" applyFont="1" applyFill="1" applyBorder="1"/>
    <xf numFmtId="0" fontId="11" fillId="2" borderId="2" xfId="0" applyFont="1" applyFill="1" applyBorder="1"/>
    <xf numFmtId="0" fontId="11" fillId="2" borderId="0" xfId="0" applyFont="1" applyFill="1"/>
    <xf numFmtId="0" fontId="16" fillId="2" borderId="0" xfId="0" applyFont="1" applyFill="1"/>
    <xf numFmtId="0" fontId="1" fillId="2" borderId="0" xfId="0" applyFont="1" applyFill="1"/>
    <xf numFmtId="0" fontId="16" fillId="5" borderId="1" xfId="0" applyFont="1" applyFill="1" applyBorder="1"/>
    <xf numFmtId="0" fontId="11" fillId="5" borderId="3" xfId="0" applyFont="1" applyFill="1" applyBorder="1"/>
    <xf numFmtId="0" fontId="15" fillId="2" borderId="1" xfId="0" applyFont="1" applyFill="1" applyBorder="1" applyAlignment="1">
      <alignment horizontal="left"/>
    </xf>
    <xf numFmtId="164" fontId="14" fillId="2" borderId="1" xfId="0" applyNumberFormat="1" applyFont="1" applyFill="1" applyBorder="1"/>
    <xf numFmtId="164" fontId="9" fillId="2" borderId="1" xfId="0" applyNumberFormat="1" applyFont="1" applyFill="1" applyBorder="1"/>
    <xf numFmtId="1" fontId="9" fillId="9" borderId="1" xfId="0" applyNumberFormat="1" applyFont="1" applyFill="1" applyBorder="1"/>
    <xf numFmtId="1" fontId="7" fillId="5" borderId="1" xfId="0" applyNumberFormat="1" applyFont="1" applyFill="1" applyBorder="1"/>
    <xf numFmtId="165" fontId="9" fillId="2" borderId="1" xfId="0" applyNumberFormat="1" applyFont="1" applyFill="1" applyBorder="1"/>
    <xf numFmtId="10" fontId="9" fillId="2" borderId="1" xfId="0" applyNumberFormat="1" applyFont="1" applyFill="1" applyBorder="1"/>
    <xf numFmtId="1" fontId="7" fillId="5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65" fontId="17" fillId="10" borderId="4" xfId="0" applyNumberFormat="1" applyFont="1" applyFill="1" applyBorder="1" applyAlignment="1">
      <alignment horizontal="center" vertical="center"/>
    </xf>
    <xf numFmtId="0" fontId="18" fillId="5" borderId="1" xfId="0" applyFont="1" applyFill="1" applyBorder="1"/>
    <xf numFmtId="1" fontId="9" fillId="0" borderId="0" xfId="0" applyNumberFormat="1" applyFont="1"/>
    <xf numFmtId="0" fontId="19" fillId="0" borderId="5" xfId="0" applyFont="1" applyBorder="1"/>
    <xf numFmtId="0" fontId="19" fillId="0" borderId="2" xfId="0" applyFont="1" applyBorder="1"/>
    <xf numFmtId="0" fontId="5" fillId="2" borderId="0" xfId="0" applyFont="1" applyFill="1" applyAlignment="1">
      <alignment horizontal="left"/>
    </xf>
    <xf numFmtId="0" fontId="5" fillId="2" borderId="5" xfId="0" applyFont="1" applyFill="1" applyBorder="1"/>
    <xf numFmtId="10" fontId="5" fillId="2" borderId="5" xfId="0" applyNumberFormat="1" applyFont="1" applyFill="1" applyBorder="1"/>
    <xf numFmtId="0" fontId="20" fillId="2" borderId="6" xfId="0" applyFont="1" applyFill="1" applyBorder="1"/>
    <xf numFmtId="9" fontId="21" fillId="0" borderId="6" xfId="0" applyNumberFormat="1" applyFont="1" applyBorder="1"/>
    <xf numFmtId="9" fontId="20" fillId="2" borderId="6" xfId="0" applyNumberFormat="1" applyFont="1" applyFill="1" applyBorder="1"/>
    <xf numFmtId="9" fontId="5" fillId="2" borderId="0" xfId="0" applyNumberFormat="1" applyFont="1" applyFill="1"/>
    <xf numFmtId="0" fontId="9" fillId="0" borderId="2" xfId="0" applyFont="1" applyBorder="1"/>
    <xf numFmtId="1" fontId="9" fillId="2" borderId="2" xfId="0" applyNumberFormat="1" applyFont="1" applyFill="1" applyBorder="1"/>
    <xf numFmtId="9" fontId="9" fillId="0" borderId="2" xfId="0" applyNumberFormat="1" applyFont="1" applyBorder="1"/>
    <xf numFmtId="10" fontId="5" fillId="2" borderId="0" xfId="0" applyNumberFormat="1" applyFont="1" applyFill="1"/>
    <xf numFmtId="0" fontId="22" fillId="0" borderId="6" xfId="0" applyFont="1" applyBorder="1"/>
    <xf numFmtId="9" fontId="22" fillId="0" borderId="6" xfId="0" applyNumberFormat="1" applyFont="1" applyBorder="1"/>
    <xf numFmtId="0" fontId="18" fillId="5" borderId="0" xfId="0" applyFont="1" applyFill="1"/>
    <xf numFmtId="0" fontId="16" fillId="5" borderId="0" xfId="0" applyFont="1" applyFill="1"/>
    <xf numFmtId="164" fontId="1" fillId="0" borderId="0" xfId="0" applyNumberFormat="1" applyFont="1"/>
    <xf numFmtId="0" fontId="23" fillId="2" borderId="7" xfId="0" applyFont="1" applyFill="1" applyBorder="1"/>
    <xf numFmtId="9" fontId="5" fillId="2" borderId="7" xfId="0" applyNumberFormat="1" applyFont="1" applyFill="1" applyBorder="1"/>
    <xf numFmtId="9" fontId="1" fillId="0" borderId="7" xfId="0" applyNumberFormat="1" applyFont="1" applyBorder="1"/>
    <xf numFmtId="0" fontId="24" fillId="2" borderId="8" xfId="0" applyFont="1" applyFill="1" applyBorder="1"/>
    <xf numFmtId="9" fontId="24" fillId="2" borderId="8" xfId="0" applyNumberFormat="1" applyFont="1" applyFill="1" applyBorder="1"/>
    <xf numFmtId="9" fontId="24" fillId="0" borderId="8" xfId="0" applyNumberFormat="1" applyFont="1" applyBorder="1"/>
    <xf numFmtId="165" fontId="1" fillId="0" borderId="0" xfId="0" applyNumberFormat="1" applyFont="1"/>
    <xf numFmtId="0" fontId="25" fillId="3" borderId="9" xfId="0" applyFont="1" applyFill="1" applyBorder="1" applyAlignment="1">
      <alignment horizontal="center"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26" fillId="3" borderId="3" xfId="0" applyFont="1" applyFill="1" applyBorder="1"/>
    <xf numFmtId="0" fontId="27" fillId="3" borderId="0" xfId="0" applyFont="1" applyFill="1"/>
    <xf numFmtId="0" fontId="5" fillId="0" borderId="0" xfId="0" applyFont="1"/>
    <xf numFmtId="9" fontId="5" fillId="0" borderId="0" xfId="0" applyNumberFormat="1" applyFont="1"/>
    <xf numFmtId="0" fontId="5" fillId="0" borderId="7" xfId="0" applyFont="1" applyBorder="1"/>
    <xf numFmtId="9" fontId="5" fillId="0" borderId="7" xfId="0" applyNumberFormat="1" applyFont="1" applyBorder="1"/>
    <xf numFmtId="0" fontId="28" fillId="11" borderId="8" xfId="0" applyFont="1" applyFill="1" applyBorder="1"/>
    <xf numFmtId="164" fontId="28" fillId="11" borderId="8" xfId="0" applyNumberFormat="1" applyFont="1" applyFill="1" applyBorder="1"/>
    <xf numFmtId="9" fontId="28" fillId="11" borderId="8" xfId="0" applyNumberFormat="1" applyFont="1" applyFill="1" applyBorder="1"/>
    <xf numFmtId="0" fontId="26" fillId="3" borderId="0" xfId="0" applyFont="1" applyFill="1"/>
    <xf numFmtId="0" fontId="6" fillId="0" borderId="0" xfId="0" applyFont="1"/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7" xfId="0" applyFont="1" applyBorder="1"/>
    <xf numFmtId="0" fontId="5" fillId="0" borderId="7" xfId="0" applyFont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1" fontId="5" fillId="0" borderId="0" xfId="0" applyNumberFormat="1" applyFont="1"/>
    <xf numFmtId="0" fontId="29" fillId="11" borderId="0" xfId="0" applyFont="1" applyFill="1"/>
    <xf numFmtId="1" fontId="29" fillId="11" borderId="0" xfId="0" applyNumberFormat="1" applyFont="1" applyFill="1"/>
    <xf numFmtId="0" fontId="27" fillId="3" borderId="1" xfId="0" applyFont="1" applyFill="1" applyBorder="1"/>
    <xf numFmtId="164" fontId="5" fillId="0" borderId="0" xfId="0" applyNumberFormat="1" applyFont="1"/>
    <xf numFmtId="0" fontId="6" fillId="0" borderId="2" xfId="0" applyFont="1" applyBorder="1"/>
    <xf numFmtId="164" fontId="5" fillId="0" borderId="13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1" fontId="5" fillId="0" borderId="7" xfId="0" applyNumberFormat="1" applyFont="1" applyBorder="1"/>
    <xf numFmtId="10" fontId="29" fillId="11" borderId="0" xfId="0" applyNumberFormat="1" applyFont="1" applyFill="1"/>
    <xf numFmtId="164" fontId="29" fillId="11" borderId="0" xfId="0" applyNumberFormat="1" applyFont="1" applyFill="1"/>
    <xf numFmtId="164" fontId="27" fillId="3" borderId="0" xfId="0" applyNumberFormat="1" applyFont="1" applyFill="1"/>
    <xf numFmtId="10" fontId="5" fillId="0" borderId="0" xfId="0" applyNumberFormat="1" applyFont="1" applyAlignment="1">
      <alignment horizontal="right"/>
    </xf>
    <xf numFmtId="164" fontId="6" fillId="0" borderId="0" xfId="0" applyNumberFormat="1" applyFont="1"/>
    <xf numFmtId="164" fontId="5" fillId="0" borderId="0" xfId="0" applyNumberFormat="1" applyFont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6" fillId="0" borderId="7" xfId="0" applyNumberFormat="1" applyFont="1" applyBorder="1"/>
    <xf numFmtId="0" fontId="26" fillId="3" borderId="1" xfId="0" applyFont="1" applyFill="1" applyBorder="1"/>
    <xf numFmtId="0" fontId="27" fillId="12" borderId="1" xfId="0" applyFont="1" applyFill="1" applyBorder="1" applyAlignment="1">
      <alignment horizontal="center"/>
    </xf>
    <xf numFmtId="0" fontId="27" fillId="12" borderId="0" xfId="0" applyFont="1" applyFill="1" applyAlignment="1">
      <alignment horizontal="center"/>
    </xf>
    <xf numFmtId="0" fontId="30" fillId="0" borderId="1" xfId="0" applyFont="1" applyBorder="1" applyAlignment="1">
      <alignment horizontal="right"/>
    </xf>
    <xf numFmtId="0" fontId="30" fillId="0" borderId="1" xfId="0" applyFont="1" applyBorder="1"/>
    <xf numFmtId="0" fontId="5" fillId="0" borderId="1" xfId="0" applyFont="1" applyBorder="1"/>
    <xf numFmtId="1" fontId="5" fillId="0" borderId="1" xfId="0" applyNumberFormat="1" applyFont="1" applyBorder="1"/>
    <xf numFmtId="10" fontId="5" fillId="0" borderId="1" xfId="0" applyNumberFormat="1" applyFont="1" applyBorder="1"/>
    <xf numFmtId="164" fontId="5" fillId="0" borderId="1" xfId="0" applyNumberFormat="1" applyFont="1" applyBorder="1"/>
    <xf numFmtId="10" fontId="5" fillId="0" borderId="0" xfId="0" applyNumberFormat="1" applyFont="1"/>
    <xf numFmtId="0" fontId="26" fillId="13" borderId="1" xfId="0" applyFont="1" applyFill="1" applyBorder="1"/>
    <xf numFmtId="0" fontId="26" fillId="13" borderId="0" xfId="0" applyFont="1" applyFill="1"/>
    <xf numFmtId="0" fontId="27" fillId="13" borderId="0" xfId="0" applyFont="1" applyFill="1" applyAlignment="1">
      <alignment horizontal="center"/>
    </xf>
    <xf numFmtId="166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 and Sales Growth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BAJFINANCE!$D$107</c:f>
              <c:strCache>
                <c:ptCount val="1"/>
              </c:strCache>
            </c:strRef>
          </c:tx>
          <c:invertIfNegative val="1"/>
          <c:cat>
            <c:numRef>
              <c:f>BAJFINANCE!$C$108:$C$129</c:f>
              <c:numCache>
                <c:formatCode>General</c:formatCode>
                <c:ptCount val="22"/>
              </c:numCache>
            </c:numRef>
          </c:cat>
          <c:val>
            <c:numRef>
              <c:f>BAJFINANCE!$D$108:$D$129</c:f>
              <c:numCache>
                <c:formatCode>0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5B13-4FF8-A410-820BFA397743}"/>
            </c:ext>
          </c:extLst>
        </c:ser>
        <c:ser>
          <c:idx val="1"/>
          <c:order val="1"/>
          <c:tx>
            <c:strRef>
              <c:f>BAJFINANCE!$E$107</c:f>
              <c:strCache>
                <c:ptCount val="1"/>
              </c:strCache>
            </c:strRef>
          </c:tx>
          <c:invertIfNegative val="1"/>
          <c:cat>
            <c:numRef>
              <c:f>BAJFINANCE!$C$108:$C$129</c:f>
              <c:numCache>
                <c:formatCode>General</c:formatCode>
                <c:ptCount val="22"/>
              </c:numCache>
            </c:numRef>
          </c:cat>
          <c:val>
            <c:numRef>
              <c:f>BAJFINANCE!$E$108:$E$129</c:f>
              <c:numCache>
                <c:formatCode>0%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1-5B13-4FF8-A410-820BFA397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890941"/>
        <c:axId val="1177295323"/>
      </c:barChart>
      <c:catAx>
        <c:axId val="15728909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7295323"/>
        <c:crosses val="autoZero"/>
        <c:auto val="1"/>
        <c:lblAlgn val="ctr"/>
        <c:lblOffset val="100"/>
        <c:noMultiLvlLbl val="1"/>
      </c:catAx>
      <c:valAx>
        <c:axId val="1177295323"/>
        <c:scaling>
          <c:orientation val="minMax"/>
        </c:scaling>
        <c:delete val="0"/>
        <c:axPos val="l"/>
        <c:numFmt formatCode="0" sourceLinked="1"/>
        <c:majorTickMark val="cross"/>
        <c:minorTickMark val="cross"/>
        <c:tickLblPos val="nextTo"/>
        <c:spPr>
          <a:ln>
            <a:noFill/>
          </a:ln>
        </c:spPr>
        <c:crossAx val="157289094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 and Profit Growth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BAJFINANCE!$D$132</c:f>
              <c:strCache>
                <c:ptCount val="1"/>
              </c:strCache>
            </c:strRef>
          </c:tx>
          <c:invertIfNegative val="1"/>
          <c:cat>
            <c:numRef>
              <c:f>BAJFINANCE!$C$133:$C$154</c:f>
              <c:numCache>
                <c:formatCode>General</c:formatCode>
                <c:ptCount val="22"/>
              </c:numCache>
            </c:numRef>
          </c:cat>
          <c:val>
            <c:numRef>
              <c:f>BAJFINANCE!$D$133:$D$154</c:f>
              <c:numCache>
                <c:formatCode>0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EFA0-4D53-92FB-160CC2A1AA87}"/>
            </c:ext>
          </c:extLst>
        </c:ser>
        <c:ser>
          <c:idx val="1"/>
          <c:order val="1"/>
          <c:tx>
            <c:strRef>
              <c:f>BAJFINANCE!$E$132</c:f>
              <c:strCache>
                <c:ptCount val="1"/>
              </c:strCache>
            </c:strRef>
          </c:tx>
          <c:invertIfNegative val="1"/>
          <c:cat>
            <c:numRef>
              <c:f>BAJFINANCE!$C$133:$C$154</c:f>
              <c:numCache>
                <c:formatCode>General</c:formatCode>
                <c:ptCount val="22"/>
              </c:numCache>
            </c:numRef>
          </c:cat>
          <c:val>
            <c:numRef>
              <c:f>BAJFINANCE!$E$133:$E$154</c:f>
              <c:numCache>
                <c:formatCode>0%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1-EFA0-4D53-92FB-160CC2A1A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296509"/>
        <c:axId val="704174365"/>
      </c:barChart>
      <c:catAx>
        <c:axId val="3572965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04174365"/>
        <c:crosses val="autoZero"/>
        <c:auto val="1"/>
        <c:lblAlgn val="ctr"/>
        <c:lblOffset val="100"/>
        <c:noMultiLvlLbl val="1"/>
      </c:catAx>
      <c:valAx>
        <c:axId val="704174365"/>
        <c:scaling>
          <c:orientation val="minMax"/>
        </c:scaling>
        <c:delete val="0"/>
        <c:axPos val="l"/>
        <c:numFmt formatCode="0" sourceLinked="1"/>
        <c:majorTickMark val="cross"/>
        <c:minorTickMark val="cross"/>
        <c:tickLblPos val="nextTo"/>
        <c:spPr>
          <a:ln>
            <a:noFill/>
          </a:ln>
        </c:spPr>
        <c:crossAx val="35729650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 vs Year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BAJFINANCE!$D$157</c:f>
              <c:strCache>
                <c:ptCount val="1"/>
              </c:strCache>
            </c:strRef>
          </c:tx>
          <c:invertIfNegative val="1"/>
          <c:cat>
            <c:numRef>
              <c:f>BAJFINANCE!$C$158:$C$179</c:f>
              <c:numCache>
                <c:formatCode>General</c:formatCode>
                <c:ptCount val="22"/>
              </c:numCache>
            </c:numRef>
          </c:cat>
          <c:val>
            <c:numRef>
              <c:f>BAJFINANCE!$D$158:$D$179</c:f>
              <c:numCache>
                <c:formatCode>0%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E44A-4078-BD5A-785A7C416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946562"/>
        <c:axId val="1313146806"/>
      </c:barChart>
      <c:catAx>
        <c:axId val="7459465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13146806"/>
        <c:crosses val="autoZero"/>
        <c:auto val="1"/>
        <c:lblAlgn val="ctr"/>
        <c:lblOffset val="100"/>
        <c:noMultiLvlLbl val="1"/>
      </c:catAx>
      <c:valAx>
        <c:axId val="1313146806"/>
        <c:scaling>
          <c:orientation val="minMax"/>
        </c:scaling>
        <c:delete val="0"/>
        <c:axPos val="l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74594656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HPE and LPE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axId val="1098980751"/>
        <c:axId val="201785063"/>
      </c:areaChart>
      <c:catAx>
        <c:axId val="1098980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1785063"/>
        <c:crosses val="autoZero"/>
        <c:auto val="1"/>
        <c:lblAlgn val="ctr"/>
        <c:lblOffset val="100"/>
        <c:noMultiLvlLbl val="1"/>
      </c:catAx>
      <c:valAx>
        <c:axId val="201785063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1098980751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Researve vs Year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BAJFINANCE!$D$182</c:f>
              <c:strCache>
                <c:ptCount val="1"/>
              </c:strCache>
            </c:strRef>
          </c:tx>
          <c:invertIfNegative val="1"/>
          <c:cat>
            <c:numRef>
              <c:f>BAJFINANCE!$C$183:$C$204</c:f>
              <c:numCache>
                <c:formatCode>General</c:formatCode>
                <c:ptCount val="22"/>
              </c:numCache>
            </c:numRef>
          </c:cat>
          <c:val>
            <c:numRef>
              <c:f>BAJFINANCE!$D$183:$D$204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A7A4-4D21-99FE-93E9767B3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511546"/>
        <c:axId val="1031864827"/>
      </c:barChart>
      <c:catAx>
        <c:axId val="11445115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31864827"/>
        <c:crosses val="autoZero"/>
        <c:auto val="1"/>
        <c:lblAlgn val="ctr"/>
        <c:lblOffset val="100"/>
        <c:noMultiLvlLbl val="1"/>
      </c:catAx>
      <c:valAx>
        <c:axId val="1031864827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114451154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Growth 20Y LONGTERM, Growth 10y MIDTERM, Growth 5y SHORTTERM and Last Year Gr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BAJFINANCE!$C$253</c:f>
              <c:strCache>
                <c:ptCount val="1"/>
              </c:strCache>
            </c:strRef>
          </c:tx>
          <c:invertIfNegative val="1"/>
          <c:cat>
            <c:numRef>
              <c:f>BAJFINANCE!$D$252:$H$252</c:f>
              <c:numCache>
                <c:formatCode>General</c:formatCode>
                <c:ptCount val="5"/>
              </c:numCache>
            </c:numRef>
          </c:cat>
          <c:val>
            <c:numRef>
              <c:f>BAJFINANCE!$D$253:$H$253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1C9-48EF-AFBF-22B86400268B}"/>
            </c:ext>
          </c:extLst>
        </c:ser>
        <c:ser>
          <c:idx val="1"/>
          <c:order val="1"/>
          <c:tx>
            <c:strRef>
              <c:f>BAJFINANCE!$C$254</c:f>
              <c:strCache>
                <c:ptCount val="1"/>
              </c:strCache>
            </c:strRef>
          </c:tx>
          <c:invertIfNegative val="1"/>
          <c:cat>
            <c:numRef>
              <c:f>BAJFINANCE!$D$252:$H$252</c:f>
              <c:numCache>
                <c:formatCode>General</c:formatCode>
                <c:ptCount val="5"/>
              </c:numCache>
            </c:numRef>
          </c:cat>
          <c:val>
            <c:numRef>
              <c:f>BAJFINANCE!$D$254:$H$254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1C9-48EF-AFBF-22B86400268B}"/>
            </c:ext>
          </c:extLst>
        </c:ser>
        <c:ser>
          <c:idx val="2"/>
          <c:order val="2"/>
          <c:tx>
            <c:strRef>
              <c:f>BAJFINANCE!$C$255</c:f>
              <c:strCache>
                <c:ptCount val="1"/>
              </c:strCache>
            </c:strRef>
          </c:tx>
          <c:invertIfNegative val="1"/>
          <c:cat>
            <c:numRef>
              <c:f>BAJFINANCE!$D$252:$H$252</c:f>
              <c:numCache>
                <c:formatCode>General</c:formatCode>
                <c:ptCount val="5"/>
              </c:numCache>
            </c:numRef>
          </c:cat>
          <c:val>
            <c:numRef>
              <c:f>BAJFINANCE!$D$255:$H$255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71C9-48EF-AFBF-22B86400268B}"/>
            </c:ext>
          </c:extLst>
        </c:ser>
        <c:ser>
          <c:idx val="3"/>
          <c:order val="3"/>
          <c:tx>
            <c:strRef>
              <c:f>BAJFINANCE!$C$256</c:f>
              <c:strCache>
                <c:ptCount val="1"/>
              </c:strCache>
            </c:strRef>
          </c:tx>
          <c:invertIfNegative val="1"/>
          <c:cat>
            <c:numRef>
              <c:f>BAJFINANCE!$D$252:$H$252</c:f>
              <c:numCache>
                <c:formatCode>General</c:formatCode>
                <c:ptCount val="5"/>
              </c:numCache>
            </c:numRef>
          </c:cat>
          <c:val>
            <c:numRef>
              <c:f>BAJFINANCE!$D$256:$H$256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71C9-48EF-AFBF-22B864002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567174"/>
        <c:axId val="1619484773"/>
      </c:barChart>
      <c:catAx>
        <c:axId val="6735671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FYEAR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19484773"/>
        <c:crosses val="autoZero"/>
        <c:auto val="1"/>
        <c:lblAlgn val="ctr"/>
        <c:lblOffset val="100"/>
        <c:noMultiLvlLbl val="1"/>
      </c:catAx>
      <c:valAx>
        <c:axId val="1619484773"/>
        <c:scaling>
          <c:orientation val="minMax"/>
        </c:scaling>
        <c:delete val="0"/>
        <c:axPos val="l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67356717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MARKETCAP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 Non Banking Financial Company_'!$C$40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9528-4886-9D6D-DA20572D4CCB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9528-4886-9D6D-DA20572D4CCB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9528-4886-9D6D-DA20572D4CCB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9528-4886-9D6D-DA20572D4CCB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9528-4886-9D6D-DA20572D4CCB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9528-4886-9D6D-DA20572D4CCB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9528-4886-9D6D-DA20572D4CCB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9528-4886-9D6D-DA20572D4CCB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9528-4886-9D6D-DA20572D4CCB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9528-4886-9D6D-DA20572D4CCB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9528-4886-9D6D-DA20572D4CC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 Non Banking Financial Company_'!$B$41:$B$51</c:f>
              <c:strCache>
                <c:ptCount val="11"/>
                <c:pt idx="0">
                  <c:v>BAJFINANCE</c:v>
                </c:pt>
                <c:pt idx="1">
                  <c:v>JIOFIN</c:v>
                </c:pt>
                <c:pt idx="2">
                  <c:v>CHOLAFIN</c:v>
                </c:pt>
                <c:pt idx="3">
                  <c:v>SHRIRAMFIN</c:v>
                </c:pt>
                <c:pt idx="4">
                  <c:v>SBICARD</c:v>
                </c:pt>
                <c:pt idx="5">
                  <c:v>MUTHOOTFIN</c:v>
                </c:pt>
                <c:pt idx="6">
                  <c:v>SUNDARMFIN</c:v>
                </c:pt>
                <c:pt idx="7">
                  <c:v>POONAWALLA</c:v>
                </c:pt>
                <c:pt idx="8">
                  <c:v>M&amp;MFIN</c:v>
                </c:pt>
                <c:pt idx="9">
                  <c:v>IIFL</c:v>
                </c:pt>
                <c:pt idx="10">
                  <c:v>OTHERS_176</c:v>
                </c:pt>
              </c:strCache>
            </c:strRef>
          </c:cat>
          <c:val>
            <c:numRef>
              <c:f>' Non Banking Financial Company_'!$C$41:$C$51</c:f>
              <c:numCache>
                <c:formatCode>0</c:formatCode>
                <c:ptCount val="11"/>
                <c:pt idx="0">
                  <c:v>406700.25807819999</c:v>
                </c:pt>
                <c:pt idx="1">
                  <c:v>210484.2580345</c:v>
                </c:pt>
                <c:pt idx="2">
                  <c:v>93953.900374999997</c:v>
                </c:pt>
                <c:pt idx="3">
                  <c:v>92458.396403899998</c:v>
                </c:pt>
                <c:pt idx="4">
                  <c:v>69596.964240000001</c:v>
                </c:pt>
                <c:pt idx="5">
                  <c:v>52817.954315100003</c:v>
                </c:pt>
                <c:pt idx="6">
                  <c:v>46268.148223099997</c:v>
                </c:pt>
                <c:pt idx="7">
                  <c:v>36724.4234</c:v>
                </c:pt>
                <c:pt idx="8">
                  <c:v>35757.411776699999</c:v>
                </c:pt>
                <c:pt idx="9">
                  <c:v>23405.888999300001</c:v>
                </c:pt>
                <c:pt idx="10">
                  <c:v>184206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528-4886-9D6D-DA20572D4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 Non Banking Financial Company_'!$G$40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21F0-4E60-A59E-BE27BFF093C6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21F0-4E60-A59E-BE27BFF093C6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21F0-4E60-A59E-BE27BFF093C6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21F0-4E60-A59E-BE27BFF093C6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21F0-4E60-A59E-BE27BFF093C6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21F0-4E60-A59E-BE27BFF093C6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21F0-4E60-A59E-BE27BFF093C6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21F0-4E60-A59E-BE27BFF093C6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21F0-4E60-A59E-BE27BFF093C6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21F0-4E60-A59E-BE27BFF093C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 Non Banking Financial Company_'!$F$41:$F$50</c:f>
              <c:strCache>
                <c:ptCount val="10"/>
                <c:pt idx="0">
                  <c:v>BAJFINANCE</c:v>
                </c:pt>
                <c:pt idx="1">
                  <c:v>JIOFIN</c:v>
                </c:pt>
                <c:pt idx="2">
                  <c:v>CHOLAFIN</c:v>
                </c:pt>
                <c:pt idx="3">
                  <c:v>SHRIRAMFIN</c:v>
                </c:pt>
                <c:pt idx="4">
                  <c:v>SBICARD</c:v>
                </c:pt>
                <c:pt idx="5">
                  <c:v>MUTHOOTFIN</c:v>
                </c:pt>
                <c:pt idx="6">
                  <c:v>SUNDARMFIN</c:v>
                </c:pt>
                <c:pt idx="7">
                  <c:v>POONAWALLA</c:v>
                </c:pt>
                <c:pt idx="8">
                  <c:v>M&amp;MFIN</c:v>
                </c:pt>
                <c:pt idx="9">
                  <c:v>IIFL</c:v>
                </c:pt>
              </c:strCache>
            </c:strRef>
          </c:cat>
          <c:val>
            <c:numRef>
              <c:f>' Non Banking Financial Company_'!$G$41:$G$50</c:f>
              <c:numCache>
                <c:formatCode>General</c:formatCode>
                <c:ptCount val="10"/>
                <c:pt idx="0">
                  <c:v>35687</c:v>
                </c:pt>
                <c:pt idx="1">
                  <c:v>45</c:v>
                </c:pt>
                <c:pt idx="2">
                  <c:v>30508</c:v>
                </c:pt>
                <c:pt idx="3">
                  <c:v>12978</c:v>
                </c:pt>
                <c:pt idx="4">
                  <c:v>14286</c:v>
                </c:pt>
                <c:pt idx="5">
                  <c:v>10544</c:v>
                </c:pt>
                <c:pt idx="6">
                  <c:v>4046</c:v>
                </c:pt>
                <c:pt idx="7">
                  <c:v>2008</c:v>
                </c:pt>
                <c:pt idx="8">
                  <c:v>12832</c:v>
                </c:pt>
                <c:pt idx="9">
                  <c:v>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1F0-4E60-A59E-BE27BFF09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PROFIT_23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 Non Banking Financial Company_'!$K$40</c:f>
              <c:strCache>
                <c:ptCount val="1"/>
                <c:pt idx="0">
                  <c:v>PROFIT_23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4500-4368-8A2A-E42A89725750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4500-4368-8A2A-E42A89725750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4500-4368-8A2A-E42A89725750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4500-4368-8A2A-E42A89725750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4500-4368-8A2A-E42A89725750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4500-4368-8A2A-E42A89725750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4500-4368-8A2A-E42A89725750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4500-4368-8A2A-E42A89725750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4500-4368-8A2A-E42A89725750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4500-4368-8A2A-E42A8972575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 Non Banking Financial Company_'!$J$41:$J$50</c:f>
              <c:strCache>
                <c:ptCount val="10"/>
                <c:pt idx="0">
                  <c:v>BAJFINANCE</c:v>
                </c:pt>
                <c:pt idx="1">
                  <c:v>JIOFIN</c:v>
                </c:pt>
                <c:pt idx="2">
                  <c:v>CHOLAFIN</c:v>
                </c:pt>
                <c:pt idx="3">
                  <c:v>SHRIRAMFIN</c:v>
                </c:pt>
                <c:pt idx="4">
                  <c:v>SBICARD</c:v>
                </c:pt>
                <c:pt idx="5">
                  <c:v>MUTHOOTFIN</c:v>
                </c:pt>
                <c:pt idx="6">
                  <c:v>SUNDARMFIN</c:v>
                </c:pt>
                <c:pt idx="7">
                  <c:v>POONAWALLA</c:v>
                </c:pt>
                <c:pt idx="8">
                  <c:v>M&amp;MFIN</c:v>
                </c:pt>
                <c:pt idx="9">
                  <c:v>IIFL</c:v>
                </c:pt>
              </c:strCache>
            </c:strRef>
          </c:cat>
          <c:val>
            <c:numRef>
              <c:f>' Non Banking Financial Company_'!$K$41:$K$50</c:f>
              <c:numCache>
                <c:formatCode>General</c:formatCode>
                <c:ptCount val="10"/>
                <c:pt idx="0">
                  <c:v>10290</c:v>
                </c:pt>
                <c:pt idx="1">
                  <c:v>31</c:v>
                </c:pt>
                <c:pt idx="2">
                  <c:v>6011</c:v>
                </c:pt>
                <c:pt idx="3">
                  <c:v>2666</c:v>
                </c:pt>
                <c:pt idx="4">
                  <c:v>2258</c:v>
                </c:pt>
                <c:pt idx="5">
                  <c:v>3473</c:v>
                </c:pt>
                <c:pt idx="6">
                  <c:v>1088</c:v>
                </c:pt>
                <c:pt idx="7">
                  <c:v>570</c:v>
                </c:pt>
                <c:pt idx="8">
                  <c:v>2804</c:v>
                </c:pt>
                <c:pt idx="9">
                  <c:v>1607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500-4368-8A2A-E42A89725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SALES_5Y_GR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Non Banking Financial Company_'!$C$73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Non Banking Financial Company_'!$B$74:$B$84</c:f>
              <c:strCache>
                <c:ptCount val="11"/>
                <c:pt idx="0">
                  <c:v>BAJFINANCE</c:v>
                </c:pt>
                <c:pt idx="1">
                  <c:v>JIOFIN</c:v>
                </c:pt>
                <c:pt idx="2">
                  <c:v>CHOLAFIN</c:v>
                </c:pt>
                <c:pt idx="3">
                  <c:v>SHRIRAMFIN</c:v>
                </c:pt>
                <c:pt idx="4">
                  <c:v>SBICARD</c:v>
                </c:pt>
                <c:pt idx="5">
                  <c:v>MUTHOOTFIN</c:v>
                </c:pt>
                <c:pt idx="6">
                  <c:v>SUNDARMFIN</c:v>
                </c:pt>
                <c:pt idx="7">
                  <c:v>POONAWALLA</c:v>
                </c:pt>
                <c:pt idx="8">
                  <c:v>M&amp;MFIN</c:v>
                </c:pt>
                <c:pt idx="9">
                  <c:v>IIFL</c:v>
                </c:pt>
                <c:pt idx="10">
                  <c:v>OTHERS_176</c:v>
                </c:pt>
              </c:strCache>
            </c:strRef>
          </c:cat>
          <c:val>
            <c:numRef>
              <c:f>' Non Banking Financial Company_'!$C$74:$C$84</c:f>
              <c:numCache>
                <c:formatCode>0.0%</c:formatCode>
                <c:ptCount val="11"/>
                <c:pt idx="0">
                  <c:v>0.21521825856334043</c:v>
                </c:pt>
                <c:pt idx="1">
                  <c:v>0</c:v>
                </c:pt>
                <c:pt idx="2">
                  <c:v>0.19845798334021447</c:v>
                </c:pt>
                <c:pt idx="3">
                  <c:v>0.18728019929173856</c:v>
                </c:pt>
                <c:pt idx="4">
                  <c:v>0.21349109179280235</c:v>
                </c:pt>
                <c:pt idx="5">
                  <c:v>9.4766055180346642E-2</c:v>
                </c:pt>
                <c:pt idx="6">
                  <c:v>-2.7714371817118555E-2</c:v>
                </c:pt>
                <c:pt idx="7">
                  <c:v>-2.6703980049760823E-2</c:v>
                </c:pt>
                <c:pt idx="8">
                  <c:v>8.4007546040834935E-2</c:v>
                </c:pt>
                <c:pt idx="9">
                  <c:v>0.16992536450157614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C5B-411D-B3F6-04F15F977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493554"/>
        <c:axId val="537563116"/>
      </c:barChart>
      <c:catAx>
        <c:axId val="19414935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37563116"/>
        <c:crosses val="autoZero"/>
        <c:auto val="1"/>
        <c:lblAlgn val="ctr"/>
        <c:lblOffset val="100"/>
        <c:noMultiLvlLbl val="1"/>
      </c:catAx>
      <c:valAx>
        <c:axId val="5375631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4149355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CY_SALES GR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Non Banking Financial Company_'!$G$73</c:f>
              <c:strCache>
                <c:ptCount val="1"/>
                <c:pt idx="0">
                  <c:v>CY_SALES 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Non Banking Financial Company_'!$F$74:$F$83</c:f>
              <c:strCache>
                <c:ptCount val="10"/>
                <c:pt idx="0">
                  <c:v>BAJFINANCE</c:v>
                </c:pt>
                <c:pt idx="1">
                  <c:v>JIOFIN</c:v>
                </c:pt>
                <c:pt idx="2">
                  <c:v>CHOLAFIN</c:v>
                </c:pt>
                <c:pt idx="3">
                  <c:v>SHRIRAMFIN</c:v>
                </c:pt>
                <c:pt idx="4">
                  <c:v>SBICARD</c:v>
                </c:pt>
                <c:pt idx="5">
                  <c:v>MUTHOOTFIN</c:v>
                </c:pt>
                <c:pt idx="6">
                  <c:v>SUNDARMFIN</c:v>
                </c:pt>
                <c:pt idx="7">
                  <c:v>POONAWALLA</c:v>
                </c:pt>
                <c:pt idx="8">
                  <c:v>M&amp;MFIN</c:v>
                </c:pt>
                <c:pt idx="9">
                  <c:v>IIFL</c:v>
                </c:pt>
              </c:strCache>
            </c:strRef>
          </c:cat>
          <c:val>
            <c:numRef>
              <c:f>' Non Banking Financial Company_'!$G$74:$G$83</c:f>
              <c:numCache>
                <c:formatCode>0.0%</c:formatCode>
                <c:ptCount val="10"/>
                <c:pt idx="0">
                  <c:v>0.31619685767097971</c:v>
                </c:pt>
                <c:pt idx="1">
                  <c:v>0</c:v>
                </c:pt>
                <c:pt idx="2">
                  <c:v>0.17630083466524593</c:v>
                </c:pt>
                <c:pt idx="3">
                  <c:v>0.49433797909407673</c:v>
                </c:pt>
                <c:pt idx="4">
                  <c:v>0.2542421905129193</c:v>
                </c:pt>
                <c:pt idx="5">
                  <c:v>0.20781249999999996</c:v>
                </c:pt>
                <c:pt idx="6">
                  <c:v>0.30582362728785362</c:v>
                </c:pt>
                <c:pt idx="7">
                  <c:v>0.55991590749824804</c:v>
                </c:pt>
                <c:pt idx="8">
                  <c:v>0.25182874354561102</c:v>
                </c:pt>
                <c:pt idx="9">
                  <c:v>0.22962242748339001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D0E-4A37-B517-0DE6FB097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972552"/>
        <c:axId val="1624218048"/>
      </c:barChart>
      <c:catAx>
        <c:axId val="2105972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24218048"/>
        <c:crosses val="autoZero"/>
        <c:auto val="1"/>
        <c:lblAlgn val="ctr"/>
        <c:lblOffset val="100"/>
        <c:noMultiLvlLbl val="1"/>
      </c:catAx>
      <c:valAx>
        <c:axId val="16242180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CY_SALES 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059725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MARGIN_23 and CY_MARGIN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Non Banking Financial Company_'!$K$73</c:f>
              <c:strCache>
                <c:ptCount val="1"/>
                <c:pt idx="0">
                  <c:v>MARGIN_23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Non Banking Financial Company_'!$J$74:$J$83</c:f>
              <c:strCache>
                <c:ptCount val="10"/>
                <c:pt idx="0">
                  <c:v>BAJFINANCE</c:v>
                </c:pt>
                <c:pt idx="1">
                  <c:v>JIOFIN</c:v>
                </c:pt>
                <c:pt idx="2">
                  <c:v>CHOLAFIN</c:v>
                </c:pt>
                <c:pt idx="3">
                  <c:v>SHRIRAMFIN</c:v>
                </c:pt>
                <c:pt idx="4">
                  <c:v>SBICARD</c:v>
                </c:pt>
                <c:pt idx="5">
                  <c:v>MUTHOOTFIN</c:v>
                </c:pt>
                <c:pt idx="6">
                  <c:v>SUNDARMFIN</c:v>
                </c:pt>
                <c:pt idx="7">
                  <c:v>POONAWALLA</c:v>
                </c:pt>
                <c:pt idx="8">
                  <c:v>M&amp;MFIN</c:v>
                </c:pt>
                <c:pt idx="9">
                  <c:v>IIFL</c:v>
                </c:pt>
              </c:strCache>
            </c:strRef>
          </c:cat>
          <c:val>
            <c:numRef>
              <c:f>' Non Banking Financial Company_'!$K$74:$K$83</c:f>
              <c:numCache>
                <c:formatCode>General</c:formatCode>
                <c:ptCount val="10"/>
                <c:pt idx="0" formatCode="0.0%">
                  <c:v>0.28834029198307509</c:v>
                </c:pt>
                <c:pt idx="1">
                  <c:v>0</c:v>
                </c:pt>
                <c:pt idx="2" formatCode="0.0%">
                  <c:v>0.19703028713779991</c:v>
                </c:pt>
                <c:pt idx="3" formatCode="0.0%">
                  <c:v>0.20542456464786563</c:v>
                </c:pt>
                <c:pt idx="4" formatCode="0.0%">
                  <c:v>0.1651792245793709</c:v>
                </c:pt>
                <c:pt idx="5" formatCode="0.0%">
                  <c:v>0.32938163884673749</c:v>
                </c:pt>
                <c:pt idx="6" formatCode="0.0%">
                  <c:v>0.19778222141428831</c:v>
                </c:pt>
                <c:pt idx="7" formatCode="0.0%">
                  <c:v>0.28386454183266935</c:v>
                </c:pt>
                <c:pt idx="8" formatCode="0.0%">
                  <c:v>0.21851620947630923</c:v>
                </c:pt>
                <c:pt idx="9" formatCode="0.0%">
                  <c:v>0.19024505741683437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29E-4C11-A9F5-34D64D5B8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95116"/>
        <c:axId val="1853787641"/>
      </c:barChart>
      <c:lineChart>
        <c:grouping val="standard"/>
        <c:varyColors val="0"/>
        <c:ser>
          <c:idx val="1"/>
          <c:order val="1"/>
          <c:tx>
            <c:strRef>
              <c:f>' Non Banking Financial Company_'!$L$73</c:f>
              <c:strCache>
                <c:ptCount val="1"/>
                <c:pt idx="0">
                  <c:v>CY_MARGIN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Non Banking Financial Company_'!$J$74:$J$83</c:f>
              <c:strCache>
                <c:ptCount val="10"/>
                <c:pt idx="0">
                  <c:v>BAJFINANCE</c:v>
                </c:pt>
                <c:pt idx="1">
                  <c:v>JIOFIN</c:v>
                </c:pt>
                <c:pt idx="2">
                  <c:v>CHOLAFIN</c:v>
                </c:pt>
                <c:pt idx="3">
                  <c:v>SHRIRAMFIN</c:v>
                </c:pt>
                <c:pt idx="4">
                  <c:v>SBICARD</c:v>
                </c:pt>
                <c:pt idx="5">
                  <c:v>MUTHOOTFIN</c:v>
                </c:pt>
                <c:pt idx="6">
                  <c:v>SUNDARMFIN</c:v>
                </c:pt>
                <c:pt idx="7">
                  <c:v>POONAWALLA</c:v>
                </c:pt>
                <c:pt idx="8">
                  <c:v>M&amp;MFIN</c:v>
                </c:pt>
                <c:pt idx="9">
                  <c:v>IIFL</c:v>
                </c:pt>
              </c:strCache>
            </c:strRef>
          </c:cat>
          <c:val>
            <c:numRef>
              <c:f>' Non Banking Financial Company_'!$L$74:$L$83</c:f>
              <c:numCache>
                <c:formatCode>General</c:formatCode>
                <c:ptCount val="10"/>
                <c:pt idx="0" formatCode="0.0%">
                  <c:v>0.35589956869993838</c:v>
                </c:pt>
                <c:pt idx="1">
                  <c:v>0</c:v>
                </c:pt>
                <c:pt idx="2" formatCode="0.0%">
                  <c:v>0.23854555141182737</c:v>
                </c:pt>
                <c:pt idx="3" formatCode="0.0%">
                  <c:v>0.25751306620209058</c:v>
                </c:pt>
                <c:pt idx="4" formatCode="0.0%">
                  <c:v>0.16824141920555341</c:v>
                </c:pt>
                <c:pt idx="5" formatCode="0.0%">
                  <c:v>0.38971354166666666</c:v>
                </c:pt>
                <c:pt idx="6" formatCode="0.0%">
                  <c:v>0.31547420965058237</c:v>
                </c:pt>
                <c:pt idx="7" formatCode="0.0%">
                  <c:v>0.92501751927119835</c:v>
                </c:pt>
                <c:pt idx="8" formatCode="0.0%">
                  <c:v>0.18201376936316696</c:v>
                </c:pt>
                <c:pt idx="9" formatCode="0.0%">
                  <c:v>0.25020256036298816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9E-4C11-A9F5-34D64D5B8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95116"/>
        <c:axId val="1853787641"/>
      </c:lineChart>
      <c:catAx>
        <c:axId val="320951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53787641"/>
        <c:crosses val="autoZero"/>
        <c:auto val="1"/>
        <c:lblAlgn val="ctr"/>
        <c:lblOffset val="100"/>
        <c:noMultiLvlLbl val="1"/>
      </c:catAx>
      <c:valAx>
        <c:axId val="18537876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209511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ROE%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Non Banking Financial Company_'!$C$107</c:f>
              <c:strCache>
                <c:ptCount val="1"/>
                <c:pt idx="0">
                  <c:v>ROE%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Non Banking Financial Company_'!$B$108:$B$117</c:f>
              <c:strCache>
                <c:ptCount val="10"/>
                <c:pt idx="0">
                  <c:v>BAJFINANCE</c:v>
                </c:pt>
                <c:pt idx="1">
                  <c:v>JIOFIN</c:v>
                </c:pt>
                <c:pt idx="2">
                  <c:v>CHOLAFIN</c:v>
                </c:pt>
                <c:pt idx="3">
                  <c:v>SHRIRAMFIN</c:v>
                </c:pt>
                <c:pt idx="4">
                  <c:v>SBICARD</c:v>
                </c:pt>
                <c:pt idx="5">
                  <c:v>MUTHOOTFIN</c:v>
                </c:pt>
                <c:pt idx="6">
                  <c:v>SUNDARMFIN</c:v>
                </c:pt>
                <c:pt idx="7">
                  <c:v>POONAWALLA</c:v>
                </c:pt>
                <c:pt idx="8">
                  <c:v>M&amp;MFIN</c:v>
                </c:pt>
                <c:pt idx="9">
                  <c:v>IIFL</c:v>
                </c:pt>
              </c:strCache>
            </c:strRef>
          </c:cat>
          <c:val>
            <c:numRef>
              <c:f>' Non Banking Financial Company_'!$C$108:$C$117</c:f>
              <c:numCache>
                <c:formatCode>0</c:formatCode>
                <c:ptCount val="10"/>
                <c:pt idx="0" formatCode="0.00%">
                  <c:v>0.23499999999999999</c:v>
                </c:pt>
                <c:pt idx="1">
                  <c:v>0</c:v>
                </c:pt>
                <c:pt idx="2" formatCode="0.00%">
                  <c:v>0.20399999999999999</c:v>
                </c:pt>
                <c:pt idx="3" formatCode="0.0%">
                  <c:v>0.17299999999999999</c:v>
                </c:pt>
                <c:pt idx="4" formatCode="0.0%">
                  <c:v>0.25700000000000001</c:v>
                </c:pt>
                <c:pt idx="5" formatCode="0.0%">
                  <c:v>0.17599999999999999</c:v>
                </c:pt>
                <c:pt idx="6" formatCode="0.0%">
                  <c:v>0.14099999999999999</c:v>
                </c:pt>
                <c:pt idx="7" formatCode="0.0%">
                  <c:v>7.6899999999999996E-2</c:v>
                </c:pt>
                <c:pt idx="8" formatCode="0.0%">
                  <c:v>0.11899999999999999</c:v>
                </c:pt>
                <c:pt idx="9" formatCode="0.0%">
                  <c:v>0.19400000000000001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6ED-4560-B466-85A2CF3A4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8983217"/>
        <c:axId val="669451131"/>
      </c:barChart>
      <c:catAx>
        <c:axId val="17289832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69451131"/>
        <c:crosses val="autoZero"/>
        <c:auto val="1"/>
        <c:lblAlgn val="ctr"/>
        <c:lblOffset val="100"/>
        <c:noMultiLvlLbl val="1"/>
      </c:catAx>
      <c:valAx>
        <c:axId val="6694511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ROE%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2898321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PE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Non Banking Financial Company_'!$H$107</c:f>
              <c:strCache>
                <c:ptCount val="1"/>
                <c:pt idx="0">
                  <c:v>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Non Banking Financial Company_'!$G$108:$G$117</c:f>
              <c:strCache>
                <c:ptCount val="10"/>
                <c:pt idx="0">
                  <c:v>BAJFINANCE</c:v>
                </c:pt>
                <c:pt idx="1">
                  <c:v>JIOFIN</c:v>
                </c:pt>
                <c:pt idx="2">
                  <c:v>CHOLAFIN</c:v>
                </c:pt>
                <c:pt idx="3">
                  <c:v>SHRIRAMFIN</c:v>
                </c:pt>
                <c:pt idx="4">
                  <c:v>SBICARD</c:v>
                </c:pt>
                <c:pt idx="5">
                  <c:v>MUTHOOTFIN</c:v>
                </c:pt>
                <c:pt idx="6">
                  <c:v>SUNDARMFIN</c:v>
                </c:pt>
                <c:pt idx="7">
                  <c:v>POONAWALLA</c:v>
                </c:pt>
                <c:pt idx="8">
                  <c:v>M&amp;MFIN</c:v>
                </c:pt>
                <c:pt idx="9">
                  <c:v>IIFL</c:v>
                </c:pt>
              </c:strCache>
            </c:strRef>
          </c:cat>
          <c:val>
            <c:numRef>
              <c:f>' Non Banking Financial Company_'!$H$108:$H$117</c:f>
              <c:numCache>
                <c:formatCode>General</c:formatCode>
                <c:ptCount val="10"/>
                <c:pt idx="0">
                  <c:v>29.12</c:v>
                </c:pt>
                <c:pt idx="2">
                  <c:v>28.73</c:v>
                </c:pt>
                <c:pt idx="3">
                  <c:v>13.82</c:v>
                </c:pt>
                <c:pt idx="4">
                  <c:v>29.73</c:v>
                </c:pt>
                <c:pt idx="5">
                  <c:v>12.59</c:v>
                </c:pt>
                <c:pt idx="6">
                  <c:v>28.83</c:v>
                </c:pt>
                <c:pt idx="7">
                  <c:v>23.96</c:v>
                </c:pt>
                <c:pt idx="8">
                  <c:v>18.43</c:v>
                </c:pt>
                <c:pt idx="9">
                  <c:v>13.13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4DA-4DAD-8259-B218C8623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4483879"/>
        <c:axId val="1213652492"/>
      </c:barChart>
      <c:catAx>
        <c:axId val="17944838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13652492"/>
        <c:crosses val="autoZero"/>
        <c:auto val="1"/>
        <c:lblAlgn val="ctr"/>
        <c:lblOffset val="100"/>
        <c:noMultiLvlLbl val="1"/>
      </c:catAx>
      <c:valAx>
        <c:axId val="12136524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PE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9448387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YIELD%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Non Banking Financial Company_'!$L$107</c:f>
              <c:strCache>
                <c:ptCount val="1"/>
                <c:pt idx="0">
                  <c:v>YIELD%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Non Banking Financial Company_'!$K$108:$K$117</c:f>
              <c:strCache>
                <c:ptCount val="10"/>
                <c:pt idx="0">
                  <c:v>BAJFINANCE</c:v>
                </c:pt>
                <c:pt idx="1">
                  <c:v>JIOFIN</c:v>
                </c:pt>
                <c:pt idx="2">
                  <c:v>CHOLAFIN</c:v>
                </c:pt>
                <c:pt idx="3">
                  <c:v>SHRIRAMFIN</c:v>
                </c:pt>
                <c:pt idx="4">
                  <c:v>SBICARD</c:v>
                </c:pt>
                <c:pt idx="5">
                  <c:v>MUTHOOTFIN</c:v>
                </c:pt>
                <c:pt idx="6">
                  <c:v>SUNDARMFIN</c:v>
                </c:pt>
                <c:pt idx="7">
                  <c:v>POONAWALLA</c:v>
                </c:pt>
                <c:pt idx="8">
                  <c:v>M&amp;MFIN</c:v>
                </c:pt>
                <c:pt idx="9">
                  <c:v>IIFL</c:v>
                </c:pt>
              </c:strCache>
            </c:strRef>
          </c:cat>
          <c:val>
            <c:numRef>
              <c:f>' Non Banking Financial Company_'!$L$108:$L$117</c:f>
              <c:numCache>
                <c:formatCode>0.0%</c:formatCode>
                <c:ptCount val="10"/>
                <c:pt idx="0">
                  <c:v>3.4366813221860262E-2</c:v>
                </c:pt>
                <c:pt idx="2">
                  <c:v>3.4886338059869459E-2</c:v>
                </c:pt>
                <c:pt idx="3">
                  <c:v>7.2031716189152745E-2</c:v>
                </c:pt>
                <c:pt idx="4">
                  <c:v>3.3635805417206795E-2</c:v>
                </c:pt>
                <c:pt idx="5">
                  <c:v>7.9498100610107064E-2</c:v>
                </c:pt>
                <c:pt idx="6">
                  <c:v>3.4634221909744148E-2</c:v>
                </c:pt>
                <c:pt idx="7">
                  <c:v>4.1642350979574826E-2</c:v>
                </c:pt>
                <c:pt idx="8">
                  <c:v>5.4344446363793403E-2</c:v>
                </c:pt>
                <c:pt idx="9">
                  <c:v>7.6099146688338073E-2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FC3-40D2-BF72-3509D25B3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639989"/>
        <c:axId val="1801994046"/>
      </c:barChart>
      <c:catAx>
        <c:axId val="17616399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01994046"/>
        <c:crosses val="autoZero"/>
        <c:auto val="1"/>
        <c:lblAlgn val="ctr"/>
        <c:lblOffset val="100"/>
        <c:noMultiLvlLbl val="1"/>
      </c:catAx>
      <c:valAx>
        <c:axId val="18019940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YIELD%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6163998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RETAIL_CREDIT_LAKH CR, COMMERCIAL_CREDIT_LAKH CR and TOTAL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Non Banking Financial Company_'!$C$7</c:f>
              <c:strCache>
                <c:ptCount val="1"/>
                <c:pt idx="0">
                  <c:v>RETAIL_CREDIT_LAKH 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Non Banking Financial Company_'!$B$8:$B$20</c:f>
              <c:strCache>
                <c:ptCount val="13"/>
                <c:pt idx="0">
                  <c:v>FY_2013</c:v>
                </c:pt>
                <c:pt idx="1">
                  <c:v>FY_2014</c:v>
                </c:pt>
                <c:pt idx="2">
                  <c:v>FY_2015</c:v>
                </c:pt>
                <c:pt idx="3">
                  <c:v>FY_2016</c:v>
                </c:pt>
                <c:pt idx="4">
                  <c:v>FY_2017</c:v>
                </c:pt>
                <c:pt idx="5">
                  <c:v>FY_2018</c:v>
                </c:pt>
                <c:pt idx="6">
                  <c:v>FY_2019</c:v>
                </c:pt>
                <c:pt idx="7">
                  <c:v>FY_2020</c:v>
                </c:pt>
                <c:pt idx="8">
                  <c:v>FY_2021</c:v>
                </c:pt>
                <c:pt idx="9">
                  <c:v>FY_2022</c:v>
                </c:pt>
                <c:pt idx="10">
                  <c:v>FY_2023</c:v>
                </c:pt>
                <c:pt idx="11">
                  <c:v>EST_FY_2024</c:v>
                </c:pt>
                <c:pt idx="12">
                  <c:v>EST_FY_2028</c:v>
                </c:pt>
              </c:strCache>
            </c:strRef>
          </c:cat>
          <c:val>
            <c:numRef>
              <c:f>' Non Banking Financial Company_'!$C$8:$C$20</c:f>
              <c:numCache>
                <c:formatCode>General</c:formatCode>
                <c:ptCount val="13"/>
                <c:pt idx="0">
                  <c:v>25</c:v>
                </c:pt>
                <c:pt idx="1">
                  <c:v>29</c:v>
                </c:pt>
                <c:pt idx="2">
                  <c:v>33</c:v>
                </c:pt>
                <c:pt idx="3">
                  <c:v>37</c:v>
                </c:pt>
                <c:pt idx="4">
                  <c:v>41</c:v>
                </c:pt>
                <c:pt idx="5">
                  <c:v>49</c:v>
                </c:pt>
                <c:pt idx="6">
                  <c:v>56</c:v>
                </c:pt>
                <c:pt idx="7">
                  <c:v>64</c:v>
                </c:pt>
                <c:pt idx="8">
                  <c:v>78</c:v>
                </c:pt>
                <c:pt idx="9">
                  <c:v>84</c:v>
                </c:pt>
                <c:pt idx="10">
                  <c:v>99</c:v>
                </c:pt>
                <c:pt idx="11">
                  <c:v>116</c:v>
                </c:pt>
                <c:pt idx="12">
                  <c:v>204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1C6-43A5-A001-8230B094A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778166"/>
        <c:axId val="1038669786"/>
      </c:barChart>
      <c:lineChart>
        <c:grouping val="standard"/>
        <c:varyColors val="1"/>
        <c:ser>
          <c:idx val="1"/>
          <c:order val="1"/>
          <c:tx>
            <c:strRef>
              <c:f>' Non Banking Financial Company_'!$D$7</c:f>
              <c:strCache>
                <c:ptCount val="1"/>
                <c:pt idx="0">
                  <c:v>COMMERCIAL_CREDIT_LAKH CR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Non Banking Financial Company_'!$B$8:$B$20</c:f>
              <c:strCache>
                <c:ptCount val="13"/>
                <c:pt idx="0">
                  <c:v>FY_2013</c:v>
                </c:pt>
                <c:pt idx="1">
                  <c:v>FY_2014</c:v>
                </c:pt>
                <c:pt idx="2">
                  <c:v>FY_2015</c:v>
                </c:pt>
                <c:pt idx="3">
                  <c:v>FY_2016</c:v>
                </c:pt>
                <c:pt idx="4">
                  <c:v>FY_2017</c:v>
                </c:pt>
                <c:pt idx="5">
                  <c:v>FY_2018</c:v>
                </c:pt>
                <c:pt idx="6">
                  <c:v>FY_2019</c:v>
                </c:pt>
                <c:pt idx="7">
                  <c:v>FY_2020</c:v>
                </c:pt>
                <c:pt idx="8">
                  <c:v>FY_2021</c:v>
                </c:pt>
                <c:pt idx="9">
                  <c:v>FY_2022</c:v>
                </c:pt>
                <c:pt idx="10">
                  <c:v>FY_2023</c:v>
                </c:pt>
                <c:pt idx="11">
                  <c:v>EST_FY_2024</c:v>
                </c:pt>
                <c:pt idx="12">
                  <c:v>EST_FY_2028</c:v>
                </c:pt>
              </c:strCache>
            </c:strRef>
          </c:cat>
          <c:val>
            <c:numRef>
              <c:f>' Non Banking Financial Company_'!$D$8:$D$20</c:f>
              <c:numCache>
                <c:formatCode>General</c:formatCode>
                <c:ptCount val="13"/>
                <c:pt idx="0">
                  <c:v>33</c:v>
                </c:pt>
                <c:pt idx="1">
                  <c:v>38</c:v>
                </c:pt>
                <c:pt idx="2">
                  <c:v>41</c:v>
                </c:pt>
                <c:pt idx="3">
                  <c:v>43</c:v>
                </c:pt>
                <c:pt idx="4">
                  <c:v>42</c:v>
                </c:pt>
                <c:pt idx="5">
                  <c:v>45</c:v>
                </c:pt>
                <c:pt idx="6">
                  <c:v>49</c:v>
                </c:pt>
                <c:pt idx="7">
                  <c:v>47</c:v>
                </c:pt>
                <c:pt idx="8">
                  <c:v>41</c:v>
                </c:pt>
                <c:pt idx="9">
                  <c:v>43</c:v>
                </c:pt>
                <c:pt idx="10">
                  <c:v>47</c:v>
                </c:pt>
                <c:pt idx="11">
                  <c:v>49</c:v>
                </c:pt>
                <c:pt idx="12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6-43A5-A001-8230B094AC73}"/>
            </c:ext>
          </c:extLst>
        </c:ser>
        <c:ser>
          <c:idx val="2"/>
          <c:order val="2"/>
          <c:tx>
            <c:strRef>
              <c:f>' Non Banking Financial Company_'!$E$7</c:f>
              <c:strCache>
                <c:ptCount val="1"/>
                <c:pt idx="0">
                  <c:v>TOTAL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Non Banking Financial Company_'!$B$8:$B$20</c:f>
              <c:strCache>
                <c:ptCount val="13"/>
                <c:pt idx="0">
                  <c:v>FY_2013</c:v>
                </c:pt>
                <c:pt idx="1">
                  <c:v>FY_2014</c:v>
                </c:pt>
                <c:pt idx="2">
                  <c:v>FY_2015</c:v>
                </c:pt>
                <c:pt idx="3">
                  <c:v>FY_2016</c:v>
                </c:pt>
                <c:pt idx="4">
                  <c:v>FY_2017</c:v>
                </c:pt>
                <c:pt idx="5">
                  <c:v>FY_2018</c:v>
                </c:pt>
                <c:pt idx="6">
                  <c:v>FY_2019</c:v>
                </c:pt>
                <c:pt idx="7">
                  <c:v>FY_2020</c:v>
                </c:pt>
                <c:pt idx="8">
                  <c:v>FY_2021</c:v>
                </c:pt>
                <c:pt idx="9">
                  <c:v>FY_2022</c:v>
                </c:pt>
                <c:pt idx="10">
                  <c:v>FY_2023</c:v>
                </c:pt>
                <c:pt idx="11">
                  <c:v>EST_FY_2024</c:v>
                </c:pt>
                <c:pt idx="12">
                  <c:v>EST_FY_2028</c:v>
                </c:pt>
              </c:strCache>
            </c:strRef>
          </c:cat>
          <c:val>
            <c:numRef>
              <c:f>' Non Banking Financial Company_'!$E$8:$E$20</c:f>
              <c:numCache>
                <c:formatCode>General</c:formatCode>
                <c:ptCount val="13"/>
                <c:pt idx="0">
                  <c:v>58</c:v>
                </c:pt>
                <c:pt idx="1">
                  <c:v>67</c:v>
                </c:pt>
                <c:pt idx="2">
                  <c:v>74</c:v>
                </c:pt>
                <c:pt idx="3">
                  <c:v>80</c:v>
                </c:pt>
                <c:pt idx="4">
                  <c:v>83</c:v>
                </c:pt>
                <c:pt idx="5">
                  <c:v>94</c:v>
                </c:pt>
                <c:pt idx="6">
                  <c:v>105</c:v>
                </c:pt>
                <c:pt idx="7">
                  <c:v>111</c:v>
                </c:pt>
                <c:pt idx="8">
                  <c:v>119</c:v>
                </c:pt>
                <c:pt idx="9">
                  <c:v>127</c:v>
                </c:pt>
                <c:pt idx="10">
                  <c:v>146</c:v>
                </c:pt>
                <c:pt idx="11">
                  <c:v>165</c:v>
                </c:pt>
                <c:pt idx="12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C6-43A5-A001-8230B094A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778166"/>
        <c:axId val="1038669786"/>
      </c:lineChart>
      <c:catAx>
        <c:axId val="5447781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38669786"/>
        <c:crosses val="autoZero"/>
        <c:auto val="1"/>
        <c:lblAlgn val="ctr"/>
        <c:lblOffset val="100"/>
        <c:noMultiLvlLbl val="1"/>
      </c:catAx>
      <c:valAx>
        <c:axId val="10386697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4477816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India’s household debt mix</a:t>
            </a:r>
          </a:p>
        </c:rich>
      </c:tx>
      <c:layout>
        <c:manualLayout>
          <c:xMode val="edge"/>
          <c:yMode val="edge"/>
          <c:x val="3.0823293172690766E-2"/>
          <c:y val="4.674267100977198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 Non Banking Financial Company_'!$I$7</c:f>
              <c:strCache>
                <c:ptCount val="1"/>
                <c:pt idx="0">
                  <c:v>FY_2023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7E41-4A5A-9EE5-FC4FF39AEEA8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7E41-4A5A-9EE5-FC4FF39AEEA8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7E41-4A5A-9EE5-FC4FF39AEEA8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7E41-4A5A-9EE5-FC4FF39AEEA8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7E41-4A5A-9EE5-FC4FF39AEEA8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7E41-4A5A-9EE5-FC4FF39AEEA8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7E41-4A5A-9EE5-FC4FF39AEEA8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7E41-4A5A-9EE5-FC4FF39AEEA8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7E41-4A5A-9EE5-FC4FF39AEEA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 Non Banking Financial Company_'!$H$8:$H$16</c:f>
              <c:strCache>
                <c:ptCount val="9"/>
                <c:pt idx="0">
                  <c:v>MORTGAGES</c:v>
                </c:pt>
                <c:pt idx="1">
                  <c:v>MSME</c:v>
                </c:pt>
                <c:pt idx="2">
                  <c:v>OTHERS</c:v>
                </c:pt>
                <c:pt idx="3">
                  <c:v>AGRI</c:v>
                </c:pt>
                <c:pt idx="4">
                  <c:v>PL</c:v>
                </c:pt>
                <c:pt idx="5">
                  <c:v>AUTO</c:v>
                </c:pt>
                <c:pt idx="6">
                  <c:v>CV</c:v>
                </c:pt>
                <c:pt idx="7">
                  <c:v>GOLD</c:v>
                </c:pt>
                <c:pt idx="8">
                  <c:v>CREDITCARD</c:v>
                </c:pt>
              </c:strCache>
            </c:strRef>
          </c:cat>
          <c:val>
            <c:numRef>
              <c:f>' Non Banking Financial Company_'!$I$8:$I$16</c:f>
              <c:numCache>
                <c:formatCode>0%</c:formatCode>
                <c:ptCount val="9"/>
                <c:pt idx="0">
                  <c:v>0.33</c:v>
                </c:pt>
                <c:pt idx="1">
                  <c:v>0.21</c:v>
                </c:pt>
                <c:pt idx="2">
                  <c:v>0.04</c:v>
                </c:pt>
                <c:pt idx="3">
                  <c:v>0.16</c:v>
                </c:pt>
                <c:pt idx="4">
                  <c:v>0.11</c:v>
                </c:pt>
                <c:pt idx="5">
                  <c:v>0.08</c:v>
                </c:pt>
                <c:pt idx="6">
                  <c:v>0.03</c:v>
                </c:pt>
                <c:pt idx="7">
                  <c:v>0.02</c:v>
                </c:pt>
                <c:pt idx="8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E41-4A5A-9EE5-FC4FF39AE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5.png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104</xdr:row>
      <xdr:rowOff>9525</xdr:rowOff>
    </xdr:from>
    <xdr:ext cx="7981950" cy="3533775"/>
    <xdr:graphicFrame macro="">
      <xdr:nvGraphicFramePr>
        <xdr:cNvPr id="2" name="Chart 12" title="Chart">
          <a:extLst>
            <a:ext uri="{FF2B5EF4-FFF2-40B4-BE49-F238E27FC236}">
              <a16:creationId xmlns:a16="http://schemas.microsoft.com/office/drawing/2014/main" id="{E983DA83-7BFB-4DC4-A6D3-1EF55512D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76200</xdr:colOff>
      <xdr:row>128</xdr:row>
      <xdr:rowOff>190500</xdr:rowOff>
    </xdr:from>
    <xdr:ext cx="7981950" cy="3533775"/>
    <xdr:graphicFrame macro="">
      <xdr:nvGraphicFramePr>
        <xdr:cNvPr id="3" name="Chart 13" title="Chart">
          <a:extLst>
            <a:ext uri="{FF2B5EF4-FFF2-40B4-BE49-F238E27FC236}">
              <a16:creationId xmlns:a16="http://schemas.microsoft.com/office/drawing/2014/main" id="{8EC213AC-04BB-4243-B2E8-A328B132E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5</xdr:col>
      <xdr:colOff>76200</xdr:colOff>
      <xdr:row>154</xdr:row>
      <xdr:rowOff>9525</xdr:rowOff>
    </xdr:from>
    <xdr:ext cx="7981950" cy="3533775"/>
    <xdr:graphicFrame macro="">
      <xdr:nvGraphicFramePr>
        <xdr:cNvPr id="4" name="Chart 14" title="Chart">
          <a:extLst>
            <a:ext uri="{FF2B5EF4-FFF2-40B4-BE49-F238E27FC236}">
              <a16:creationId xmlns:a16="http://schemas.microsoft.com/office/drawing/2014/main" id="{C88F1812-B9FB-45B4-89D4-CBDC43359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76200</xdr:colOff>
      <xdr:row>225</xdr:row>
      <xdr:rowOff>190500</xdr:rowOff>
    </xdr:from>
    <xdr:ext cx="8077200" cy="3533775"/>
    <xdr:graphicFrame macro="">
      <xdr:nvGraphicFramePr>
        <xdr:cNvPr id="5" name="Chart 15" title="Chart">
          <a:extLst>
            <a:ext uri="{FF2B5EF4-FFF2-40B4-BE49-F238E27FC236}">
              <a16:creationId xmlns:a16="http://schemas.microsoft.com/office/drawing/2014/main" id="{2D90B522-36A7-434B-A84A-954F635DC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5</xdr:col>
      <xdr:colOff>76200</xdr:colOff>
      <xdr:row>179</xdr:row>
      <xdr:rowOff>19050</xdr:rowOff>
    </xdr:from>
    <xdr:ext cx="7943850" cy="3533775"/>
    <xdr:graphicFrame macro="">
      <xdr:nvGraphicFramePr>
        <xdr:cNvPr id="6" name="Chart 16" title="Chart">
          <a:extLst>
            <a:ext uri="{FF2B5EF4-FFF2-40B4-BE49-F238E27FC236}">
              <a16:creationId xmlns:a16="http://schemas.microsoft.com/office/drawing/2014/main" id="{6BE62288-EB4C-4170-AB0E-FB5C1875A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8</xdr:col>
      <xdr:colOff>19050</xdr:colOff>
      <xdr:row>250</xdr:row>
      <xdr:rowOff>171450</xdr:rowOff>
    </xdr:from>
    <xdr:ext cx="5715000" cy="3533775"/>
    <xdr:graphicFrame macro="">
      <xdr:nvGraphicFramePr>
        <xdr:cNvPr id="7" name="Chart 17" title="Chart">
          <a:extLst>
            <a:ext uri="{FF2B5EF4-FFF2-40B4-BE49-F238E27FC236}">
              <a16:creationId xmlns:a16="http://schemas.microsoft.com/office/drawing/2014/main" id="{CAABF124-757C-418E-810B-8932C2670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142875</xdr:colOff>
      <xdr:row>0</xdr:row>
      <xdr:rowOff>0</xdr:rowOff>
    </xdr:from>
    <xdr:ext cx="2162175" cy="590550"/>
    <xdr:pic>
      <xdr:nvPicPr>
        <xdr:cNvPr id="8" name="image1.png" title="Image">
          <a:extLst>
            <a:ext uri="{FF2B5EF4-FFF2-40B4-BE49-F238E27FC236}">
              <a16:creationId xmlns:a16="http://schemas.microsoft.com/office/drawing/2014/main" id="{CCB45CC6-0BE8-464B-B7CA-6B214BB5FC57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2875" y="0"/>
          <a:ext cx="2162175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342900</xdr:colOff>
      <xdr:row>0</xdr:row>
      <xdr:rowOff>0</xdr:rowOff>
    </xdr:from>
    <xdr:ext cx="609600" cy="590550"/>
    <xdr:pic>
      <xdr:nvPicPr>
        <xdr:cNvPr id="9" name="image7.jpg" title="Image">
          <a:extLst>
            <a:ext uri="{FF2B5EF4-FFF2-40B4-BE49-F238E27FC236}">
              <a16:creationId xmlns:a16="http://schemas.microsoft.com/office/drawing/2014/main" id="{EF362914-27BD-4F7A-95C8-C830F61DFA0C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342620" y="0"/>
          <a:ext cx="60960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723900</xdr:colOff>
      <xdr:row>202</xdr:row>
      <xdr:rowOff>171450</xdr:rowOff>
    </xdr:from>
    <xdr:ext cx="10706100" cy="4076700"/>
    <xdr:pic>
      <xdr:nvPicPr>
        <xdr:cNvPr id="10" name="image2.png" title="Image">
          <a:extLst>
            <a:ext uri="{FF2B5EF4-FFF2-40B4-BE49-F238E27FC236}">
              <a16:creationId xmlns:a16="http://schemas.microsoft.com/office/drawing/2014/main" id="{15159323-EB30-41A5-9C86-9B9436522011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68680" y="40191690"/>
          <a:ext cx="10706100" cy="4076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723900</xdr:colOff>
      <xdr:row>307</xdr:row>
      <xdr:rowOff>142875</xdr:rowOff>
    </xdr:from>
    <xdr:ext cx="7315200" cy="7315200"/>
    <xdr:pic>
      <xdr:nvPicPr>
        <xdr:cNvPr id="11" name="image4.png" title="Image">
          <a:extLst>
            <a:ext uri="{FF2B5EF4-FFF2-40B4-BE49-F238E27FC236}">
              <a16:creationId xmlns:a16="http://schemas.microsoft.com/office/drawing/2014/main" id="{2C907DA3-E66A-4ED0-AF23-7E94776F9B0B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68680" y="60965715"/>
          <a:ext cx="7315200" cy="7315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52</xdr:row>
      <xdr:rowOff>-114300</xdr:rowOff>
    </xdr:from>
    <xdr:ext cx="6057900" cy="6048375"/>
    <xdr:pic>
      <xdr:nvPicPr>
        <xdr:cNvPr id="12" name="image3.png" title="Image">
          <a:extLst>
            <a:ext uri="{FF2B5EF4-FFF2-40B4-BE49-F238E27FC236}">
              <a16:creationId xmlns:a16="http://schemas.microsoft.com/office/drawing/2014/main" id="{D0860562-B944-46E2-8129-1C7E36C95317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42875" y="10187940"/>
          <a:ext cx="6057900" cy="60483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55</xdr:row>
      <xdr:rowOff>161925</xdr:rowOff>
    </xdr:from>
    <xdr:ext cx="4743450" cy="29241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D39ED377-A8F5-4562-902C-B945F7FEF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19050</xdr:colOff>
      <xdr:row>55</xdr:row>
      <xdr:rowOff>161925</xdr:rowOff>
    </xdr:from>
    <xdr:ext cx="4743450" cy="29241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B540DDB2-A06C-4C87-8BA0-9666D75BA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923925</xdr:colOff>
      <xdr:row>55</xdr:row>
      <xdr:rowOff>161925</xdr:rowOff>
    </xdr:from>
    <xdr:ext cx="4743450" cy="29241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FE5FFCDE-F59E-48BE-8471-12878BFFF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19050</xdr:colOff>
      <xdr:row>88</xdr:row>
      <xdr:rowOff>161925</xdr:rowOff>
    </xdr:from>
    <xdr:ext cx="4743450" cy="29241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F3D9D933-62DA-4709-9381-937267F5E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923925</xdr:colOff>
      <xdr:row>88</xdr:row>
      <xdr:rowOff>161925</xdr:rowOff>
    </xdr:from>
    <xdr:ext cx="4743450" cy="292417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9B9158B5-D5AF-4AF5-80B1-CA1A11A84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9</xdr:col>
      <xdr:colOff>866775</xdr:colOff>
      <xdr:row>88</xdr:row>
      <xdr:rowOff>161925</xdr:rowOff>
    </xdr:from>
    <xdr:ext cx="4743450" cy="292417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F85E75DB-C12B-46C0-AA04-F2B63577F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76200</xdr:colOff>
      <xdr:row>120</xdr:row>
      <xdr:rowOff>114300</xdr:rowOff>
    </xdr:from>
    <xdr:ext cx="4743450" cy="2924175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5EB04EDB-288F-4A14-9134-EB7F631D5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4</xdr:col>
      <xdr:colOff>952500</xdr:colOff>
      <xdr:row>120</xdr:row>
      <xdr:rowOff>114300</xdr:rowOff>
    </xdr:from>
    <xdr:ext cx="4791075" cy="292417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2AD66F81-A661-4C2C-9BF5-FE810D5B8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9</xdr:col>
      <xdr:colOff>923925</xdr:colOff>
      <xdr:row>120</xdr:row>
      <xdr:rowOff>114300</xdr:rowOff>
    </xdr:from>
    <xdr:ext cx="4743450" cy="2924175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E2371E47-4DC7-4F5E-B3D8-C9407B0EB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0</xdr:col>
      <xdr:colOff>76200</xdr:colOff>
      <xdr:row>22</xdr:row>
      <xdr:rowOff>57150</xdr:rowOff>
    </xdr:from>
    <xdr:ext cx="4743450" cy="2924175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A92C306A-E38D-4B25-9FDC-3124B5B97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5</xdr:col>
      <xdr:colOff>19050</xdr:colOff>
      <xdr:row>22</xdr:row>
      <xdr:rowOff>57150</xdr:rowOff>
    </xdr:from>
    <xdr:ext cx="4743450" cy="2924175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BD4F1102-79B6-44EF-8A72-442CC7D13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Finance%20(including%20NBFCs)%20(7).xlsx" TargetMode="External"/><Relationship Id="rId1" Type="http://schemas.openxmlformats.org/officeDocument/2006/relationships/externalLinkPath" Target="/Users/profi/Downloads/Finance%20(including%20NBFCs)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Non Banking Financial Company_"/>
      <sheetName val="BAJFINANCE"/>
      <sheetName val="Dashboard"/>
      <sheetName val="Finance (Including NBFCs)"/>
      <sheetName val="SBICARD"/>
      <sheetName val="IRFC"/>
      <sheetName val="Non Banking Financial Company ("/>
      <sheetName val="DASHBOARD NBFC"/>
      <sheetName val="MANAPPURAM"/>
      <sheetName val="MOTILALOFS"/>
      <sheetName val="CREDITACC"/>
      <sheetName val="MUTHOOTCAP"/>
      <sheetName val="Muthootfin"/>
      <sheetName val="masfin"/>
      <sheetName val="RECLTD"/>
      <sheetName val="Ujjivan"/>
      <sheetName val="CHOLAFIN"/>
    </sheetNames>
    <sheetDataSet>
      <sheetData sheetId="0">
        <row r="7">
          <cell r="C7" t="str">
            <v>RETAIL_CREDIT_LAKH CR</v>
          </cell>
          <cell r="D7" t="str">
            <v>COMMERCIAL_CREDIT_LAKH CR</v>
          </cell>
          <cell r="E7" t="str">
            <v>TOTAL</v>
          </cell>
          <cell r="I7" t="str">
            <v>FY_2023</v>
          </cell>
        </row>
        <row r="8">
          <cell r="B8" t="str">
            <v>FY_2013</v>
          </cell>
          <cell r="C8">
            <v>25</v>
          </cell>
          <cell r="D8">
            <v>33</v>
          </cell>
          <cell r="E8">
            <v>58</v>
          </cell>
          <cell r="H8" t="str">
            <v>MORTGAGES</v>
          </cell>
          <cell r="I8">
            <v>0.33</v>
          </cell>
        </row>
        <row r="9">
          <cell r="B9" t="str">
            <v>FY_2014</v>
          </cell>
          <cell r="C9">
            <v>29</v>
          </cell>
          <cell r="D9">
            <v>38</v>
          </cell>
          <cell r="E9">
            <v>67</v>
          </cell>
          <cell r="H9" t="str">
            <v>MSME</v>
          </cell>
          <cell r="I9">
            <v>0.21</v>
          </cell>
        </row>
        <row r="10">
          <cell r="B10" t="str">
            <v>FY_2015</v>
          </cell>
          <cell r="C10">
            <v>33</v>
          </cell>
          <cell r="D10">
            <v>41</v>
          </cell>
          <cell r="E10">
            <v>74</v>
          </cell>
          <cell r="H10" t="str">
            <v>OTHERS</v>
          </cell>
          <cell r="I10">
            <v>0.04</v>
          </cell>
        </row>
        <row r="11">
          <cell r="B11" t="str">
            <v>FY_2016</v>
          </cell>
          <cell r="C11">
            <v>37</v>
          </cell>
          <cell r="D11">
            <v>43</v>
          </cell>
          <cell r="E11">
            <v>80</v>
          </cell>
          <cell r="H11" t="str">
            <v>AGRI</v>
          </cell>
          <cell r="I11">
            <v>0.16</v>
          </cell>
        </row>
        <row r="12">
          <cell r="B12" t="str">
            <v>FY_2017</v>
          </cell>
          <cell r="C12">
            <v>41</v>
          </cell>
          <cell r="D12">
            <v>42</v>
          </cell>
          <cell r="E12">
            <v>83</v>
          </cell>
          <cell r="H12" t="str">
            <v>PL</v>
          </cell>
          <cell r="I12">
            <v>0.11</v>
          </cell>
        </row>
        <row r="13">
          <cell r="B13" t="str">
            <v>FY_2018</v>
          </cell>
          <cell r="C13">
            <v>49</v>
          </cell>
          <cell r="D13">
            <v>45</v>
          </cell>
          <cell r="E13">
            <v>94</v>
          </cell>
          <cell r="H13" t="str">
            <v>AUTO</v>
          </cell>
          <cell r="I13">
            <v>0.08</v>
          </cell>
        </row>
        <row r="14">
          <cell r="B14" t="str">
            <v>FY_2019</v>
          </cell>
          <cell r="C14">
            <v>56</v>
          </cell>
          <cell r="D14">
            <v>49</v>
          </cell>
          <cell r="E14">
            <v>105</v>
          </cell>
          <cell r="H14" t="str">
            <v>CV</v>
          </cell>
          <cell r="I14">
            <v>0.03</v>
          </cell>
        </row>
        <row r="15">
          <cell r="B15" t="str">
            <v>FY_2020</v>
          </cell>
          <cell r="C15">
            <v>64</v>
          </cell>
          <cell r="D15">
            <v>47</v>
          </cell>
          <cell r="E15">
            <v>111</v>
          </cell>
          <cell r="H15" t="str">
            <v>GOLD</v>
          </cell>
          <cell r="I15">
            <v>0.02</v>
          </cell>
        </row>
        <row r="16">
          <cell r="B16" t="str">
            <v>FY_2021</v>
          </cell>
          <cell r="C16">
            <v>78</v>
          </cell>
          <cell r="D16">
            <v>41</v>
          </cell>
          <cell r="E16">
            <v>119</v>
          </cell>
          <cell r="H16" t="str">
            <v>CREDITCARD</v>
          </cell>
          <cell r="I16">
            <v>0.02</v>
          </cell>
        </row>
        <row r="17">
          <cell r="B17" t="str">
            <v>FY_2022</v>
          </cell>
          <cell r="C17">
            <v>84</v>
          </cell>
          <cell r="D17">
            <v>43</v>
          </cell>
          <cell r="E17">
            <v>127</v>
          </cell>
        </row>
        <row r="18">
          <cell r="B18" t="str">
            <v>FY_2023</v>
          </cell>
          <cell r="C18">
            <v>99</v>
          </cell>
          <cell r="D18">
            <v>47</v>
          </cell>
          <cell r="E18">
            <v>146</v>
          </cell>
        </row>
        <row r="19">
          <cell r="B19" t="str">
            <v>EST_FY_2024</v>
          </cell>
          <cell r="C19">
            <v>116</v>
          </cell>
          <cell r="D19">
            <v>49</v>
          </cell>
          <cell r="E19">
            <v>165</v>
          </cell>
        </row>
        <row r="20">
          <cell r="B20" t="str">
            <v>EST_FY_2028</v>
          </cell>
          <cell r="C20">
            <v>204</v>
          </cell>
          <cell r="D20">
            <v>64</v>
          </cell>
          <cell r="E20">
            <v>268</v>
          </cell>
        </row>
        <row r="40">
          <cell r="C40" t="str">
            <v>MARKETCAP</v>
          </cell>
          <cell r="G40" t="str">
            <v>SALES_23</v>
          </cell>
          <cell r="K40" t="str">
            <v>PROFIT_23</v>
          </cell>
        </row>
        <row r="41">
          <cell r="B41" t="str">
            <v>BAJFINANCE</v>
          </cell>
          <cell r="C41">
            <v>406700.25807819999</v>
          </cell>
          <cell r="F41" t="str">
            <v>BAJFINANCE</v>
          </cell>
          <cell r="G41">
            <v>35687</v>
          </cell>
          <cell r="J41" t="str">
            <v>BAJFINANCE</v>
          </cell>
          <cell r="K41">
            <v>10290</v>
          </cell>
        </row>
        <row r="42">
          <cell r="B42" t="str">
            <v>JIOFIN</v>
          </cell>
          <cell r="C42">
            <v>210484.2580345</v>
          </cell>
          <cell r="F42" t="str">
            <v>JIOFIN</v>
          </cell>
          <cell r="G42">
            <v>45</v>
          </cell>
          <cell r="J42" t="str">
            <v>JIOFIN</v>
          </cell>
          <cell r="K42">
            <v>31</v>
          </cell>
        </row>
        <row r="43">
          <cell r="B43" t="str">
            <v>CHOLAFIN</v>
          </cell>
          <cell r="C43">
            <v>93953.900374999997</v>
          </cell>
          <cell r="F43" t="str">
            <v>CHOLAFIN</v>
          </cell>
          <cell r="G43">
            <v>30508</v>
          </cell>
          <cell r="J43" t="str">
            <v>CHOLAFIN</v>
          </cell>
          <cell r="K43">
            <v>6011</v>
          </cell>
        </row>
        <row r="44">
          <cell r="B44" t="str">
            <v>SHRIRAMFIN</v>
          </cell>
          <cell r="C44">
            <v>92458.396403899998</v>
          </cell>
          <cell r="F44" t="str">
            <v>SHRIRAMFIN</v>
          </cell>
          <cell r="G44">
            <v>12978</v>
          </cell>
          <cell r="J44" t="str">
            <v>SHRIRAMFIN</v>
          </cell>
          <cell r="K44">
            <v>2666</v>
          </cell>
        </row>
        <row r="45">
          <cell r="B45" t="str">
            <v>SBICARD</v>
          </cell>
          <cell r="C45">
            <v>69596.964240000001</v>
          </cell>
          <cell r="F45" t="str">
            <v>SBICARD</v>
          </cell>
          <cell r="G45">
            <v>14286</v>
          </cell>
          <cell r="J45" t="str">
            <v>SBICARD</v>
          </cell>
          <cell r="K45">
            <v>2258</v>
          </cell>
        </row>
        <row r="46">
          <cell r="B46" t="str">
            <v>MUTHOOTFIN</v>
          </cell>
          <cell r="C46">
            <v>52817.954315100003</v>
          </cell>
          <cell r="F46" t="str">
            <v>MUTHOOTFIN</v>
          </cell>
          <cell r="G46">
            <v>10544</v>
          </cell>
          <cell r="J46" t="str">
            <v>MUTHOOTFIN</v>
          </cell>
          <cell r="K46">
            <v>3473</v>
          </cell>
        </row>
        <row r="47">
          <cell r="B47" t="str">
            <v>SUNDARMFIN</v>
          </cell>
          <cell r="C47">
            <v>46268.148223099997</v>
          </cell>
          <cell r="F47" t="str">
            <v>SUNDARMFIN</v>
          </cell>
          <cell r="G47">
            <v>4046</v>
          </cell>
          <cell r="J47" t="str">
            <v>SUNDARMFIN</v>
          </cell>
          <cell r="K47">
            <v>1088</v>
          </cell>
        </row>
        <row r="48">
          <cell r="B48" t="str">
            <v>POONAWALLA</v>
          </cell>
          <cell r="C48">
            <v>36724.4234</v>
          </cell>
          <cell r="F48" t="str">
            <v>POONAWALLA</v>
          </cell>
          <cell r="G48">
            <v>2008</v>
          </cell>
          <cell r="J48" t="str">
            <v>POONAWALLA</v>
          </cell>
          <cell r="K48">
            <v>570</v>
          </cell>
        </row>
        <row r="49">
          <cell r="B49" t="str">
            <v>M&amp;MFIN</v>
          </cell>
          <cell r="C49">
            <v>35757.411776699999</v>
          </cell>
          <cell r="F49" t="str">
            <v>M&amp;MFIN</v>
          </cell>
          <cell r="G49">
            <v>12832</v>
          </cell>
          <cell r="J49" t="str">
            <v>M&amp;MFIN</v>
          </cell>
          <cell r="K49">
            <v>2804</v>
          </cell>
        </row>
        <row r="50">
          <cell r="B50" t="str">
            <v>IIFL</v>
          </cell>
          <cell r="C50">
            <v>23405.888999300001</v>
          </cell>
          <cell r="F50" t="str">
            <v>IIFL</v>
          </cell>
          <cell r="G50">
            <v>8447</v>
          </cell>
          <cell r="J50" t="str">
            <v>IIFL</v>
          </cell>
          <cell r="K50">
            <v>1607</v>
          </cell>
        </row>
        <row r="51">
          <cell r="B51" t="str">
            <v>OTHERS_176</v>
          </cell>
          <cell r="C51">
            <v>184206</v>
          </cell>
        </row>
        <row r="73">
          <cell r="C73" t="str">
            <v>SALES_5Y_GR</v>
          </cell>
          <cell r="G73" t="str">
            <v>CY_SALES GR</v>
          </cell>
          <cell r="K73" t="str">
            <v>MARGIN_23</v>
          </cell>
          <cell r="L73" t="str">
            <v>CY_MARGIN</v>
          </cell>
        </row>
        <row r="74">
          <cell r="B74" t="str">
            <v>BAJFINANCE</v>
          </cell>
          <cell r="C74">
            <v>0.21521825856334043</v>
          </cell>
          <cell r="F74" t="str">
            <v>BAJFINANCE</v>
          </cell>
          <cell r="G74">
            <v>0.31619685767097971</v>
          </cell>
          <cell r="J74" t="str">
            <v>BAJFINANCE</v>
          </cell>
          <cell r="K74">
            <v>0.28834029198307509</v>
          </cell>
          <cell r="L74">
            <v>0.35589956869993838</v>
          </cell>
        </row>
        <row r="75">
          <cell r="B75" t="str">
            <v>JIOFIN</v>
          </cell>
          <cell r="C75" t="e">
            <v>#DIV/0!</v>
          </cell>
          <cell r="F75" t="str">
            <v>JIOFIN</v>
          </cell>
          <cell r="G75" t="e">
            <v>#DIV/0!</v>
          </cell>
          <cell r="J75" t="str">
            <v>JIOFIN</v>
          </cell>
          <cell r="K75" t="str">
            <v>NA</v>
          </cell>
          <cell r="L75" t="str">
            <v>NA</v>
          </cell>
        </row>
        <row r="76">
          <cell r="B76" t="str">
            <v>CHOLAFIN</v>
          </cell>
          <cell r="C76">
            <v>0.19845798334021447</v>
          </cell>
          <cell r="F76" t="str">
            <v>CHOLAFIN</v>
          </cell>
          <cell r="G76">
            <v>0.17630083466524593</v>
          </cell>
          <cell r="J76" t="str">
            <v>CHOLAFIN</v>
          </cell>
          <cell r="K76">
            <v>0.19703028713779991</v>
          </cell>
          <cell r="L76">
            <v>0.23854555141182737</v>
          </cell>
        </row>
        <row r="77">
          <cell r="B77" t="str">
            <v>SHRIRAMFIN</v>
          </cell>
          <cell r="C77">
            <v>0.18728019929173856</v>
          </cell>
          <cell r="F77" t="str">
            <v>SHRIRAMFIN</v>
          </cell>
          <cell r="G77">
            <v>0.49433797909407673</v>
          </cell>
          <cell r="J77" t="str">
            <v>SHRIRAMFIN</v>
          </cell>
          <cell r="K77">
            <v>0.20542456464786563</v>
          </cell>
          <cell r="L77">
            <v>0.25751306620209058</v>
          </cell>
        </row>
        <row r="78">
          <cell r="B78" t="str">
            <v>SBICARD</v>
          </cell>
          <cell r="C78">
            <v>0.21349109179280235</v>
          </cell>
          <cell r="F78" t="str">
            <v>SBICARD</v>
          </cell>
          <cell r="G78">
            <v>0.2542421905129193</v>
          </cell>
          <cell r="J78" t="str">
            <v>SBICARD</v>
          </cell>
          <cell r="K78">
            <v>0.1651792245793709</v>
          </cell>
          <cell r="L78">
            <v>0.16824141920555341</v>
          </cell>
        </row>
        <row r="79">
          <cell r="B79" t="str">
            <v>MUTHOOTFIN</v>
          </cell>
          <cell r="C79">
            <v>9.4766055180346642E-2</v>
          </cell>
          <cell r="F79" t="str">
            <v>MUTHOOTFIN</v>
          </cell>
          <cell r="G79">
            <v>0.20781249999999996</v>
          </cell>
          <cell r="J79" t="str">
            <v>MUTHOOTFIN</v>
          </cell>
          <cell r="K79">
            <v>0.32938163884673749</v>
          </cell>
          <cell r="L79">
            <v>0.38971354166666666</v>
          </cell>
        </row>
        <row r="80">
          <cell r="B80" t="str">
            <v>SUNDARMFIN</v>
          </cell>
          <cell r="C80">
            <v>-2.7714371817118555E-2</v>
          </cell>
          <cell r="F80" t="str">
            <v>SUNDARMFIN</v>
          </cell>
          <cell r="G80">
            <v>0.30582362728785362</v>
          </cell>
          <cell r="J80" t="str">
            <v>SUNDARMFIN</v>
          </cell>
          <cell r="K80">
            <v>0.19778222141428831</v>
          </cell>
          <cell r="L80">
            <v>0.31547420965058237</v>
          </cell>
        </row>
        <row r="81">
          <cell r="B81" t="str">
            <v>POONAWALLA</v>
          </cell>
          <cell r="C81">
            <v>-2.6703980049760823E-2</v>
          </cell>
          <cell r="F81" t="str">
            <v>POONAWALLA</v>
          </cell>
          <cell r="G81">
            <v>0.55991590749824804</v>
          </cell>
          <cell r="J81" t="str">
            <v>POONAWALLA</v>
          </cell>
          <cell r="K81">
            <v>0.28386454183266935</v>
          </cell>
          <cell r="L81">
            <v>0.92501751927119835</v>
          </cell>
        </row>
        <row r="82">
          <cell r="B82" t="str">
            <v>M&amp;MFIN</v>
          </cell>
          <cell r="C82">
            <v>8.4007546040834935E-2</v>
          </cell>
          <cell r="F82" t="str">
            <v>M&amp;MFIN</v>
          </cell>
          <cell r="G82">
            <v>0.25182874354561102</v>
          </cell>
          <cell r="J82" t="str">
            <v>M&amp;MFIN</v>
          </cell>
          <cell r="K82">
            <v>0.21851620947630923</v>
          </cell>
          <cell r="L82">
            <v>0.18201376936316696</v>
          </cell>
        </row>
        <row r="83">
          <cell r="B83" t="str">
            <v>IIFL</v>
          </cell>
          <cell r="C83">
            <v>0.16992536450157614</v>
          </cell>
          <cell r="F83" t="str">
            <v>IIFL</v>
          </cell>
          <cell r="G83">
            <v>0.22962242748339001</v>
          </cell>
          <cell r="J83" t="str">
            <v>IIFL</v>
          </cell>
          <cell r="K83">
            <v>0.19024505741683437</v>
          </cell>
          <cell r="L83">
            <v>0.25020256036298816</v>
          </cell>
        </row>
        <row r="84">
          <cell r="B84" t="str">
            <v>OTHERS_176</v>
          </cell>
        </row>
        <row r="107">
          <cell r="C107" t="str">
            <v>ROE%</v>
          </cell>
          <cell r="H107" t="str">
            <v>PE</v>
          </cell>
          <cell r="L107" t="str">
            <v>YIELD%</v>
          </cell>
        </row>
        <row r="108">
          <cell r="B108" t="str">
            <v>BAJFINANCE</v>
          </cell>
          <cell r="C108">
            <v>0.23499999999999999</v>
          </cell>
          <cell r="G108" t="str">
            <v>BAJFINANCE</v>
          </cell>
          <cell r="H108">
            <v>29.12</v>
          </cell>
          <cell r="K108" t="str">
            <v>BAJFINANCE</v>
          </cell>
          <cell r="L108">
            <v>3.4366813221860262E-2</v>
          </cell>
        </row>
        <row r="109">
          <cell r="B109" t="str">
            <v>JIOFIN</v>
          </cell>
          <cell r="C109" t="str">
            <v>NA</v>
          </cell>
          <cell r="G109" t="str">
            <v>JIOFIN</v>
          </cell>
          <cell r="K109" t="str">
            <v>JIOFIN</v>
          </cell>
        </row>
        <row r="110">
          <cell r="B110" t="str">
            <v>CHOLAFIN</v>
          </cell>
          <cell r="C110">
            <v>0.20399999999999999</v>
          </cell>
          <cell r="G110" t="str">
            <v>CHOLAFIN</v>
          </cell>
          <cell r="H110">
            <v>28.73</v>
          </cell>
          <cell r="K110" t="str">
            <v>CHOLAFIN</v>
          </cell>
          <cell r="L110">
            <v>3.4886338059869459E-2</v>
          </cell>
        </row>
        <row r="111">
          <cell r="B111" t="str">
            <v>SHRIRAMFIN</v>
          </cell>
          <cell r="C111">
            <v>0.17299999999999999</v>
          </cell>
          <cell r="G111" t="str">
            <v>SHRIRAMFIN</v>
          </cell>
          <cell r="H111">
            <v>13.82</v>
          </cell>
          <cell r="K111" t="str">
            <v>SHRIRAMFIN</v>
          </cell>
          <cell r="L111">
            <v>7.2031716189152745E-2</v>
          </cell>
        </row>
        <row r="112">
          <cell r="B112" t="str">
            <v>SBICARD</v>
          </cell>
          <cell r="C112">
            <v>0.25700000000000001</v>
          </cell>
          <cell r="G112" t="str">
            <v>SBICARD</v>
          </cell>
          <cell r="H112">
            <v>29.73</v>
          </cell>
          <cell r="K112" t="str">
            <v>SBICARD</v>
          </cell>
          <cell r="L112">
            <v>3.3635805417206795E-2</v>
          </cell>
        </row>
        <row r="113">
          <cell r="B113" t="str">
            <v>MUTHOOTFIN</v>
          </cell>
          <cell r="C113">
            <v>0.17599999999999999</v>
          </cell>
          <cell r="G113" t="str">
            <v>MUTHOOTFIN</v>
          </cell>
          <cell r="H113">
            <v>12.59</v>
          </cell>
          <cell r="K113" t="str">
            <v>MUTHOOTFIN</v>
          </cell>
          <cell r="L113">
            <v>7.9498100610107064E-2</v>
          </cell>
        </row>
        <row r="114">
          <cell r="B114" t="str">
            <v>SUNDARMFIN</v>
          </cell>
          <cell r="C114">
            <v>0.14099999999999999</v>
          </cell>
          <cell r="G114" t="str">
            <v>SUNDARMFIN</v>
          </cell>
          <cell r="H114">
            <v>28.83</v>
          </cell>
          <cell r="K114" t="str">
            <v>SUNDARMFIN</v>
          </cell>
          <cell r="L114">
            <v>3.4634221909744148E-2</v>
          </cell>
        </row>
        <row r="115">
          <cell r="B115" t="str">
            <v>POONAWALLA</v>
          </cell>
          <cell r="C115">
            <v>7.6899999999999996E-2</v>
          </cell>
          <cell r="G115" t="str">
            <v>POONAWALLA</v>
          </cell>
          <cell r="H115">
            <v>23.96</v>
          </cell>
          <cell r="K115" t="str">
            <v>POONAWALLA</v>
          </cell>
          <cell r="L115">
            <v>4.1642350979574826E-2</v>
          </cell>
        </row>
        <row r="116">
          <cell r="B116" t="str">
            <v>M&amp;MFIN</v>
          </cell>
          <cell r="C116">
            <v>0.11899999999999999</v>
          </cell>
          <cell r="G116" t="str">
            <v>M&amp;MFIN</v>
          </cell>
          <cell r="H116">
            <v>18.43</v>
          </cell>
          <cell r="K116" t="str">
            <v>M&amp;MFIN</v>
          </cell>
          <cell r="L116">
            <v>5.4344446363793403E-2</v>
          </cell>
        </row>
        <row r="117">
          <cell r="B117" t="str">
            <v>IIFL</v>
          </cell>
          <cell r="C117">
            <v>0.19400000000000001</v>
          </cell>
          <cell r="G117" t="str">
            <v>IIFL</v>
          </cell>
          <cell r="H117">
            <v>13.13</v>
          </cell>
          <cell r="K117" t="str">
            <v>IIFL</v>
          </cell>
          <cell r="L117">
            <v>7.6099146688338073E-2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F0BA-9454-4216-B14E-2FDE8E49DBA6}">
  <dimension ref="A1:AP1032"/>
  <sheetViews>
    <sheetView showGridLines="0" tabSelected="1" workbookViewId="0"/>
  </sheetViews>
  <sheetFormatPr defaultColWidth="14" defaultRowHeight="15" customHeight="1" x14ac:dyDescent="0.3"/>
  <cols>
    <col min="1" max="1" width="2.109375" customWidth="1"/>
    <col min="2" max="2" width="11.109375" customWidth="1"/>
    <col min="3" max="3" width="21.21875" customWidth="1"/>
    <col min="4" max="4" width="8.88671875" customWidth="1"/>
    <col min="5" max="5" width="9" customWidth="1"/>
    <col min="6" max="6" width="12.21875" customWidth="1"/>
    <col min="7" max="7" width="10.21875" customWidth="1"/>
    <col min="8" max="8" width="12.6640625" customWidth="1"/>
    <col min="9" max="9" width="17.44140625" customWidth="1"/>
    <col min="10" max="10" width="12.109375" customWidth="1"/>
    <col min="11" max="11" width="15.77734375" customWidth="1"/>
    <col min="12" max="12" width="12.109375" customWidth="1"/>
    <col min="13" max="13" width="12.88671875" customWidth="1"/>
    <col min="14" max="15" width="10.77734375" customWidth="1"/>
    <col min="16" max="16" width="10.21875" customWidth="1"/>
    <col min="17" max="17" width="15.109375" customWidth="1"/>
    <col min="18" max="18" width="12.6640625" customWidth="1"/>
    <col min="19" max="19" width="14.88671875" customWidth="1"/>
    <col min="20" max="21" width="11.109375" customWidth="1"/>
    <col min="22" max="22" width="15.109375" customWidth="1"/>
    <col min="23" max="23" width="15.5546875" customWidth="1"/>
    <col min="24" max="25" width="10.77734375" customWidth="1"/>
    <col min="26" max="27" width="9" customWidth="1"/>
    <col min="28" max="28" width="8.44140625" customWidth="1"/>
    <col min="29" max="29" width="11.77734375" customWidth="1"/>
    <col min="30" max="30" width="14.6640625" customWidth="1"/>
    <col min="31" max="31" width="11.88671875" customWidth="1"/>
    <col min="32" max="34" width="8.44140625" customWidth="1"/>
    <col min="35" max="35" width="9.6640625" customWidth="1"/>
    <col min="36" max="36" width="12.109375" customWidth="1"/>
    <col min="37" max="37" width="10.44140625" customWidth="1"/>
    <col min="38" max="39" width="9.6640625" customWidth="1"/>
    <col min="40" max="40" width="10.109375" customWidth="1"/>
    <col min="41" max="41" width="10.77734375" customWidth="1"/>
    <col min="42" max="42" width="5.109375" customWidth="1"/>
  </cols>
  <sheetData>
    <row r="1" spans="1:42" ht="15.75" customHeight="1" x14ac:dyDescent="0.3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5"/>
      <c r="U1" s="5"/>
      <c r="V1" s="5"/>
      <c r="W1" s="5"/>
      <c r="X1" s="5"/>
      <c r="Y1" s="5"/>
      <c r="Z1" s="6"/>
      <c r="AA1" s="6"/>
      <c r="AB1" s="5"/>
      <c r="AC1" s="5"/>
      <c r="AD1" s="6"/>
      <c r="AE1" s="6"/>
      <c r="AF1" s="6"/>
      <c r="AG1" s="6"/>
      <c r="AH1" s="6"/>
      <c r="AI1" s="6"/>
      <c r="AJ1" s="6"/>
      <c r="AK1" s="6"/>
      <c r="AL1" s="5"/>
      <c r="AM1" s="5"/>
      <c r="AN1" s="5"/>
      <c r="AO1" s="5"/>
      <c r="AP1" s="5"/>
    </row>
    <row r="2" spans="1:42" ht="15.75" customHeight="1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5"/>
      <c r="T2" s="5"/>
      <c r="U2" s="5"/>
      <c r="V2" s="5"/>
      <c r="W2" s="5"/>
      <c r="X2" s="5"/>
      <c r="Y2" s="5"/>
      <c r="Z2" s="6"/>
      <c r="AA2" s="6"/>
      <c r="AB2" s="5"/>
      <c r="AC2" s="5"/>
      <c r="AD2" s="6"/>
      <c r="AE2" s="6"/>
      <c r="AF2" s="6"/>
      <c r="AG2" s="6"/>
      <c r="AJ2" s="7"/>
      <c r="AK2" s="7"/>
      <c r="AL2" s="7"/>
      <c r="AM2" s="7"/>
      <c r="AN2" s="7"/>
      <c r="AO2" s="7"/>
      <c r="AP2" s="7"/>
    </row>
    <row r="3" spans="1:42" ht="15.75" customHeight="1" x14ac:dyDescent="0.3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5"/>
      <c r="T3" s="5"/>
      <c r="U3" s="5"/>
      <c r="V3" s="5"/>
      <c r="W3" s="5"/>
      <c r="X3" s="5"/>
      <c r="Y3" s="5"/>
      <c r="Z3" s="6"/>
      <c r="AA3" s="6"/>
      <c r="AB3" s="5"/>
      <c r="AC3" s="5"/>
      <c r="AD3" s="6"/>
      <c r="AE3" s="6"/>
      <c r="AF3" s="6"/>
      <c r="AG3" s="6"/>
      <c r="AH3" s="7"/>
      <c r="AI3" s="7"/>
      <c r="AJ3" s="7"/>
      <c r="AK3" s="7"/>
      <c r="AL3" s="7"/>
      <c r="AM3" s="7"/>
      <c r="AN3" s="7"/>
      <c r="AO3" s="7"/>
      <c r="AP3" s="7"/>
    </row>
    <row r="4" spans="1:42" ht="15.75" customHeight="1" x14ac:dyDescent="0.3">
      <c r="A4" s="1"/>
      <c r="B4" s="8" t="s">
        <v>1</v>
      </c>
      <c r="C4" s="9"/>
      <c r="D4" s="5"/>
      <c r="E4" s="8" t="s">
        <v>2</v>
      </c>
      <c r="F4" s="5"/>
      <c r="G4" s="8" t="s">
        <v>3</v>
      </c>
      <c r="H4" s="5"/>
      <c r="I4" s="5"/>
      <c r="J4" s="5"/>
      <c r="K4" s="5"/>
      <c r="L4" s="5"/>
      <c r="M4" s="5"/>
      <c r="N4" s="10"/>
      <c r="O4" s="4"/>
      <c r="P4" s="4"/>
      <c r="Q4" s="4"/>
      <c r="R4" s="7"/>
      <c r="S4" s="5"/>
      <c r="T4" s="5"/>
      <c r="U4" s="5"/>
      <c r="V4" s="5"/>
      <c r="W4" s="5"/>
      <c r="X4" s="5"/>
      <c r="Y4" s="5"/>
      <c r="Z4" s="6"/>
      <c r="AA4" s="6"/>
      <c r="AB4" s="5"/>
      <c r="AC4" s="5"/>
      <c r="AD4" s="6"/>
      <c r="AE4" s="6"/>
      <c r="AF4" s="6"/>
      <c r="AG4" s="6"/>
      <c r="AH4" s="7"/>
      <c r="AI4" s="7"/>
      <c r="AJ4" s="7"/>
      <c r="AK4" s="7"/>
      <c r="AL4" s="7"/>
      <c r="AM4" s="7"/>
      <c r="AN4" s="7"/>
      <c r="AO4" s="7"/>
      <c r="AP4" s="7"/>
    </row>
    <row r="5" spans="1:42" ht="15.75" customHeight="1" x14ac:dyDescent="0.3">
      <c r="A5" s="1"/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7"/>
      <c r="T5" s="5"/>
      <c r="U5" s="5"/>
      <c r="V5" s="5"/>
      <c r="W5" s="5"/>
      <c r="X5" s="5"/>
      <c r="Y5" s="5"/>
      <c r="Z5" s="6"/>
      <c r="AA5" s="6"/>
      <c r="AB5" s="5"/>
      <c r="AC5" s="5"/>
      <c r="AD5" s="6"/>
      <c r="AE5" s="6"/>
      <c r="AF5" s="6"/>
      <c r="AG5" s="6"/>
      <c r="AH5" s="7"/>
      <c r="AI5" s="7"/>
      <c r="AJ5" s="7"/>
      <c r="AK5" s="7"/>
      <c r="AL5" s="7"/>
      <c r="AM5" s="7"/>
      <c r="AN5" s="7"/>
      <c r="AO5" s="7"/>
      <c r="AP5" s="7"/>
    </row>
    <row r="6" spans="1:42" ht="15.75" customHeight="1" x14ac:dyDescent="0.3">
      <c r="A6" s="1"/>
      <c r="B6" s="11" t="s">
        <v>20</v>
      </c>
      <c r="C6" s="12">
        <f ca="1">IFERROR(__xludf.DUMMYFUNCTION("googlefinance(""nse:""&amp;B5,""MARKETCAP"")/10000000"),409112.3277918)</f>
        <v>409112.32779180002</v>
      </c>
      <c r="D6" s="12">
        <f ca="1">IFERROR(__xludf.DUMMYFUNCTION("googlefinance(""nse:""&amp;B5,""price"")"),6614.2)</f>
        <v>6614.2</v>
      </c>
      <c r="E6" s="12">
        <v>121</v>
      </c>
      <c r="F6" s="12">
        <v>2</v>
      </c>
      <c r="G6" s="13">
        <v>59753</v>
      </c>
      <c r="H6" s="11">
        <f>R44</f>
        <v>354192</v>
      </c>
      <c r="I6" s="13">
        <v>58008</v>
      </c>
      <c r="J6" s="13">
        <v>209144</v>
      </c>
      <c r="K6" s="14">
        <f t="shared" ref="K6:L6" si="0">E49</f>
        <v>68711.25</v>
      </c>
      <c r="L6" s="14">
        <f t="shared" si="0"/>
        <v>16834.256249999999</v>
      </c>
      <c r="M6" s="12">
        <f>O50</f>
        <v>243.28</v>
      </c>
      <c r="N6" s="13">
        <v>321917</v>
      </c>
      <c r="O6" s="13">
        <f>260743+1300</f>
        <v>262043</v>
      </c>
      <c r="P6" s="15">
        <v>54281</v>
      </c>
      <c r="Q6" s="16">
        <v>7.7600000000000002E-2</v>
      </c>
      <c r="R6" s="7"/>
      <c r="T6" s="5"/>
      <c r="U6" s="5"/>
      <c r="V6" s="5"/>
      <c r="W6" s="5"/>
      <c r="X6" s="5"/>
      <c r="Y6" s="5"/>
      <c r="Z6" s="6"/>
      <c r="AA6" s="6"/>
      <c r="AB6" s="5"/>
      <c r="AC6" s="5"/>
      <c r="AD6" s="6"/>
      <c r="AE6" s="6"/>
      <c r="AF6" s="6"/>
      <c r="AG6" s="6"/>
      <c r="AH6" s="7"/>
      <c r="AI6" s="7"/>
      <c r="AJ6" s="7"/>
      <c r="AK6" s="17"/>
      <c r="AL6" s="17"/>
      <c r="AM6" s="17"/>
      <c r="AN6" s="17"/>
      <c r="AO6" s="17"/>
      <c r="AP6" s="7"/>
    </row>
    <row r="7" spans="1:42" ht="15.75" customHeight="1" x14ac:dyDescent="0.3">
      <c r="A7" s="18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K7" s="17"/>
      <c r="AL7" s="17"/>
      <c r="AM7" s="17"/>
      <c r="AN7" s="17"/>
      <c r="AO7" s="17"/>
      <c r="AP7" s="7"/>
    </row>
    <row r="8" spans="1:42" ht="15.75" customHeight="1" x14ac:dyDescent="0.3">
      <c r="A8" s="1"/>
      <c r="B8" s="8" t="s">
        <v>21</v>
      </c>
      <c r="C8" s="8" t="s">
        <v>22</v>
      </c>
      <c r="D8" s="8" t="s">
        <v>23</v>
      </c>
      <c r="E8" s="8" t="s">
        <v>24</v>
      </c>
      <c r="F8" s="8" t="s">
        <v>25</v>
      </c>
      <c r="G8" s="8" t="s">
        <v>26</v>
      </c>
      <c r="H8" s="8" t="s">
        <v>27</v>
      </c>
      <c r="I8" s="8" t="s">
        <v>28</v>
      </c>
      <c r="J8" s="8" t="s">
        <v>29</v>
      </c>
      <c r="K8" s="8" t="s">
        <v>30</v>
      </c>
      <c r="L8" s="21" t="s">
        <v>31</v>
      </c>
      <c r="M8" s="8" t="s">
        <v>32</v>
      </c>
      <c r="N8" s="8" t="s">
        <v>33</v>
      </c>
      <c r="O8" s="8" t="s">
        <v>34</v>
      </c>
      <c r="P8" s="8" t="s">
        <v>35</v>
      </c>
      <c r="Q8" s="8" t="s">
        <v>36</v>
      </c>
      <c r="R8" s="8" t="s">
        <v>37</v>
      </c>
      <c r="S8" s="5"/>
      <c r="T8" s="5"/>
      <c r="U8" s="5"/>
      <c r="V8" s="5"/>
      <c r="W8" s="5"/>
      <c r="X8" s="5"/>
      <c r="Y8" s="5"/>
      <c r="Z8" s="6"/>
      <c r="AA8" s="6"/>
      <c r="AB8" s="5"/>
      <c r="AC8" s="5"/>
      <c r="AD8" s="6"/>
      <c r="AE8" s="6"/>
      <c r="AF8" s="7"/>
      <c r="AG8" s="7"/>
      <c r="AH8" s="7"/>
      <c r="AI8" s="7"/>
      <c r="AK8" s="17"/>
      <c r="AL8" s="17"/>
      <c r="AM8" s="17"/>
      <c r="AN8" s="17"/>
      <c r="AO8" s="17"/>
      <c r="AP8" s="7"/>
    </row>
    <row r="9" spans="1:42" ht="15.75" customHeight="1" x14ac:dyDescent="0.3">
      <c r="A9" s="1"/>
      <c r="B9" s="22">
        <f>R50</f>
        <v>0.24498416050686378</v>
      </c>
      <c r="C9" s="22">
        <f>T45</f>
        <v>0.28812610017602824</v>
      </c>
      <c r="D9" s="23">
        <f>T44</f>
        <v>0.31135110719482251</v>
      </c>
      <c r="E9" s="23">
        <f>I6/H6</f>
        <v>0.16377557934679496</v>
      </c>
      <c r="F9" s="24">
        <f>R51</f>
        <v>8.6E-3</v>
      </c>
      <c r="G9" s="23">
        <v>0.64</v>
      </c>
      <c r="H9" s="25">
        <v>0.2387</v>
      </c>
      <c r="I9" s="26">
        <v>2.3814000000000002</v>
      </c>
      <c r="J9" s="27">
        <f>(J6)/(G6+E6)</f>
        <v>3.4930687777666432</v>
      </c>
      <c r="K9" s="22">
        <f>L6/N6</f>
        <v>5.2293778365230782E-2</v>
      </c>
      <c r="L9" s="22">
        <f>L6/(G6+E6)</f>
        <v>0.28116137639041988</v>
      </c>
      <c r="M9" s="12">
        <f>L6/E6</f>
        <v>139.12608471074378</v>
      </c>
      <c r="N9" s="12">
        <f ca="1">D6/M6</f>
        <v>27.187602762249259</v>
      </c>
      <c r="O9" s="26">
        <f ca="1">M6/D6</f>
        <v>3.6781470170239791E-2</v>
      </c>
      <c r="P9" s="12">
        <f>G6/(E6/F6)</f>
        <v>987.65289256198344</v>
      </c>
      <c r="Q9" s="12">
        <f ca="1">D6/P9</f>
        <v>6.69688718558064</v>
      </c>
      <c r="R9" s="27">
        <f ca="1">O53</f>
        <v>1.4977807971014492</v>
      </c>
      <c r="S9" s="5"/>
      <c r="T9" s="5"/>
      <c r="U9" s="5"/>
      <c r="V9" s="5"/>
      <c r="W9" s="5"/>
      <c r="X9" s="5"/>
      <c r="Y9" s="5"/>
      <c r="Z9" s="6"/>
      <c r="AA9" s="6"/>
      <c r="AB9" s="5"/>
      <c r="AC9" s="5"/>
      <c r="AD9" s="6"/>
      <c r="AE9" s="6"/>
      <c r="AF9" s="7"/>
      <c r="AG9" s="7"/>
      <c r="AH9" s="7"/>
      <c r="AJ9" s="7"/>
      <c r="AK9" s="17"/>
      <c r="AL9" s="17"/>
      <c r="AM9" s="17"/>
      <c r="AP9" s="7"/>
    </row>
    <row r="10" spans="1:42" ht="15.75" customHeight="1" x14ac:dyDescent="0.3">
      <c r="A10" s="5"/>
      <c r="B10" s="28"/>
      <c r="C10" s="29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0"/>
      <c r="S10" s="7"/>
      <c r="T10" s="7"/>
      <c r="U10" s="7"/>
      <c r="V10" s="7"/>
      <c r="W10" s="7"/>
      <c r="X10" s="5"/>
      <c r="Y10" s="5"/>
      <c r="Z10" s="5"/>
      <c r="AA10" s="5"/>
      <c r="AB10" s="5"/>
      <c r="AC10" s="5"/>
      <c r="AD10" s="5"/>
      <c r="AE10" s="5"/>
      <c r="AF10" s="7"/>
      <c r="AG10" s="7"/>
      <c r="AH10" s="7"/>
      <c r="AJ10" s="30"/>
      <c r="AK10" s="30"/>
      <c r="AL10" s="30"/>
      <c r="AM10" s="30"/>
      <c r="AN10" s="30"/>
      <c r="AO10" s="30"/>
      <c r="AP10" s="7"/>
    </row>
    <row r="11" spans="1:42" ht="15.75" customHeight="1" x14ac:dyDescent="0.3">
      <c r="A11" s="5"/>
      <c r="B11" s="31" t="s">
        <v>38</v>
      </c>
      <c r="C11" s="32" t="s">
        <v>39</v>
      </c>
      <c r="D11" s="31" t="s">
        <v>10</v>
      </c>
      <c r="E11" s="31" t="s">
        <v>40</v>
      </c>
      <c r="F11" s="31" t="s">
        <v>41</v>
      </c>
      <c r="G11" s="31" t="s">
        <v>42</v>
      </c>
      <c r="H11" s="31" t="s">
        <v>43</v>
      </c>
      <c r="I11" s="31" t="s">
        <v>44</v>
      </c>
      <c r="J11" s="31" t="s">
        <v>45</v>
      </c>
      <c r="K11" s="31" t="s">
        <v>46</v>
      </c>
      <c r="L11" s="31" t="s">
        <v>47</v>
      </c>
      <c r="M11" s="31" t="s">
        <v>48</v>
      </c>
      <c r="N11" s="31" t="s">
        <v>49</v>
      </c>
      <c r="O11" s="31" t="s">
        <v>7</v>
      </c>
      <c r="P11" s="31" t="s">
        <v>50</v>
      </c>
      <c r="Q11" s="31" t="s">
        <v>51</v>
      </c>
      <c r="R11" s="33" t="s">
        <v>52</v>
      </c>
      <c r="S11" s="7"/>
      <c r="T11" s="7"/>
      <c r="U11" s="7"/>
      <c r="V11" s="7"/>
      <c r="W11" s="7"/>
      <c r="X11" s="5"/>
      <c r="Y11" s="5"/>
      <c r="Z11" s="5"/>
      <c r="AA11" s="5"/>
      <c r="AB11" s="5"/>
      <c r="AC11" s="7"/>
      <c r="AD11" s="7"/>
      <c r="AF11" s="7"/>
      <c r="AG11" s="7"/>
      <c r="AH11" s="7"/>
      <c r="AJ11" s="30"/>
      <c r="AL11" s="30"/>
      <c r="AM11" s="30"/>
      <c r="AN11" s="30"/>
      <c r="AO11" s="30"/>
      <c r="AP11" s="7"/>
    </row>
    <row r="12" spans="1:42" ht="15.75" customHeight="1" x14ac:dyDescent="0.3">
      <c r="A12" s="5"/>
      <c r="B12" s="34"/>
      <c r="C12" s="35" t="s">
        <v>53</v>
      </c>
      <c r="D12" s="34"/>
      <c r="E12" s="36">
        <v>114</v>
      </c>
      <c r="F12" s="37"/>
      <c r="G12" s="37">
        <v>34</v>
      </c>
      <c r="H12" s="37"/>
      <c r="I12" s="37">
        <v>20.49</v>
      </c>
      <c r="J12" s="38">
        <f t="shared" ref="J12:J35" si="1">G12/E12</f>
        <v>0.2982456140350877</v>
      </c>
      <c r="K12" s="37">
        <v>58</v>
      </c>
      <c r="L12" s="37">
        <v>24</v>
      </c>
      <c r="M12" s="37">
        <f t="shared" ref="M12:M35" si="2">K12/I12</f>
        <v>2.8306490971205469</v>
      </c>
      <c r="N12" s="37">
        <f t="shared" ref="N12:N35" si="3">L12/I12</f>
        <v>1.171303074670571</v>
      </c>
      <c r="O12" s="37">
        <v>16.5</v>
      </c>
      <c r="P12" s="34">
        <v>170</v>
      </c>
      <c r="Q12" s="37">
        <f t="shared" ref="Q12:Q31" si="4">(I12*10%)</f>
        <v>2.0489999999999999</v>
      </c>
      <c r="R12" s="39"/>
      <c r="S12" s="30"/>
      <c r="T12" s="30"/>
      <c r="U12" s="7"/>
      <c r="V12" s="7"/>
      <c r="W12" s="7"/>
      <c r="X12" s="5"/>
      <c r="Y12" s="5"/>
      <c r="Z12" s="5"/>
      <c r="AA12" s="5"/>
      <c r="AB12" s="5"/>
      <c r="AC12" s="7"/>
      <c r="AD12" s="7"/>
      <c r="AF12" s="7"/>
      <c r="AG12" s="7"/>
      <c r="AH12" s="7"/>
      <c r="AJ12" s="7"/>
      <c r="AL12" s="7"/>
      <c r="AM12" s="7"/>
      <c r="AN12" s="7"/>
      <c r="AO12" s="7"/>
      <c r="AP12" s="7"/>
    </row>
    <row r="13" spans="1:42" ht="15.75" customHeight="1" x14ac:dyDescent="0.3">
      <c r="A13" s="5"/>
      <c r="B13" s="34"/>
      <c r="C13" s="35" t="s">
        <v>54</v>
      </c>
      <c r="D13" s="34"/>
      <c r="E13" s="36">
        <v>118</v>
      </c>
      <c r="F13" s="40">
        <f t="shared" ref="F13:F20" si="5">(E13/E12)^(1/1)-1</f>
        <v>3.5087719298245723E-2</v>
      </c>
      <c r="G13" s="41">
        <v>27</v>
      </c>
      <c r="H13" s="42">
        <f t="shared" ref="H13:H26" si="6">(G13/G12)^(1/1)-1</f>
        <v>-0.20588235294117652</v>
      </c>
      <c r="I13" s="37">
        <v>17.149999999999999</v>
      </c>
      <c r="J13" s="38">
        <f t="shared" si="1"/>
        <v>0.2288135593220339</v>
      </c>
      <c r="K13" s="37">
        <v>74.95</v>
      </c>
      <c r="L13" s="37">
        <v>45</v>
      </c>
      <c r="M13" s="37">
        <f t="shared" si="2"/>
        <v>4.3702623906705549</v>
      </c>
      <c r="N13" s="37">
        <f t="shared" si="3"/>
        <v>2.6239067055393588</v>
      </c>
      <c r="O13" s="37">
        <v>16.5</v>
      </c>
      <c r="P13" s="34">
        <v>190</v>
      </c>
      <c r="Q13" s="37">
        <f t="shared" si="4"/>
        <v>1.7149999999999999</v>
      </c>
      <c r="R13" s="39"/>
      <c r="S13" s="30"/>
      <c r="T13" s="7"/>
      <c r="U13" s="7"/>
      <c r="V13" s="7"/>
      <c r="W13" s="7"/>
      <c r="X13" s="5"/>
      <c r="Y13" s="5"/>
      <c r="Z13" s="5"/>
      <c r="AA13" s="5"/>
      <c r="AB13" s="5"/>
      <c r="AC13" s="7"/>
      <c r="AD13" s="7"/>
      <c r="AF13" s="7"/>
      <c r="AG13" s="7"/>
      <c r="AH13" s="7"/>
      <c r="AJ13" s="30"/>
      <c r="AL13" s="30"/>
      <c r="AM13" s="30"/>
      <c r="AN13" s="30"/>
      <c r="AO13" s="30"/>
      <c r="AP13" s="7"/>
    </row>
    <row r="14" spans="1:42" ht="15.75" customHeight="1" x14ac:dyDescent="0.3">
      <c r="A14" s="5"/>
      <c r="B14" s="34"/>
      <c r="C14" s="35" t="s">
        <v>55</v>
      </c>
      <c r="D14" s="34"/>
      <c r="E14" s="36">
        <v>134</v>
      </c>
      <c r="F14" s="40">
        <f t="shared" si="5"/>
        <v>0.13559322033898313</v>
      </c>
      <c r="G14" s="37">
        <v>39</v>
      </c>
      <c r="H14" s="43">
        <f t="shared" si="6"/>
        <v>0.44444444444444442</v>
      </c>
      <c r="I14" s="37">
        <v>23.39</v>
      </c>
      <c r="J14" s="38">
        <f t="shared" si="1"/>
        <v>0.29104477611940299</v>
      </c>
      <c r="K14" s="37">
        <v>103.5</v>
      </c>
      <c r="L14" s="37">
        <v>47</v>
      </c>
      <c r="M14" s="37">
        <f t="shared" si="2"/>
        <v>4.4249679350149638</v>
      </c>
      <c r="N14" s="37">
        <f t="shared" si="3"/>
        <v>2.0094057289439933</v>
      </c>
      <c r="O14" s="37">
        <v>16.5</v>
      </c>
      <c r="P14" s="34">
        <v>217</v>
      </c>
      <c r="Q14" s="37">
        <f t="shared" si="4"/>
        <v>2.339</v>
      </c>
      <c r="R14" s="39"/>
      <c r="S14" s="30"/>
      <c r="T14" s="7"/>
      <c r="U14" s="7"/>
      <c r="V14" s="7"/>
      <c r="W14" s="7"/>
      <c r="X14" s="5"/>
      <c r="Y14" s="5"/>
      <c r="Z14" s="5"/>
      <c r="AA14" s="5"/>
      <c r="AB14" s="5"/>
      <c r="AC14" s="7"/>
      <c r="AD14" s="7"/>
      <c r="AF14" s="7"/>
      <c r="AG14" s="7"/>
      <c r="AH14" s="7"/>
      <c r="AJ14" s="30"/>
      <c r="AL14" s="30"/>
      <c r="AM14" s="30"/>
      <c r="AN14" s="30"/>
      <c r="AO14" s="30"/>
      <c r="AP14" s="7"/>
    </row>
    <row r="15" spans="1:42" ht="15.75" customHeight="1" x14ac:dyDescent="0.3">
      <c r="A15" s="5"/>
      <c r="B15" s="34"/>
      <c r="C15" s="35" t="s">
        <v>56</v>
      </c>
      <c r="D15" s="34"/>
      <c r="E15" s="36">
        <v>173</v>
      </c>
      <c r="F15" s="38">
        <f t="shared" si="5"/>
        <v>0.29104477611940305</v>
      </c>
      <c r="G15" s="37">
        <v>56</v>
      </c>
      <c r="H15" s="43">
        <f t="shared" si="6"/>
        <v>0.4358974358974359</v>
      </c>
      <c r="I15" s="37">
        <v>33.93</v>
      </c>
      <c r="J15" s="38">
        <f t="shared" si="1"/>
        <v>0.32369942196531792</v>
      </c>
      <c r="K15" s="37">
        <v>189</v>
      </c>
      <c r="L15" s="37">
        <v>66</v>
      </c>
      <c r="M15" s="37">
        <f t="shared" si="2"/>
        <v>5.5702917771883289</v>
      </c>
      <c r="N15" s="37">
        <f t="shared" si="3"/>
        <v>1.9451812555260832</v>
      </c>
      <c r="O15" s="37">
        <v>16.5</v>
      </c>
      <c r="P15" s="34">
        <v>259</v>
      </c>
      <c r="Q15" s="37">
        <f t="shared" si="4"/>
        <v>3.3930000000000002</v>
      </c>
      <c r="R15" s="39"/>
      <c r="S15" s="30"/>
      <c r="T15" s="7"/>
      <c r="U15" s="7"/>
      <c r="V15" s="7"/>
      <c r="W15" s="7"/>
      <c r="X15" s="5"/>
      <c r="Y15" s="5"/>
      <c r="Z15" s="5"/>
      <c r="AA15" s="5"/>
      <c r="AB15" s="5"/>
      <c r="AC15" s="7"/>
      <c r="AD15" s="7"/>
      <c r="AF15" s="7"/>
      <c r="AG15" s="7"/>
      <c r="AH15" s="7"/>
      <c r="AJ15" s="7"/>
      <c r="AL15" s="7"/>
      <c r="AM15" s="7"/>
      <c r="AN15" s="7"/>
      <c r="AO15" s="7"/>
      <c r="AP15" s="7"/>
    </row>
    <row r="16" spans="1:42" ht="15.75" customHeight="1" x14ac:dyDescent="0.3">
      <c r="A16" s="5"/>
      <c r="B16" s="34"/>
      <c r="C16" s="35" t="s">
        <v>57</v>
      </c>
      <c r="D16" s="34"/>
      <c r="E16" s="36">
        <v>243</v>
      </c>
      <c r="F16" s="38">
        <f t="shared" si="5"/>
        <v>0.40462427745664731</v>
      </c>
      <c r="G16" s="41">
        <v>21</v>
      </c>
      <c r="H16" s="42">
        <f t="shared" si="6"/>
        <v>-0.625</v>
      </c>
      <c r="I16" s="37">
        <v>12.12</v>
      </c>
      <c r="J16" s="38">
        <f t="shared" si="1"/>
        <v>8.6419753086419748E-2</v>
      </c>
      <c r="K16" s="37">
        <v>585</v>
      </c>
      <c r="L16" s="37">
        <v>165</v>
      </c>
      <c r="M16" s="37">
        <f t="shared" si="2"/>
        <v>48.267326732673268</v>
      </c>
      <c r="N16" s="37">
        <f t="shared" si="3"/>
        <v>13.613861386138614</v>
      </c>
      <c r="O16" s="37">
        <v>21</v>
      </c>
      <c r="P16" s="34">
        <v>462</v>
      </c>
      <c r="Q16" s="37">
        <f t="shared" si="4"/>
        <v>1.212</v>
      </c>
      <c r="R16" s="39"/>
      <c r="S16" s="30"/>
      <c r="T16" s="7"/>
      <c r="U16" s="7"/>
      <c r="V16" s="7"/>
      <c r="W16" s="7"/>
      <c r="X16" s="5"/>
      <c r="Y16" s="5"/>
      <c r="Z16" s="5"/>
      <c r="AA16" s="5"/>
      <c r="AB16" s="5"/>
      <c r="AC16" s="7"/>
      <c r="AD16" s="7"/>
      <c r="AE16" s="7"/>
      <c r="AF16" s="7"/>
      <c r="AG16" s="7"/>
      <c r="AH16" s="7"/>
      <c r="AJ16" s="7"/>
      <c r="AK16" s="7"/>
      <c r="AL16" s="7"/>
      <c r="AM16" s="7"/>
      <c r="AN16" s="7"/>
      <c r="AO16" s="7"/>
      <c r="AP16" s="7"/>
    </row>
    <row r="17" spans="1:42" ht="15.75" customHeight="1" x14ac:dyDescent="0.3">
      <c r="A17" s="5"/>
      <c r="B17" s="34"/>
      <c r="C17" s="35" t="s">
        <v>58</v>
      </c>
      <c r="D17" s="34"/>
      <c r="E17" s="36">
        <v>402</v>
      </c>
      <c r="F17" s="38">
        <f t="shared" si="5"/>
        <v>0.65432098765432101</v>
      </c>
      <c r="G17" s="37">
        <v>48</v>
      </c>
      <c r="H17" s="38">
        <f t="shared" si="6"/>
        <v>1.2857142857142856</v>
      </c>
      <c r="I17" s="37">
        <v>19.760000000000002</v>
      </c>
      <c r="J17" s="38">
        <f t="shared" si="1"/>
        <v>0.11940298507462686</v>
      </c>
      <c r="K17" s="37">
        <v>564</v>
      </c>
      <c r="L17" s="37">
        <v>275.05</v>
      </c>
      <c r="M17" s="37">
        <f t="shared" si="2"/>
        <v>28.542510121457486</v>
      </c>
      <c r="N17" s="37">
        <f t="shared" si="3"/>
        <v>13.919534412955466</v>
      </c>
      <c r="O17" s="37">
        <v>35.4</v>
      </c>
      <c r="P17" s="34">
        <v>961</v>
      </c>
      <c r="Q17" s="37">
        <f t="shared" si="4"/>
        <v>1.9760000000000002</v>
      </c>
      <c r="R17" s="39"/>
      <c r="S17" s="30"/>
      <c r="T17" s="7"/>
      <c r="U17" s="7"/>
      <c r="V17" s="7"/>
      <c r="W17" s="7"/>
      <c r="X17" s="5"/>
      <c r="Y17" s="5"/>
      <c r="Z17" s="5"/>
      <c r="AA17" s="5"/>
      <c r="AB17" s="5"/>
      <c r="AC17" s="7"/>
      <c r="AD17" s="7"/>
      <c r="AE17" s="7"/>
      <c r="AF17" s="7"/>
      <c r="AG17" s="7"/>
      <c r="AH17" s="7"/>
      <c r="AJ17" s="7"/>
      <c r="AK17" s="7"/>
      <c r="AL17" s="7"/>
      <c r="AM17" s="7"/>
      <c r="AN17" s="7"/>
      <c r="AO17" s="7"/>
      <c r="AP17" s="7"/>
    </row>
    <row r="18" spans="1:42" ht="15.75" customHeight="1" x14ac:dyDescent="0.3">
      <c r="A18" s="5"/>
      <c r="B18" s="34"/>
      <c r="C18" s="35" t="s">
        <v>59</v>
      </c>
      <c r="D18" s="34">
        <v>2478</v>
      </c>
      <c r="E18" s="36">
        <v>503</v>
      </c>
      <c r="F18" s="38">
        <f t="shared" si="5"/>
        <v>0.25124378109452739</v>
      </c>
      <c r="G18" s="41">
        <v>21</v>
      </c>
      <c r="H18" s="42">
        <f t="shared" si="6"/>
        <v>-0.5625</v>
      </c>
      <c r="I18" s="37">
        <v>5.68</v>
      </c>
      <c r="J18" s="38">
        <f t="shared" si="1"/>
        <v>4.1749502982107355E-2</v>
      </c>
      <c r="K18" s="37">
        <v>518.9</v>
      </c>
      <c r="L18" s="37">
        <v>285</v>
      </c>
      <c r="M18" s="37">
        <f t="shared" si="2"/>
        <v>91.355633802816897</v>
      </c>
      <c r="N18" s="37">
        <f t="shared" si="3"/>
        <v>50.176056338028168</v>
      </c>
      <c r="O18" s="37">
        <v>36.6</v>
      </c>
      <c r="P18" s="34">
        <v>1027</v>
      </c>
      <c r="Q18" s="37">
        <f t="shared" si="4"/>
        <v>0.56799999999999995</v>
      </c>
      <c r="R18" s="39">
        <v>7.0000000000000007E-2</v>
      </c>
      <c r="S18" s="30"/>
      <c r="T18" s="7"/>
      <c r="U18" s="7"/>
      <c r="V18" s="7"/>
      <c r="W18" s="7"/>
      <c r="X18" s="5"/>
      <c r="Y18" s="5"/>
      <c r="Z18" s="5"/>
      <c r="AA18" s="5"/>
      <c r="AB18" s="5"/>
      <c r="AC18" s="7"/>
      <c r="AD18" s="7"/>
      <c r="AE18" s="7"/>
      <c r="AF18" s="7"/>
      <c r="AG18" s="7"/>
      <c r="AH18" s="7"/>
      <c r="AJ18" s="7"/>
      <c r="AK18" s="7"/>
      <c r="AL18" s="7"/>
      <c r="AM18" s="7"/>
      <c r="AN18" s="7"/>
      <c r="AO18" s="7"/>
      <c r="AP18" s="7"/>
    </row>
    <row r="19" spans="1:42" ht="15.75" customHeight="1" x14ac:dyDescent="0.3">
      <c r="A19" s="5"/>
      <c r="B19" s="34"/>
      <c r="C19" s="35" t="s">
        <v>60</v>
      </c>
      <c r="D19" s="34">
        <v>2539</v>
      </c>
      <c r="E19" s="36">
        <v>599</v>
      </c>
      <c r="F19" s="40">
        <f t="shared" si="5"/>
        <v>0.19085487077534791</v>
      </c>
      <c r="G19" s="37">
        <v>34</v>
      </c>
      <c r="H19" s="43">
        <f t="shared" si="6"/>
        <v>0.61904761904761907</v>
      </c>
      <c r="I19" s="37">
        <v>9.27</v>
      </c>
      <c r="J19" s="38">
        <f t="shared" si="1"/>
        <v>5.6761268781302172E-2</v>
      </c>
      <c r="K19" s="37">
        <v>350</v>
      </c>
      <c r="L19" s="37">
        <v>43</v>
      </c>
      <c r="M19" s="37">
        <f t="shared" si="2"/>
        <v>37.756202804746493</v>
      </c>
      <c r="N19" s="37">
        <f t="shared" si="3"/>
        <v>4.638619201725998</v>
      </c>
      <c r="O19" s="37">
        <v>36.6</v>
      </c>
      <c r="P19" s="34">
        <v>1052</v>
      </c>
      <c r="Q19" s="37">
        <f t="shared" si="4"/>
        <v>0.92700000000000005</v>
      </c>
      <c r="R19" s="39">
        <v>5.5E-2</v>
      </c>
      <c r="S19" s="30"/>
      <c r="T19" s="7"/>
      <c r="U19" s="7"/>
      <c r="V19" s="7"/>
      <c r="W19" s="7"/>
      <c r="X19" s="5"/>
      <c r="Y19" s="5"/>
      <c r="Z19" s="5"/>
      <c r="AA19" s="5"/>
      <c r="AB19" s="5"/>
      <c r="AC19" s="7"/>
      <c r="AD19" s="7"/>
      <c r="AE19" s="7"/>
      <c r="AF19" s="7"/>
      <c r="AG19" s="7"/>
      <c r="AH19" s="7"/>
      <c r="AJ19" s="7"/>
      <c r="AK19" s="7"/>
      <c r="AL19" s="7"/>
      <c r="AM19" s="7"/>
      <c r="AN19" s="7"/>
      <c r="AO19" s="7"/>
      <c r="AP19" s="7"/>
    </row>
    <row r="20" spans="1:42" ht="15.75" customHeight="1" x14ac:dyDescent="0.3">
      <c r="A20" s="5"/>
      <c r="B20" s="34"/>
      <c r="C20" s="35" t="s">
        <v>61</v>
      </c>
      <c r="D20" s="34">
        <v>4032</v>
      </c>
      <c r="E20" s="36">
        <v>916</v>
      </c>
      <c r="F20" s="38">
        <f t="shared" si="5"/>
        <v>0.52921535893155269</v>
      </c>
      <c r="G20" s="37">
        <v>89</v>
      </c>
      <c r="H20" s="38">
        <f t="shared" si="6"/>
        <v>1.6176470588235294</v>
      </c>
      <c r="I20" s="37">
        <v>24.43</v>
      </c>
      <c r="J20" s="38">
        <f t="shared" si="1"/>
        <v>9.7161572052401751E-2</v>
      </c>
      <c r="K20" s="37">
        <v>380</v>
      </c>
      <c r="L20" s="37">
        <v>68</v>
      </c>
      <c r="M20" s="37">
        <f t="shared" si="2"/>
        <v>15.554645927138765</v>
      </c>
      <c r="N20" s="37">
        <f t="shared" si="3"/>
        <v>2.7834629553827264</v>
      </c>
      <c r="O20" s="37">
        <v>36.6</v>
      </c>
      <c r="P20" s="34">
        <v>1159</v>
      </c>
      <c r="Q20" s="37">
        <f t="shared" si="4"/>
        <v>2.4430000000000001</v>
      </c>
      <c r="R20" s="39">
        <v>2.1999999999999999E-2</v>
      </c>
      <c r="S20" s="30"/>
      <c r="T20" s="7"/>
      <c r="U20" s="7"/>
      <c r="V20" s="7"/>
      <c r="W20" s="7"/>
      <c r="X20" s="5"/>
      <c r="Y20" s="5"/>
      <c r="Z20" s="5"/>
      <c r="AA20" s="5"/>
      <c r="AB20" s="5"/>
      <c r="AC20" s="7"/>
      <c r="AD20" s="7"/>
      <c r="AE20" s="7"/>
      <c r="AF20" s="7"/>
      <c r="AG20" s="7"/>
      <c r="AH20" s="7"/>
      <c r="AJ20" s="7"/>
      <c r="AK20" s="7"/>
      <c r="AL20" s="7"/>
      <c r="AM20" s="7"/>
      <c r="AN20" s="5"/>
      <c r="AO20" s="5"/>
      <c r="AP20" s="5"/>
    </row>
    <row r="21" spans="1:42" ht="15.75" customHeight="1" x14ac:dyDescent="0.3">
      <c r="A21" s="5"/>
      <c r="B21" s="34"/>
      <c r="C21" s="35" t="s">
        <v>62</v>
      </c>
      <c r="D21" s="34">
        <v>7573</v>
      </c>
      <c r="E21" s="36">
        <v>1406</v>
      </c>
      <c r="F21" s="38">
        <f t="shared" ref="F21:F30" si="7">E21/E20-1</f>
        <v>0.53493449781659397</v>
      </c>
      <c r="G21" s="37">
        <v>247</v>
      </c>
      <c r="H21" s="38">
        <f t="shared" si="6"/>
        <v>1.7752808988764044</v>
      </c>
      <c r="I21" s="37">
        <v>67.47</v>
      </c>
      <c r="J21" s="38">
        <f t="shared" si="1"/>
        <v>0.17567567567567569</v>
      </c>
      <c r="K21" s="37">
        <v>839.1</v>
      </c>
      <c r="L21" s="37">
        <v>316</v>
      </c>
      <c r="M21" s="37">
        <f t="shared" si="2"/>
        <v>12.436638506002668</v>
      </c>
      <c r="N21" s="37">
        <f t="shared" si="3"/>
        <v>4.6835630650659557</v>
      </c>
      <c r="O21" s="37">
        <v>36.6</v>
      </c>
      <c r="P21" s="34">
        <v>1322</v>
      </c>
      <c r="Q21" s="37">
        <f t="shared" si="4"/>
        <v>6.7469999999999999</v>
      </c>
      <c r="R21" s="39">
        <v>8.0000000000000002E-3</v>
      </c>
      <c r="S21" s="30"/>
      <c r="T21" s="7"/>
      <c r="U21" s="7"/>
      <c r="V21" s="7"/>
      <c r="W21" s="7"/>
      <c r="X21" s="5"/>
      <c r="Y21" s="5"/>
      <c r="Z21" s="5"/>
      <c r="AA21" s="5"/>
      <c r="AB21" s="5"/>
      <c r="AC21" s="7"/>
      <c r="AD21" s="7"/>
      <c r="AE21" s="7"/>
      <c r="AF21" s="7"/>
      <c r="AG21" s="7"/>
      <c r="AJ21" s="7"/>
      <c r="AK21" s="7"/>
      <c r="AL21" s="7"/>
      <c r="AM21" s="7"/>
      <c r="AN21" s="5"/>
      <c r="AO21" s="5"/>
      <c r="AP21" s="5"/>
    </row>
    <row r="22" spans="1:42" ht="15.75" customHeight="1" x14ac:dyDescent="0.3">
      <c r="A22" s="5"/>
      <c r="B22" s="34"/>
      <c r="C22" s="35" t="s">
        <v>63</v>
      </c>
      <c r="D22" s="34">
        <v>13107</v>
      </c>
      <c r="E22" s="36">
        <v>2172</v>
      </c>
      <c r="F22" s="38">
        <f t="shared" si="7"/>
        <v>0.54480796586059754</v>
      </c>
      <c r="G22" s="37">
        <v>406</v>
      </c>
      <c r="H22" s="38">
        <f t="shared" si="6"/>
        <v>0.64372469635627527</v>
      </c>
      <c r="I22" s="37">
        <v>110.84</v>
      </c>
      <c r="J22" s="38">
        <f t="shared" si="1"/>
        <v>0.1869244935543278</v>
      </c>
      <c r="K22" s="37">
        <v>842</v>
      </c>
      <c r="L22" s="37">
        <v>552</v>
      </c>
      <c r="M22" s="37">
        <f t="shared" si="2"/>
        <v>7.5965355467340308</v>
      </c>
      <c r="N22" s="37">
        <f t="shared" si="3"/>
        <v>4.9801515698303858</v>
      </c>
      <c r="O22" s="37">
        <v>41.3</v>
      </c>
      <c r="P22" s="34">
        <v>1971</v>
      </c>
      <c r="Q22" s="37">
        <f t="shared" si="4"/>
        <v>11.084000000000001</v>
      </c>
      <c r="R22" s="39">
        <v>1.1999999999999999E-3</v>
      </c>
      <c r="S22" s="30"/>
      <c r="T22" s="7"/>
      <c r="U22" s="7"/>
      <c r="V22" s="7"/>
      <c r="W22" s="7"/>
      <c r="X22" s="5"/>
      <c r="Y22" s="5"/>
      <c r="Z22" s="5"/>
      <c r="AA22" s="5"/>
      <c r="AB22" s="5"/>
      <c r="AC22" s="7"/>
      <c r="AD22" s="7"/>
      <c r="AE22" s="7"/>
      <c r="AF22" s="7"/>
      <c r="AG22" s="7"/>
      <c r="AJ22" s="7"/>
      <c r="AK22" s="7"/>
      <c r="AL22" s="7"/>
      <c r="AM22" s="7"/>
      <c r="AN22" s="5"/>
      <c r="AO22" s="5"/>
      <c r="AP22" s="5"/>
    </row>
    <row r="23" spans="1:42" ht="15.75" customHeight="1" x14ac:dyDescent="0.3">
      <c r="A23" s="5"/>
      <c r="B23" s="34"/>
      <c r="C23" s="35" t="s">
        <v>64</v>
      </c>
      <c r="D23" s="34">
        <v>17517</v>
      </c>
      <c r="E23" s="36">
        <v>3110</v>
      </c>
      <c r="F23" s="38">
        <f t="shared" si="7"/>
        <v>0.43186003683241259</v>
      </c>
      <c r="G23" s="37">
        <v>591</v>
      </c>
      <c r="H23" s="38">
        <f t="shared" si="6"/>
        <v>0.45566502463054182</v>
      </c>
      <c r="I23" s="37">
        <v>135.69</v>
      </c>
      <c r="J23" s="38">
        <f t="shared" si="1"/>
        <v>0.19003215434083601</v>
      </c>
      <c r="K23" s="37">
        <v>1459</v>
      </c>
      <c r="L23" s="37">
        <v>807</v>
      </c>
      <c r="M23" s="37">
        <f t="shared" si="2"/>
        <v>10.752450438499521</v>
      </c>
      <c r="N23" s="37">
        <f t="shared" si="3"/>
        <v>5.9473800574839712</v>
      </c>
      <c r="O23" s="37">
        <v>49.8</v>
      </c>
      <c r="P23" s="34">
        <v>3317</v>
      </c>
      <c r="Q23" s="37">
        <f t="shared" si="4"/>
        <v>13.569000000000001</v>
      </c>
      <c r="R23" s="39">
        <v>1.9E-3</v>
      </c>
      <c r="S23" s="30"/>
      <c r="T23" s="7"/>
      <c r="U23" s="7"/>
      <c r="V23" s="7"/>
      <c r="W23" s="7"/>
      <c r="X23" s="5"/>
      <c r="Y23" s="5"/>
      <c r="Z23" s="5"/>
      <c r="AA23" s="5"/>
      <c r="AB23" s="5"/>
      <c r="AC23" s="7"/>
      <c r="AD23" s="7"/>
      <c r="AE23" s="7"/>
      <c r="AF23" s="7"/>
      <c r="AG23" s="7"/>
      <c r="AJ23" s="7"/>
      <c r="AK23" s="7"/>
      <c r="AL23" s="7"/>
      <c r="AM23" s="7"/>
      <c r="AN23" s="5"/>
      <c r="AO23" s="5"/>
      <c r="AP23" s="5"/>
    </row>
    <row r="24" spans="1:42" ht="15.75" customHeight="1" x14ac:dyDescent="0.3">
      <c r="A24" s="5"/>
      <c r="B24" s="34"/>
      <c r="C24" s="35" t="s">
        <v>65</v>
      </c>
      <c r="D24" s="34">
        <v>24067</v>
      </c>
      <c r="E24" s="36">
        <v>4173</v>
      </c>
      <c r="F24" s="38">
        <f t="shared" si="7"/>
        <v>0.34180064308681679</v>
      </c>
      <c r="G24" s="37">
        <v>719</v>
      </c>
      <c r="H24" s="40">
        <f t="shared" si="6"/>
        <v>0.21658206429780025</v>
      </c>
      <c r="I24" s="37">
        <v>144.79</v>
      </c>
      <c r="J24" s="38">
        <f t="shared" si="1"/>
        <v>0.17229810687754613</v>
      </c>
      <c r="K24" s="37">
        <v>1823</v>
      </c>
      <c r="L24" s="37">
        <v>966</v>
      </c>
      <c r="M24" s="37">
        <f t="shared" si="2"/>
        <v>12.590648525450653</v>
      </c>
      <c r="N24" s="37">
        <f t="shared" si="3"/>
        <v>6.6717314731680366</v>
      </c>
      <c r="O24" s="37">
        <v>50.1</v>
      </c>
      <c r="P24" s="34">
        <v>3941</v>
      </c>
      <c r="Q24" s="37">
        <f t="shared" si="4"/>
        <v>14.478999999999999</v>
      </c>
      <c r="R24" s="39">
        <v>2.8E-3</v>
      </c>
      <c r="S24" s="30"/>
      <c r="T24" s="7"/>
      <c r="U24" s="7"/>
      <c r="V24" s="7"/>
      <c r="W24" s="7"/>
      <c r="X24" s="5"/>
      <c r="Y24" s="5"/>
      <c r="Z24" s="5"/>
      <c r="AA24" s="5"/>
      <c r="AB24" s="5"/>
      <c r="AC24" s="7"/>
      <c r="AD24" s="7"/>
      <c r="AE24" s="7"/>
      <c r="AF24" s="7"/>
      <c r="AG24" s="7"/>
      <c r="AI24" s="30"/>
      <c r="AJ24" s="7"/>
      <c r="AK24" s="7"/>
      <c r="AL24" s="7"/>
      <c r="AM24" s="7"/>
      <c r="AN24" s="5"/>
      <c r="AO24" s="5"/>
      <c r="AP24" s="5"/>
    </row>
    <row r="25" spans="1:42" ht="15.75" customHeight="1" x14ac:dyDescent="0.3">
      <c r="A25" s="5"/>
      <c r="B25" s="34"/>
      <c r="C25" s="35" t="s">
        <v>66</v>
      </c>
      <c r="D25" s="34">
        <v>32410</v>
      </c>
      <c r="E25" s="36">
        <v>5418</v>
      </c>
      <c r="F25" s="38">
        <f t="shared" si="7"/>
        <v>0.29834651329978423</v>
      </c>
      <c r="G25" s="37">
        <v>897</v>
      </c>
      <c r="H25" s="40">
        <f t="shared" si="6"/>
        <v>0.24756606397774683</v>
      </c>
      <c r="I25" s="37">
        <v>179.94</v>
      </c>
      <c r="J25" s="38">
        <f t="shared" si="1"/>
        <v>0.16555924695459578</v>
      </c>
      <c r="K25" s="37">
        <v>4482</v>
      </c>
      <c r="L25" s="37">
        <v>1672</v>
      </c>
      <c r="M25" s="37">
        <f t="shared" si="2"/>
        <v>24.908302767589198</v>
      </c>
      <c r="N25" s="37">
        <f t="shared" si="3"/>
        <v>9.2919862176280983</v>
      </c>
      <c r="O25" s="37">
        <v>50.2</v>
      </c>
      <c r="P25" s="34">
        <v>4749</v>
      </c>
      <c r="Q25" s="37">
        <f t="shared" si="4"/>
        <v>17.994</v>
      </c>
      <c r="R25" s="39">
        <v>4.4999999999999997E-3</v>
      </c>
      <c r="W25" s="7"/>
      <c r="X25" s="5"/>
      <c r="Y25" s="5"/>
      <c r="Z25" s="5"/>
      <c r="AA25" s="5"/>
      <c r="AB25" s="5"/>
      <c r="AC25" s="7"/>
      <c r="AD25" s="7"/>
      <c r="AE25" s="7"/>
      <c r="AF25" s="7"/>
      <c r="AG25" s="7"/>
      <c r="AI25" s="30"/>
      <c r="AJ25" s="7"/>
      <c r="AK25" s="7"/>
      <c r="AL25" s="7"/>
      <c r="AM25" s="7"/>
      <c r="AN25" s="5"/>
      <c r="AO25" s="5"/>
      <c r="AP25" s="5"/>
    </row>
    <row r="26" spans="1:42" ht="15.75" customHeight="1" x14ac:dyDescent="0.3">
      <c r="A26" s="5"/>
      <c r="B26" s="34"/>
      <c r="C26" s="35" t="s">
        <v>67</v>
      </c>
      <c r="D26" s="34">
        <v>44229</v>
      </c>
      <c r="E26" s="36">
        <v>7333</v>
      </c>
      <c r="F26" s="38">
        <f t="shared" si="7"/>
        <v>0.35345145810262091</v>
      </c>
      <c r="G26" s="37">
        <v>1279</v>
      </c>
      <c r="H26" s="38">
        <f t="shared" si="6"/>
        <v>0.4258639910813824</v>
      </c>
      <c r="I26" s="37">
        <v>242.3</v>
      </c>
      <c r="J26" s="38">
        <f t="shared" si="1"/>
        <v>0.17441701895540707</v>
      </c>
      <c r="K26" s="37">
        <v>6985</v>
      </c>
      <c r="L26" s="37">
        <v>3939</v>
      </c>
      <c r="M26" s="37">
        <f t="shared" si="2"/>
        <v>28.827899298390424</v>
      </c>
      <c r="N26" s="37">
        <f t="shared" si="3"/>
        <v>16.256706562113081</v>
      </c>
      <c r="O26" s="37">
        <v>53.9</v>
      </c>
      <c r="P26" s="34">
        <v>7271</v>
      </c>
      <c r="Q26" s="37">
        <f t="shared" si="4"/>
        <v>24.230000000000004</v>
      </c>
      <c r="R26" s="39">
        <v>2.8E-3</v>
      </c>
      <c r="W26" s="7"/>
      <c r="X26" s="5"/>
      <c r="Y26" s="5"/>
      <c r="Z26" s="5"/>
      <c r="AA26" s="5"/>
      <c r="AB26" s="5"/>
      <c r="AC26" s="7"/>
      <c r="AD26" s="7"/>
      <c r="AE26" s="7"/>
      <c r="AF26" s="7"/>
      <c r="AG26" s="7"/>
      <c r="AI26" s="30"/>
      <c r="AJ26" s="7"/>
      <c r="AK26" s="7"/>
      <c r="AL26" s="7"/>
      <c r="AM26" s="7"/>
      <c r="AN26" s="5"/>
      <c r="AO26" s="5"/>
      <c r="AP26" s="5"/>
    </row>
    <row r="27" spans="1:42" ht="15.75" customHeight="1" x14ac:dyDescent="0.3">
      <c r="A27" s="5"/>
      <c r="B27" s="34" t="s">
        <v>68</v>
      </c>
      <c r="C27" s="35" t="s">
        <v>69</v>
      </c>
      <c r="D27" s="34">
        <v>60196</v>
      </c>
      <c r="E27" s="36">
        <v>9989</v>
      </c>
      <c r="F27" s="38">
        <f t="shared" si="7"/>
        <v>0.36219828174007906</v>
      </c>
      <c r="G27" s="37">
        <v>1837</v>
      </c>
      <c r="H27" s="38">
        <f t="shared" ref="H27:H35" si="8">G27/G26-1</f>
        <v>0.43627834245504293</v>
      </c>
      <c r="I27" s="37">
        <v>34.01</v>
      </c>
      <c r="J27" s="38">
        <f t="shared" si="1"/>
        <v>0.18390229252177395</v>
      </c>
      <c r="K27" s="37">
        <v>1205</v>
      </c>
      <c r="L27" s="37">
        <v>677</v>
      </c>
      <c r="M27" s="37">
        <f t="shared" si="2"/>
        <v>35.430755660099976</v>
      </c>
      <c r="N27" s="37">
        <f t="shared" si="3"/>
        <v>19.905910026462806</v>
      </c>
      <c r="O27" s="37">
        <v>110</v>
      </c>
      <c r="P27" s="34">
        <v>9491</v>
      </c>
      <c r="Q27" s="37">
        <f t="shared" si="4"/>
        <v>3.4009999999999998</v>
      </c>
      <c r="R27" s="39">
        <v>4.4000000000000003E-3</v>
      </c>
      <c r="W27" s="7"/>
      <c r="X27" s="5"/>
      <c r="Y27" s="5"/>
      <c r="Z27" s="5"/>
      <c r="AA27" s="5"/>
      <c r="AB27" s="5"/>
      <c r="AC27" s="7"/>
      <c r="AD27" s="7"/>
      <c r="AE27" s="7"/>
      <c r="AF27" s="7"/>
      <c r="AG27" s="7"/>
      <c r="AI27" s="30"/>
      <c r="AJ27" s="7"/>
      <c r="AK27" s="7"/>
      <c r="AL27" s="7"/>
      <c r="AM27" s="7"/>
      <c r="AN27" s="5"/>
      <c r="AO27" s="5"/>
      <c r="AP27" s="5"/>
    </row>
    <row r="28" spans="1:42" ht="15.75" customHeight="1" x14ac:dyDescent="0.3">
      <c r="A28" s="5"/>
      <c r="B28" s="34"/>
      <c r="C28" s="35" t="s">
        <v>70</v>
      </c>
      <c r="D28" s="34">
        <v>82422</v>
      </c>
      <c r="E28" s="36">
        <v>12757</v>
      </c>
      <c r="F28" s="38">
        <f t="shared" si="7"/>
        <v>0.27710481529682651</v>
      </c>
      <c r="G28" s="37">
        <v>2479</v>
      </c>
      <c r="H28" s="38">
        <f t="shared" si="8"/>
        <v>0.3494828524768645</v>
      </c>
      <c r="I28" s="37">
        <v>44.38</v>
      </c>
      <c r="J28" s="38">
        <f t="shared" si="1"/>
        <v>0.19432468448694834</v>
      </c>
      <c r="K28" s="37">
        <v>1989</v>
      </c>
      <c r="L28" s="37">
        <v>1153</v>
      </c>
      <c r="M28" s="37">
        <f t="shared" si="2"/>
        <v>44.817485353762955</v>
      </c>
      <c r="N28" s="37">
        <f t="shared" si="3"/>
        <v>25.980171248310047</v>
      </c>
      <c r="O28" s="37">
        <v>115</v>
      </c>
      <c r="P28" s="34">
        <v>15733</v>
      </c>
      <c r="Q28" s="37">
        <f t="shared" si="4"/>
        <v>4.4380000000000006</v>
      </c>
      <c r="R28" s="39">
        <v>4.3E-3</v>
      </c>
      <c r="W28" s="7"/>
      <c r="X28" s="5"/>
      <c r="Y28" s="5"/>
      <c r="Z28" s="5"/>
      <c r="AA28" s="5"/>
      <c r="AB28" s="5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5"/>
      <c r="AO28" s="5"/>
      <c r="AP28" s="5"/>
    </row>
    <row r="29" spans="1:42" ht="15.75" customHeight="1" x14ac:dyDescent="0.3">
      <c r="A29" s="5"/>
      <c r="B29" s="34"/>
      <c r="C29" s="35" t="s">
        <v>71</v>
      </c>
      <c r="D29" s="34">
        <v>115888</v>
      </c>
      <c r="E29" s="44">
        <v>18500</v>
      </c>
      <c r="F29" s="38">
        <f t="shared" si="7"/>
        <v>0.45018421258916663</v>
      </c>
      <c r="G29" s="34">
        <v>3995</v>
      </c>
      <c r="H29" s="38">
        <f t="shared" si="8"/>
        <v>0.61153691004437283</v>
      </c>
      <c r="I29" s="37">
        <v>67.52</v>
      </c>
      <c r="J29" s="38">
        <f t="shared" si="1"/>
        <v>0.21594594594594593</v>
      </c>
      <c r="K29" s="34">
        <v>3035</v>
      </c>
      <c r="L29" s="34">
        <v>1770</v>
      </c>
      <c r="M29" s="37">
        <f t="shared" si="2"/>
        <v>44.949644549763036</v>
      </c>
      <c r="N29" s="37">
        <f t="shared" si="3"/>
        <v>26.214454976303319</v>
      </c>
      <c r="O29" s="37">
        <v>120</v>
      </c>
      <c r="P29" s="34">
        <v>19582</v>
      </c>
      <c r="Q29" s="37">
        <f t="shared" si="4"/>
        <v>6.7519999999999998</v>
      </c>
      <c r="R29" s="39">
        <v>6.3E-3</v>
      </c>
      <c r="W29" s="7"/>
      <c r="X29" s="5"/>
      <c r="Y29" s="5"/>
      <c r="Z29" s="5"/>
      <c r="AA29" s="5"/>
      <c r="AB29" s="5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5"/>
      <c r="AO29" s="5"/>
      <c r="AP29" s="5"/>
    </row>
    <row r="30" spans="1:42" ht="15.75" customHeight="1" x14ac:dyDescent="0.3">
      <c r="A30" s="5"/>
      <c r="B30" s="34"/>
      <c r="C30" s="35" t="s">
        <v>72</v>
      </c>
      <c r="D30" s="34">
        <v>147153</v>
      </c>
      <c r="E30" s="44">
        <v>26386</v>
      </c>
      <c r="F30" s="38">
        <f t="shared" si="7"/>
        <v>0.42627027027027031</v>
      </c>
      <c r="G30" s="34">
        <v>5264</v>
      </c>
      <c r="H30" s="38">
        <f t="shared" si="8"/>
        <v>0.31764705882352939</v>
      </c>
      <c r="I30" s="37">
        <v>90</v>
      </c>
      <c r="J30" s="38">
        <f t="shared" si="1"/>
        <v>0.19949973470779958</v>
      </c>
      <c r="K30" s="34">
        <v>4923</v>
      </c>
      <c r="L30" s="34">
        <v>2099</v>
      </c>
      <c r="M30" s="37">
        <f t="shared" si="2"/>
        <v>54.7</v>
      </c>
      <c r="N30" s="37">
        <f t="shared" si="3"/>
        <v>23.322222222222223</v>
      </c>
      <c r="O30" s="37">
        <v>121</v>
      </c>
      <c r="P30" s="34">
        <v>32208</v>
      </c>
      <c r="Q30" s="37">
        <f t="shared" si="4"/>
        <v>9</v>
      </c>
      <c r="R30" s="39">
        <v>6.4999999999999997E-3</v>
      </c>
      <c r="W30" s="7"/>
      <c r="X30" s="5"/>
      <c r="Y30" s="5"/>
      <c r="Z30" s="5"/>
      <c r="AA30" s="5"/>
      <c r="AB30" s="5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5"/>
      <c r="AO30" s="5"/>
      <c r="AP30" s="5"/>
    </row>
    <row r="31" spans="1:42" ht="15.75" customHeight="1" x14ac:dyDescent="0.3">
      <c r="A31" s="5"/>
      <c r="B31" s="34"/>
      <c r="C31" s="35" t="s">
        <v>73</v>
      </c>
      <c r="D31" s="34">
        <v>152947</v>
      </c>
      <c r="E31" s="44">
        <v>26683</v>
      </c>
      <c r="F31" s="38">
        <f>(E31/E30)-1</f>
        <v>1.125596907450932E-2</v>
      </c>
      <c r="G31" s="34">
        <v>4420</v>
      </c>
      <c r="H31" s="38">
        <f t="shared" si="8"/>
        <v>-0.16033434650455924</v>
      </c>
      <c r="I31" s="37">
        <v>74</v>
      </c>
      <c r="J31" s="38">
        <f t="shared" si="1"/>
        <v>0.16564854026908518</v>
      </c>
      <c r="K31" s="34">
        <v>5922</v>
      </c>
      <c r="L31" s="34">
        <v>1783</v>
      </c>
      <c r="M31" s="37">
        <f t="shared" si="2"/>
        <v>80.027027027027032</v>
      </c>
      <c r="N31" s="37">
        <f t="shared" si="3"/>
        <v>24.094594594594593</v>
      </c>
      <c r="O31" s="37">
        <v>121</v>
      </c>
      <c r="P31" s="34">
        <v>36798</v>
      </c>
      <c r="Q31" s="37">
        <f t="shared" si="4"/>
        <v>7.4</v>
      </c>
      <c r="R31" s="39">
        <v>7.4999999999999997E-3</v>
      </c>
      <c r="W31" s="7"/>
      <c r="X31" s="5"/>
      <c r="Y31" s="5"/>
      <c r="Z31" s="5"/>
      <c r="AA31" s="5"/>
      <c r="AB31" s="5"/>
      <c r="AC31" s="7"/>
      <c r="AE31" s="7"/>
      <c r="AF31" s="7"/>
      <c r="AG31" s="7"/>
      <c r="AH31" s="7"/>
      <c r="AI31" s="7"/>
      <c r="AJ31" s="7"/>
      <c r="AK31" s="7"/>
      <c r="AL31" s="7"/>
      <c r="AM31" s="7"/>
      <c r="AN31" s="5"/>
      <c r="AO31" s="5"/>
      <c r="AP31" s="5"/>
    </row>
    <row r="32" spans="1:42" ht="15.75" customHeight="1" x14ac:dyDescent="0.3">
      <c r="A32" s="5"/>
      <c r="B32" s="34"/>
      <c r="C32" s="35" t="s">
        <v>74</v>
      </c>
      <c r="D32" s="11">
        <v>192087</v>
      </c>
      <c r="E32" s="11">
        <v>31641</v>
      </c>
      <c r="F32" s="38">
        <f t="shared" ref="F32:F35" si="9">E32/E31-1</f>
        <v>0.1858111906457296</v>
      </c>
      <c r="G32" s="11">
        <v>7028</v>
      </c>
      <c r="H32" s="38">
        <f t="shared" si="8"/>
        <v>0.59004524886877818</v>
      </c>
      <c r="I32" s="45">
        <v>116.64</v>
      </c>
      <c r="J32" s="38">
        <f t="shared" si="1"/>
        <v>0.22211687367655888</v>
      </c>
      <c r="K32" s="11">
        <v>8050</v>
      </c>
      <c r="L32" s="11">
        <v>4362</v>
      </c>
      <c r="M32" s="37">
        <f t="shared" si="2"/>
        <v>69.015775034293554</v>
      </c>
      <c r="N32" s="37">
        <f t="shared" si="3"/>
        <v>37.397119341563787</v>
      </c>
      <c r="O32" s="37">
        <v>121</v>
      </c>
      <c r="P32" s="34">
        <v>43592</v>
      </c>
      <c r="Q32" s="37">
        <v>20</v>
      </c>
      <c r="R32" s="39"/>
      <c r="Y32" s="7"/>
      <c r="Z32" s="7"/>
      <c r="AA32" s="7"/>
      <c r="AB32" s="7"/>
      <c r="AC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</row>
    <row r="33" spans="1:42" ht="15.75" customHeight="1" x14ac:dyDescent="0.3">
      <c r="A33" s="5"/>
      <c r="B33" s="34"/>
      <c r="C33" s="35" t="s">
        <v>75</v>
      </c>
      <c r="D33" s="11">
        <v>247379</v>
      </c>
      <c r="E33" s="11">
        <v>41410</v>
      </c>
      <c r="F33" s="38">
        <f t="shared" si="9"/>
        <v>0.30874498277551288</v>
      </c>
      <c r="G33" s="11">
        <v>11508</v>
      </c>
      <c r="H33" s="38">
        <f t="shared" si="8"/>
        <v>0.63745019920318735</v>
      </c>
      <c r="I33" s="45">
        <v>190.53</v>
      </c>
      <c r="J33" s="38">
        <f t="shared" si="1"/>
        <v>0.27790388794977061</v>
      </c>
      <c r="K33" s="11">
        <v>7599</v>
      </c>
      <c r="L33" s="11">
        <v>5220</v>
      </c>
      <c r="M33" s="37">
        <f t="shared" si="2"/>
        <v>39.883482916076211</v>
      </c>
      <c r="N33" s="37">
        <f t="shared" si="3"/>
        <v>27.397260273972602</v>
      </c>
      <c r="O33" s="37">
        <v>121</v>
      </c>
      <c r="P33" s="34">
        <v>54251</v>
      </c>
      <c r="Q33" s="37">
        <v>30</v>
      </c>
      <c r="R33" s="39">
        <v>3.3999999999999998E-3</v>
      </c>
      <c r="Y33" s="7"/>
      <c r="Z33" s="7"/>
      <c r="AA33" s="7"/>
      <c r="AB33" s="7"/>
      <c r="AC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</row>
    <row r="34" spans="1:42" ht="15.75" customHeight="1" x14ac:dyDescent="0.3">
      <c r="A34" s="5"/>
      <c r="B34" s="34"/>
      <c r="C34" s="35" t="s">
        <v>76</v>
      </c>
      <c r="D34" s="11">
        <v>330615</v>
      </c>
      <c r="E34" s="11">
        <v>54969</v>
      </c>
      <c r="F34" s="38">
        <f t="shared" si="9"/>
        <v>0.32743298720115921</v>
      </c>
      <c r="G34" s="11">
        <v>14451</v>
      </c>
      <c r="H34" s="38">
        <f t="shared" si="8"/>
        <v>0.25573514077163706</v>
      </c>
      <c r="I34" s="45">
        <v>236.89</v>
      </c>
      <c r="J34" s="38">
        <f t="shared" si="1"/>
        <v>0.26289363095562951</v>
      </c>
      <c r="K34" s="11">
        <v>8192</v>
      </c>
      <c r="L34" s="11">
        <v>5632</v>
      </c>
      <c r="M34" s="37">
        <f t="shared" si="2"/>
        <v>34.581451306513571</v>
      </c>
      <c r="N34" s="37">
        <f t="shared" si="3"/>
        <v>23.774747773228082</v>
      </c>
      <c r="O34" s="46">
        <v>123.6</v>
      </c>
      <c r="P34" s="47">
        <v>76571</v>
      </c>
      <c r="Q34" s="47">
        <v>36</v>
      </c>
      <c r="R34" s="39"/>
      <c r="Y34" s="7"/>
      <c r="Z34" s="7"/>
      <c r="AA34" s="7"/>
      <c r="AB34" s="7"/>
      <c r="AC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</row>
    <row r="35" spans="1:42" ht="15.75" customHeight="1" x14ac:dyDescent="0.3">
      <c r="A35" s="5"/>
      <c r="B35" s="34"/>
      <c r="C35" s="35" t="s">
        <v>77</v>
      </c>
      <c r="D35" s="11">
        <v>354192</v>
      </c>
      <c r="E35" s="11">
        <f>E34+R45-S45</f>
        <v>58570</v>
      </c>
      <c r="F35" s="38">
        <f t="shared" si="9"/>
        <v>6.5509650894140403E-2</v>
      </c>
      <c r="G35" s="11">
        <f>G34+R48-S48</f>
        <v>14926</v>
      </c>
      <c r="H35" s="38">
        <f t="shared" si="8"/>
        <v>3.2869697598782111E-2</v>
      </c>
      <c r="I35" s="45">
        <v>243</v>
      </c>
      <c r="J35" s="38">
        <f t="shared" si="1"/>
        <v>0.25484036196004778</v>
      </c>
      <c r="K35" s="11">
        <v>7430</v>
      </c>
      <c r="L35" s="11">
        <v>6376</v>
      </c>
      <c r="M35" s="37">
        <f t="shared" si="2"/>
        <v>30.5761316872428</v>
      </c>
      <c r="N35" s="37">
        <f t="shared" si="3"/>
        <v>26.238683127572017</v>
      </c>
      <c r="O35" s="46">
        <v>123.6</v>
      </c>
      <c r="P35" s="47">
        <v>76571</v>
      </c>
      <c r="Q35" s="47">
        <v>36</v>
      </c>
      <c r="AI35" s="7"/>
      <c r="AJ35" s="7"/>
      <c r="AK35" s="7"/>
      <c r="AL35" s="7"/>
      <c r="AM35" s="7"/>
      <c r="AN35" s="5"/>
      <c r="AO35" s="5"/>
      <c r="AP35" s="5"/>
    </row>
    <row r="36" spans="1:42" ht="15.75" customHeight="1" x14ac:dyDescent="0.3">
      <c r="A36" s="5"/>
      <c r="AI36" s="7"/>
      <c r="AJ36" s="7"/>
      <c r="AK36" s="7"/>
      <c r="AL36" s="7"/>
      <c r="AM36" s="7"/>
      <c r="AN36" s="5"/>
      <c r="AO36" s="5"/>
      <c r="AP36" s="5"/>
    </row>
    <row r="37" spans="1:42" ht="15.75" customHeight="1" x14ac:dyDescent="0.3">
      <c r="A37" s="5"/>
      <c r="B37" s="48" t="s">
        <v>78</v>
      </c>
      <c r="C37" s="48" t="s">
        <v>79</v>
      </c>
      <c r="D37" s="31"/>
      <c r="E37" s="31" t="s">
        <v>40</v>
      </c>
      <c r="F37" s="31" t="s">
        <v>42</v>
      </c>
      <c r="G37" s="31" t="s">
        <v>44</v>
      </c>
      <c r="H37" s="31" t="s">
        <v>45</v>
      </c>
      <c r="I37" s="31" t="s">
        <v>46</v>
      </c>
      <c r="J37" s="31" t="s">
        <v>47</v>
      </c>
      <c r="K37" s="49" t="s">
        <v>48</v>
      </c>
      <c r="L37" s="49" t="s">
        <v>49</v>
      </c>
      <c r="M37" s="48" t="s">
        <v>80</v>
      </c>
      <c r="N37" s="31" t="s">
        <v>50</v>
      </c>
      <c r="Q37" s="7"/>
      <c r="Y37" s="5"/>
      <c r="Z37" s="5"/>
      <c r="AA37" s="5"/>
      <c r="AB37" s="5"/>
      <c r="AC37" s="7"/>
      <c r="AD37" s="7"/>
      <c r="AE37" s="7"/>
      <c r="AF37" s="7"/>
      <c r="AG37" s="7"/>
      <c r="AH37" s="7"/>
      <c r="AI37" s="7"/>
      <c r="AJ37" s="7"/>
      <c r="AK37" s="5"/>
      <c r="AL37" s="5"/>
      <c r="AM37" s="5"/>
      <c r="AN37" s="5"/>
      <c r="AO37" s="5"/>
      <c r="AP37" s="5"/>
    </row>
    <row r="38" spans="1:42" ht="15.75" customHeight="1" x14ac:dyDescent="0.3">
      <c r="A38" s="5"/>
      <c r="B38" s="47"/>
      <c r="C38" s="50" t="s">
        <v>81</v>
      </c>
      <c r="D38" s="51"/>
      <c r="E38" s="51">
        <f>(E34/E14)^(1/20)-1</f>
        <v>0.35098538830042791</v>
      </c>
      <c r="F38" s="51">
        <f>(G34/G14)^(1/20)-1</f>
        <v>0.34413120816463816</v>
      </c>
      <c r="G38" s="51">
        <f>((10*I34)/I14)^(1/20)-1</f>
        <v>0.25972522343004889</v>
      </c>
      <c r="H38" s="51">
        <f>MEDIAN(J14:J34)</f>
        <v>0.18390229252177395</v>
      </c>
      <c r="I38" s="51">
        <f t="shared" ref="I38:J38" si="10">((10*K34)/K14)^(1/20)-1</f>
        <v>0.39611913558861467</v>
      </c>
      <c r="J38" s="51">
        <f t="shared" si="10"/>
        <v>0.42537205298422798</v>
      </c>
      <c r="K38" s="52">
        <f t="shared" ref="K38:L38" si="11">MEDIAN(M14:M34)</f>
        <v>34.581451306513571</v>
      </c>
      <c r="L38" s="52">
        <f t="shared" si="11"/>
        <v>13.919534412955466</v>
      </c>
      <c r="M38" s="52">
        <f t="shared" ref="M38:M41" si="12">AVERAGE(K37:L38)</f>
        <v>24.250492859734518</v>
      </c>
      <c r="N38" s="51">
        <f>(P34/P14)^(1/20)-1</f>
        <v>0.34085010163843799</v>
      </c>
      <c r="Q38" s="7"/>
      <c r="R38" s="20"/>
      <c r="Y38" s="5"/>
      <c r="Z38" s="5"/>
      <c r="AA38" s="5"/>
      <c r="AB38" s="5"/>
      <c r="AC38" s="7"/>
      <c r="AD38" s="7"/>
      <c r="AE38" s="7"/>
      <c r="AF38" s="7"/>
      <c r="AG38" s="7"/>
      <c r="AH38" s="7"/>
      <c r="AI38" s="5"/>
      <c r="AJ38" s="5"/>
      <c r="AK38" s="5"/>
      <c r="AL38" s="5"/>
      <c r="AM38" s="5"/>
      <c r="AN38" s="5"/>
      <c r="AO38" s="5"/>
      <c r="AP38" s="5"/>
    </row>
    <row r="39" spans="1:42" ht="15.75" customHeight="1" x14ac:dyDescent="0.3">
      <c r="A39" s="5"/>
      <c r="B39" s="47"/>
      <c r="C39" s="50" t="s">
        <v>82</v>
      </c>
      <c r="D39" s="51">
        <f t="shared" ref="D39:E39" si="13">(D34/D24)^(1/10)-1</f>
        <v>0.29954122051619114</v>
      </c>
      <c r="E39" s="51">
        <f t="shared" si="13"/>
        <v>0.29409734190862946</v>
      </c>
      <c r="F39" s="51">
        <f>(G34/G24)^(1/10)-1</f>
        <v>0.34994756878316347</v>
      </c>
      <c r="G39" s="51">
        <f>((10*I34)/I24)^(1/10)-1</f>
        <v>0.32245473517933765</v>
      </c>
      <c r="H39" s="51">
        <f>MEDIAN(J24:J34)</f>
        <v>0.19432468448694834</v>
      </c>
      <c r="I39" s="51">
        <f t="shared" ref="I39:J39" si="14">((10*K34)/K24)^(1/10)-1</f>
        <v>0.46305390452796225</v>
      </c>
      <c r="J39" s="51">
        <f t="shared" si="14"/>
        <v>0.50164941752580816</v>
      </c>
      <c r="K39" s="52">
        <f t="shared" ref="K39:L39" si="15">MEDIAN(M24:M34)</f>
        <v>39.883482916076211</v>
      </c>
      <c r="L39" s="52">
        <f t="shared" si="15"/>
        <v>23.774747773228082</v>
      </c>
      <c r="M39" s="52">
        <f t="shared" si="12"/>
        <v>28.039804102193333</v>
      </c>
      <c r="N39" s="51">
        <f>(P34/P24)^(1/10)-1</f>
        <v>0.34538254363951304</v>
      </c>
      <c r="Q39" s="30"/>
      <c r="R39" s="20"/>
      <c r="Y39" s="5"/>
      <c r="Z39" s="5"/>
      <c r="AA39" s="5"/>
      <c r="AB39" s="5"/>
      <c r="AC39" s="5"/>
      <c r="AD39" s="5"/>
      <c r="AE39" s="5"/>
      <c r="AF39" s="7"/>
      <c r="AG39" s="7"/>
      <c r="AH39" s="7"/>
      <c r="AI39" s="5"/>
      <c r="AJ39" s="5"/>
      <c r="AK39" s="5"/>
      <c r="AL39" s="5"/>
      <c r="AM39" s="5"/>
      <c r="AN39" s="5"/>
      <c r="AO39" s="5"/>
      <c r="AP39" s="5"/>
    </row>
    <row r="40" spans="1:42" ht="15.75" customHeight="1" x14ac:dyDescent="0.3">
      <c r="A40" s="5"/>
      <c r="B40" s="47"/>
      <c r="C40" s="50" t="s">
        <v>83</v>
      </c>
      <c r="D40" s="51">
        <f t="shared" ref="D40:E40" si="16">(D34/D29)^(1/5)-1</f>
        <v>0.23326616636014896</v>
      </c>
      <c r="E40" s="51">
        <f t="shared" si="16"/>
        <v>0.24333804133427095</v>
      </c>
      <c r="F40" s="51">
        <f>(G34/G29)^(1/5)-1</f>
        <v>0.29323134825979014</v>
      </c>
      <c r="G40" s="51">
        <f>(I34/I29)^(1/5)-1</f>
        <v>0.28535431211916418</v>
      </c>
      <c r="H40" s="51">
        <f>MEDIAN(J29:J34)</f>
        <v>0.21903140981125241</v>
      </c>
      <c r="I40" s="51">
        <f t="shared" ref="I40:J40" si="17">(K34/K29)^(1/5)-1</f>
        <v>0.2196809751337101</v>
      </c>
      <c r="J40" s="51">
        <f t="shared" si="17"/>
        <v>0.26048556333436301</v>
      </c>
      <c r="K40" s="52">
        <f t="shared" ref="K40:L40" si="18">MEDIAN(M29:M34)</f>
        <v>49.824822274881519</v>
      </c>
      <c r="L40" s="52">
        <f t="shared" si="18"/>
        <v>25.154524785448956</v>
      </c>
      <c r="M40" s="52">
        <f t="shared" si="12"/>
        <v>34.659394437408693</v>
      </c>
      <c r="N40" s="51">
        <f>(P34/P29)^(1/5)-1</f>
        <v>0.31353441082383338</v>
      </c>
      <c r="Q40" s="30"/>
      <c r="R40" s="20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5.75" customHeight="1" x14ac:dyDescent="0.3">
      <c r="A41" s="5"/>
      <c r="B41" s="47"/>
      <c r="C41" s="50" t="s">
        <v>84</v>
      </c>
      <c r="D41" s="51">
        <f t="shared" ref="D41:E41" si="19">(D34/D33)-1</f>
        <v>0.33647156791805277</v>
      </c>
      <c r="E41" s="51">
        <f t="shared" si="19"/>
        <v>0.32743298720115921</v>
      </c>
      <c r="F41" s="51">
        <f>(G34/G33)-1</f>
        <v>0.25573514077163706</v>
      </c>
      <c r="G41" s="51">
        <f>(I34/I33)-1</f>
        <v>0.24332126174355739</v>
      </c>
      <c r="H41" s="51">
        <f>J34</f>
        <v>0.26289363095562951</v>
      </c>
      <c r="I41" s="51">
        <f t="shared" ref="I41:J41" si="20">(K34/K33)-1</f>
        <v>7.8036583761021294E-2</v>
      </c>
      <c r="J41" s="51">
        <f t="shared" si="20"/>
        <v>7.8927203065134011E-2</v>
      </c>
      <c r="K41" s="52">
        <f t="shared" ref="K41:L41" si="21">M34</f>
        <v>34.581451306513571</v>
      </c>
      <c r="L41" s="52">
        <f t="shared" si="21"/>
        <v>23.774747773228082</v>
      </c>
      <c r="M41" s="52">
        <f t="shared" si="12"/>
        <v>33.333886535018031</v>
      </c>
      <c r="N41" s="51">
        <f>(P34/P33)-1</f>
        <v>0.41142098763156443</v>
      </c>
      <c r="Q41" s="30"/>
      <c r="R41" s="20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15.75" customHeight="1" x14ac:dyDescent="0.3">
      <c r="A42" s="5"/>
      <c r="B42" s="7"/>
      <c r="C42" s="7"/>
      <c r="D42" s="7"/>
      <c r="E42" s="7"/>
      <c r="F42" s="7"/>
      <c r="G42" s="7"/>
      <c r="H42" s="7"/>
      <c r="I42" s="7"/>
      <c r="J42" s="7"/>
      <c r="K42" s="53"/>
      <c r="L42" s="53"/>
      <c r="M42" s="54"/>
      <c r="N42" s="55"/>
      <c r="Q42" s="7"/>
      <c r="R42" s="56"/>
      <c r="S42" s="57"/>
      <c r="T42" s="58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15.75" customHeight="1" x14ac:dyDescent="0.3">
      <c r="A43" s="5"/>
      <c r="K43" s="7"/>
      <c r="L43" s="20"/>
      <c r="M43" s="20"/>
      <c r="N43" s="20"/>
      <c r="O43" s="20"/>
      <c r="P43" s="20"/>
      <c r="Q43" s="48" t="s">
        <v>85</v>
      </c>
      <c r="R43" s="48" t="s">
        <v>86</v>
      </c>
      <c r="S43" s="48" t="s">
        <v>87</v>
      </c>
      <c r="T43" s="59" t="s">
        <v>78</v>
      </c>
      <c r="W43" s="48" t="s">
        <v>85</v>
      </c>
      <c r="X43" s="48" t="s">
        <v>88</v>
      </c>
      <c r="Y43" s="48" t="s">
        <v>89</v>
      </c>
      <c r="Z43" s="59" t="s">
        <v>78</v>
      </c>
      <c r="AA43" s="5"/>
      <c r="AB43" s="5"/>
      <c r="AC43" s="48" t="s">
        <v>85</v>
      </c>
      <c r="AD43" s="48" t="s">
        <v>90</v>
      </c>
      <c r="AE43" s="48" t="s">
        <v>91</v>
      </c>
      <c r="AF43" s="59" t="s">
        <v>78</v>
      </c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5.75" customHeight="1" x14ac:dyDescent="0.3">
      <c r="A44" s="5"/>
      <c r="B44" s="60" t="s">
        <v>92</v>
      </c>
      <c r="C44" s="50" t="s">
        <v>93</v>
      </c>
      <c r="D44" s="31" t="s">
        <v>10</v>
      </c>
      <c r="E44" s="31" t="s">
        <v>40</v>
      </c>
      <c r="F44" s="31" t="s">
        <v>42</v>
      </c>
      <c r="G44" s="31" t="s">
        <v>44</v>
      </c>
      <c r="H44" s="31" t="s">
        <v>45</v>
      </c>
      <c r="J44" s="31" t="s">
        <v>94</v>
      </c>
      <c r="K44" s="48" t="s">
        <v>95</v>
      </c>
      <c r="L44" s="48" t="s">
        <v>96</v>
      </c>
      <c r="M44" s="48" t="s">
        <v>90</v>
      </c>
      <c r="N44" s="48" t="s">
        <v>86</v>
      </c>
      <c r="O44" s="48" t="s">
        <v>97</v>
      </c>
      <c r="P44" s="20"/>
      <c r="Q44" s="11" t="s">
        <v>10</v>
      </c>
      <c r="R44" s="11">
        <v>354192</v>
      </c>
      <c r="S44" s="11">
        <v>270097</v>
      </c>
      <c r="T44" s="43">
        <f t="shared" ref="T44:T49" si="22">(R44/S44)^(1/1)-1</f>
        <v>0.31135110719482251</v>
      </c>
      <c r="W44" s="11" t="s">
        <v>10</v>
      </c>
      <c r="X44" s="11">
        <v>330615</v>
      </c>
      <c r="Y44" s="11">
        <v>247379</v>
      </c>
      <c r="Z44" s="43">
        <f t="shared" ref="Z44:Z49" si="23">(X44/Y44)^(1/1)-1</f>
        <v>0.33647156791805277</v>
      </c>
      <c r="AA44" s="5"/>
      <c r="AB44" s="5"/>
      <c r="AC44" s="11" t="s">
        <v>10</v>
      </c>
      <c r="AD44" s="11">
        <v>330615</v>
      </c>
      <c r="AE44" s="11">
        <v>247379</v>
      </c>
      <c r="AF44" s="43">
        <f t="shared" ref="AF44:AF49" si="24">(AD44/AE44)^(1/1)-1</f>
        <v>0.33647156791805277</v>
      </c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15.75" customHeight="1" x14ac:dyDescent="0.3">
      <c r="A45" s="5"/>
      <c r="C45" s="61" t="s">
        <v>98</v>
      </c>
      <c r="D45" s="51">
        <v>0.2</v>
      </c>
      <c r="E45" s="51">
        <v>0.2</v>
      </c>
      <c r="F45" s="51">
        <v>0.2</v>
      </c>
      <c r="G45" s="51">
        <v>0.2</v>
      </c>
      <c r="H45" s="62">
        <f>AVERAGE(H38:H41)</f>
        <v>0.21503800444390109</v>
      </c>
      <c r="J45" s="34" t="s">
        <v>13</v>
      </c>
      <c r="K45" s="38">
        <v>0.34</v>
      </c>
      <c r="L45" s="38">
        <v>0.33</v>
      </c>
      <c r="M45" s="38">
        <v>0.33</v>
      </c>
      <c r="N45" s="38">
        <v>0.28999999999999998</v>
      </c>
      <c r="O45" s="38">
        <v>0.25</v>
      </c>
      <c r="P45" s="20"/>
      <c r="Q45" s="11" t="s">
        <v>13</v>
      </c>
      <c r="R45" s="11">
        <v>16099</v>
      </c>
      <c r="S45" s="11">
        <v>12498</v>
      </c>
      <c r="T45" s="43">
        <f t="shared" si="22"/>
        <v>0.28812610017602824</v>
      </c>
      <c r="W45" s="11" t="s">
        <v>13</v>
      </c>
      <c r="X45" s="11">
        <v>14926</v>
      </c>
      <c r="Y45" s="11">
        <v>11364</v>
      </c>
      <c r="Z45" s="43">
        <f t="shared" si="23"/>
        <v>0.31344596972896865</v>
      </c>
      <c r="AA45" s="5"/>
      <c r="AB45" s="5"/>
      <c r="AC45" s="11" t="s">
        <v>13</v>
      </c>
      <c r="AD45" s="11">
        <v>54970</v>
      </c>
      <c r="AE45" s="11">
        <v>41410</v>
      </c>
      <c r="AF45" s="43">
        <f t="shared" si="24"/>
        <v>0.32745713595749826</v>
      </c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15.75" customHeight="1" x14ac:dyDescent="0.3">
      <c r="A46" s="5"/>
      <c r="B46" s="7"/>
      <c r="C46" s="61" t="s">
        <v>99</v>
      </c>
      <c r="D46" s="51">
        <v>0.3</v>
      </c>
      <c r="E46" s="51">
        <v>0.25</v>
      </c>
      <c r="F46" s="51">
        <f>(F49/G34)-1</f>
        <v>0.16491981523769961</v>
      </c>
      <c r="G46" s="51">
        <f>F46</f>
        <v>0.16491981523769961</v>
      </c>
      <c r="H46" s="62">
        <v>0.245</v>
      </c>
      <c r="I46" s="7"/>
      <c r="J46" s="34" t="s">
        <v>14</v>
      </c>
      <c r="K46" s="38">
        <v>0.3</v>
      </c>
      <c r="L46" s="38">
        <v>0.27</v>
      </c>
      <c r="M46" s="38">
        <v>0.26</v>
      </c>
      <c r="N46" s="38">
        <v>0.14000000000000001</v>
      </c>
      <c r="O46" s="38">
        <v>0.16</v>
      </c>
      <c r="P46" s="20"/>
      <c r="Q46" s="11" t="s">
        <v>100</v>
      </c>
      <c r="R46" s="11">
        <v>10839</v>
      </c>
      <c r="S46" s="11">
        <v>7951</v>
      </c>
      <c r="T46" s="43">
        <f t="shared" si="22"/>
        <v>0.36322475160357182</v>
      </c>
      <c r="W46" s="11" t="s">
        <v>100</v>
      </c>
      <c r="X46" s="11">
        <v>9830</v>
      </c>
      <c r="Y46" s="11">
        <v>7108</v>
      </c>
      <c r="Z46" s="43">
        <f t="shared" si="23"/>
        <v>0.38294879009566696</v>
      </c>
      <c r="AA46" s="5"/>
      <c r="AB46" s="5"/>
      <c r="AC46" s="11" t="s">
        <v>100</v>
      </c>
      <c r="AD46" s="11">
        <v>35680</v>
      </c>
      <c r="AE46" s="11">
        <v>25892</v>
      </c>
      <c r="AF46" s="43">
        <f t="shared" si="24"/>
        <v>0.37803182450177664</v>
      </c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5.75" customHeight="1" x14ac:dyDescent="0.3">
      <c r="A47" s="5"/>
      <c r="B47" s="7"/>
      <c r="C47" s="7"/>
      <c r="D47" s="7"/>
      <c r="E47" s="7"/>
      <c r="F47" s="7"/>
      <c r="G47" s="7"/>
      <c r="H47" s="7"/>
      <c r="J47" s="34" t="s">
        <v>21</v>
      </c>
      <c r="K47" s="63">
        <v>0.27</v>
      </c>
      <c r="L47" s="63">
        <v>0.26500000000000001</v>
      </c>
      <c r="M47" s="63">
        <v>0.26300000000000001</v>
      </c>
      <c r="N47" s="63">
        <v>0.245</v>
      </c>
      <c r="O47" s="63">
        <v>0.245</v>
      </c>
      <c r="Q47" s="11" t="s">
        <v>20</v>
      </c>
      <c r="R47" s="11">
        <v>5683</v>
      </c>
      <c r="S47" s="11">
        <v>4102</v>
      </c>
      <c r="T47" s="43">
        <f t="shared" si="22"/>
        <v>0.38542174549000485</v>
      </c>
      <c r="W47" s="11" t="s">
        <v>20</v>
      </c>
      <c r="X47" s="11">
        <v>5217</v>
      </c>
      <c r="Y47" s="11">
        <v>3592</v>
      </c>
      <c r="Z47" s="43">
        <f t="shared" si="23"/>
        <v>0.45239420935412022</v>
      </c>
      <c r="AA47" s="5"/>
      <c r="AB47" s="5"/>
      <c r="AC47" s="11" t="s">
        <v>20</v>
      </c>
      <c r="AD47" s="11">
        <v>18725</v>
      </c>
      <c r="AE47" s="11">
        <v>12559</v>
      </c>
      <c r="AF47" s="43">
        <f t="shared" si="24"/>
        <v>0.49096265626244118</v>
      </c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5.75" customHeight="1" x14ac:dyDescent="0.3">
      <c r="A48" s="5"/>
      <c r="B48" s="7"/>
      <c r="C48" s="50" t="s">
        <v>101</v>
      </c>
      <c r="D48" s="48" t="s">
        <v>10</v>
      </c>
      <c r="E48" s="31" t="s">
        <v>40</v>
      </c>
      <c r="F48" s="31" t="s">
        <v>42</v>
      </c>
      <c r="G48" s="31" t="s">
        <v>44</v>
      </c>
      <c r="H48" s="48" t="s">
        <v>102</v>
      </c>
      <c r="I48" s="17"/>
      <c r="Q48" s="34" t="s">
        <v>14</v>
      </c>
      <c r="R48" s="34">
        <v>3944</v>
      </c>
      <c r="S48" s="34">
        <v>3469</v>
      </c>
      <c r="T48" s="43">
        <f t="shared" si="22"/>
        <v>0.13692706831940038</v>
      </c>
      <c r="W48" s="34" t="s">
        <v>14</v>
      </c>
      <c r="X48" s="34">
        <v>3824</v>
      </c>
      <c r="Y48" s="34">
        <v>3157</v>
      </c>
      <c r="Z48" s="43">
        <f t="shared" si="23"/>
        <v>0.21127652834969912</v>
      </c>
      <c r="AA48" s="5"/>
      <c r="AB48" s="5"/>
      <c r="AC48" s="34" t="s">
        <v>14</v>
      </c>
      <c r="AD48" s="34">
        <v>14451</v>
      </c>
      <c r="AE48" s="34">
        <v>11507</v>
      </c>
      <c r="AF48" s="43">
        <f t="shared" si="24"/>
        <v>0.25584426870600496</v>
      </c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15.75" customHeight="1" x14ac:dyDescent="0.3">
      <c r="A49" s="5"/>
      <c r="B49" s="7"/>
      <c r="C49" s="35" t="s">
        <v>99</v>
      </c>
      <c r="D49" s="64">
        <f t="shared" ref="D49:E49" si="25">FV(D46,1,0,-D34,0)</f>
        <v>429799.5</v>
      </c>
      <c r="E49" s="64">
        <f t="shared" si="25"/>
        <v>68711.25</v>
      </c>
      <c r="F49" s="64">
        <f>E49*H46</f>
        <v>16834.256249999999</v>
      </c>
      <c r="G49" s="64">
        <f>FV(G46,1,0,-I34,0)</f>
        <v>275.95785503165865</v>
      </c>
      <c r="H49" s="64">
        <f t="shared" ref="H49:H51" si="26">G49*30</f>
        <v>8278.7356509497604</v>
      </c>
      <c r="J49" s="65" t="s">
        <v>103</v>
      </c>
      <c r="K49" s="65" t="s">
        <v>104</v>
      </c>
      <c r="L49" s="65" t="s">
        <v>105</v>
      </c>
      <c r="M49" s="65" t="s">
        <v>88</v>
      </c>
      <c r="N49" s="48" t="s">
        <v>86</v>
      </c>
      <c r="O49" s="65" t="s">
        <v>15</v>
      </c>
      <c r="Q49" s="66" t="s">
        <v>44</v>
      </c>
      <c r="R49" s="37">
        <v>63.28</v>
      </c>
      <c r="S49" s="37">
        <v>56.83</v>
      </c>
      <c r="T49" s="43">
        <f t="shared" si="22"/>
        <v>0.11349639275030809</v>
      </c>
      <c r="W49" s="66" t="s">
        <v>44</v>
      </c>
      <c r="X49" s="37">
        <v>61.91</v>
      </c>
      <c r="Y49" s="37">
        <v>52.25</v>
      </c>
      <c r="Z49" s="43">
        <f t="shared" si="23"/>
        <v>0.18488038277511953</v>
      </c>
      <c r="AA49" s="5"/>
      <c r="AB49" s="5"/>
      <c r="AC49" s="66" t="s">
        <v>44</v>
      </c>
      <c r="AD49" s="37">
        <v>236.89</v>
      </c>
      <c r="AE49" s="37">
        <v>190.53</v>
      </c>
      <c r="AF49" s="43">
        <f t="shared" si="24"/>
        <v>0.24332126174355739</v>
      </c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15.75" customHeight="1" x14ac:dyDescent="0.3">
      <c r="A50" s="5"/>
      <c r="B50" s="7"/>
      <c r="C50" s="35" t="s">
        <v>106</v>
      </c>
      <c r="D50" s="64">
        <f t="shared" ref="D50:E50" si="27">FV(25%,5,0,-D49,0)</f>
        <v>1311643.9819335938</v>
      </c>
      <c r="E50" s="64">
        <f t="shared" si="27"/>
        <v>209690.09399414063</v>
      </c>
      <c r="F50" s="64">
        <f>E50*H45</f>
        <v>45091.339364154046</v>
      </c>
      <c r="G50" s="64">
        <f>(F50*G49)/F49</f>
        <v>739.16596650574013</v>
      </c>
      <c r="H50" s="64">
        <f t="shared" si="26"/>
        <v>22174.978995172205</v>
      </c>
      <c r="J50" s="37" t="s">
        <v>44</v>
      </c>
      <c r="K50" s="37">
        <v>58.67</v>
      </c>
      <c r="L50" s="37">
        <v>59.42</v>
      </c>
      <c r="M50" s="37">
        <v>61.91</v>
      </c>
      <c r="N50" s="37">
        <v>63.28</v>
      </c>
      <c r="O50" s="37">
        <f>SUM(K50:N50)</f>
        <v>243.28</v>
      </c>
      <c r="P50" s="17"/>
      <c r="Q50" s="66" t="s">
        <v>21</v>
      </c>
      <c r="R50" s="63">
        <f t="shared" ref="R50:S50" si="28">R48/R45</f>
        <v>0.24498416050686378</v>
      </c>
      <c r="S50" s="63">
        <f t="shared" si="28"/>
        <v>0.27756441030564888</v>
      </c>
      <c r="T50" s="39">
        <f t="shared" ref="T50:T51" si="29">R50-S50</f>
        <v>-3.2580249798785099E-2</v>
      </c>
      <c r="W50" s="66" t="s">
        <v>21</v>
      </c>
      <c r="X50" s="63">
        <f t="shared" ref="X50:Y50" si="30">X48/X45</f>
        <v>0.25619723971593195</v>
      </c>
      <c r="Y50" s="63">
        <f t="shared" si="30"/>
        <v>0.2778071101724745</v>
      </c>
      <c r="Z50" s="39">
        <f t="shared" ref="Z50:Z51" si="31">X50-Y50</f>
        <v>-2.1609870456542557E-2</v>
      </c>
      <c r="AA50" s="5"/>
      <c r="AB50" s="5"/>
      <c r="AC50" s="66" t="s">
        <v>21</v>
      </c>
      <c r="AD50" s="63">
        <f t="shared" ref="AD50:AE50" si="32">AD48/AD45</f>
        <v>0.26288884846279786</v>
      </c>
      <c r="AE50" s="63">
        <f t="shared" si="32"/>
        <v>0.27787973919343156</v>
      </c>
      <c r="AF50" s="39">
        <f t="shared" ref="AF50:AF51" si="33">AD50-AE50</f>
        <v>-1.4990890730633699E-2</v>
      </c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5.75" customHeight="1" x14ac:dyDescent="0.3">
      <c r="A51" s="7"/>
      <c r="B51" s="7"/>
      <c r="C51" s="35" t="s">
        <v>107</v>
      </c>
      <c r="D51" s="64">
        <f t="shared" ref="D51:G51" si="34">FV(D45,5,0,-D50,0)</f>
        <v>3263789.953125</v>
      </c>
      <c r="E51" s="64">
        <f t="shared" si="34"/>
        <v>521776.0546875</v>
      </c>
      <c r="F51" s="64">
        <f t="shared" si="34"/>
        <v>112201.68156661179</v>
      </c>
      <c r="G51" s="64">
        <f t="shared" si="34"/>
        <v>1839.2814577755632</v>
      </c>
      <c r="H51" s="64">
        <f t="shared" si="26"/>
        <v>55178.443733266897</v>
      </c>
      <c r="J51" s="7"/>
      <c r="K51" s="17"/>
      <c r="L51" s="17"/>
      <c r="M51" s="17"/>
      <c r="Q51" s="34" t="s">
        <v>108</v>
      </c>
      <c r="R51" s="67">
        <v>8.6E-3</v>
      </c>
      <c r="S51" s="67">
        <v>8.6999999999999994E-3</v>
      </c>
      <c r="T51" s="39">
        <f t="shared" si="29"/>
        <v>-9.9999999999999395E-5</v>
      </c>
      <c r="U51" s="7"/>
      <c r="W51" s="34" t="s">
        <v>108</v>
      </c>
      <c r="X51" s="67"/>
      <c r="Y51" s="67"/>
      <c r="Z51" s="39">
        <f t="shared" si="31"/>
        <v>0</v>
      </c>
      <c r="AA51" s="5"/>
      <c r="AB51" s="5"/>
      <c r="AC51" s="34" t="s">
        <v>108</v>
      </c>
      <c r="AD51" s="67"/>
      <c r="AE51" s="67"/>
      <c r="AF51" s="39">
        <f t="shared" si="33"/>
        <v>0</v>
      </c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5.75" customHeight="1" x14ac:dyDescent="0.3">
      <c r="A52" s="5"/>
      <c r="B52" s="7"/>
      <c r="C52" s="7"/>
      <c r="D52" s="7"/>
      <c r="E52" s="30"/>
      <c r="F52" s="30"/>
      <c r="G52" s="30"/>
      <c r="H52" s="30"/>
      <c r="L52" s="68" t="s">
        <v>109</v>
      </c>
      <c r="M52" s="68" t="s">
        <v>110</v>
      </c>
      <c r="N52" s="68" t="s">
        <v>111</v>
      </c>
      <c r="O52" s="68" t="s">
        <v>112</v>
      </c>
      <c r="V52" s="7"/>
      <c r="AB52" s="7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15.75" customHeight="1" x14ac:dyDescent="0.3">
      <c r="A53" s="5"/>
      <c r="C53" s="7"/>
      <c r="D53" s="7"/>
      <c r="E53" s="17"/>
      <c r="F53" s="30"/>
      <c r="G53" s="30"/>
      <c r="H53" s="30"/>
      <c r="L53" s="69">
        <v>236.89</v>
      </c>
      <c r="M53" s="69">
        <v>243</v>
      </c>
      <c r="N53" s="69">
        <v>276</v>
      </c>
      <c r="O53" s="70">
        <f ca="1">N55/16</f>
        <v>1.4977807971014492</v>
      </c>
      <c r="P53" s="7"/>
      <c r="Q53" s="48" t="s">
        <v>113</v>
      </c>
      <c r="R53" s="48" t="s">
        <v>86</v>
      </c>
      <c r="S53" s="48" t="s">
        <v>87</v>
      </c>
      <c r="T53" s="71" t="s">
        <v>114</v>
      </c>
      <c r="U53" s="59" t="s">
        <v>78</v>
      </c>
      <c r="W53" s="71" t="s">
        <v>115</v>
      </c>
      <c r="X53" s="48" t="s">
        <v>86</v>
      </c>
      <c r="Y53" s="48" t="s">
        <v>87</v>
      </c>
      <c r="Z53" s="71" t="s">
        <v>114</v>
      </c>
      <c r="AA53" s="71" t="s">
        <v>78</v>
      </c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15.75" customHeight="1" x14ac:dyDescent="0.3">
      <c r="A54" s="5"/>
      <c r="B54" s="7"/>
      <c r="C54" s="7"/>
      <c r="D54" s="7"/>
      <c r="E54" s="17"/>
      <c r="F54" s="30"/>
      <c r="G54" s="30"/>
      <c r="H54" s="30"/>
      <c r="J54" s="72"/>
      <c r="K54" s="72"/>
      <c r="L54" s="68" t="s">
        <v>116</v>
      </c>
      <c r="M54" s="68" t="s">
        <v>117</v>
      </c>
      <c r="N54" s="68" t="s">
        <v>118</v>
      </c>
      <c r="O54" s="73"/>
      <c r="P54" s="7"/>
      <c r="Q54" s="11" t="s">
        <v>119</v>
      </c>
      <c r="R54" s="11">
        <v>109671</v>
      </c>
      <c r="S54" s="11">
        <v>83090</v>
      </c>
      <c r="T54" s="43">
        <f t="shared" ref="T54:T64" si="35">R54/$R$66</f>
        <v>0.3096371459547364</v>
      </c>
      <c r="U54" s="43">
        <f t="shared" ref="U54:U64" si="36">(R54/S54)^(1/1)-1</f>
        <v>0.31990612588759171</v>
      </c>
      <c r="V54" s="7"/>
      <c r="W54" s="11" t="s">
        <v>20</v>
      </c>
      <c r="X54" s="11">
        <v>5683</v>
      </c>
      <c r="Y54" s="11">
        <v>4102</v>
      </c>
      <c r="Z54" s="43">
        <f t="shared" ref="Z54:Z59" si="37">X54/$X$61</f>
        <v>0.52431036073438508</v>
      </c>
      <c r="AA54" s="38">
        <f t="shared" ref="AA54:AA59" si="38">X54/Y54-1</f>
        <v>0.38542174549000485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15.75" customHeight="1" x14ac:dyDescent="0.3">
      <c r="A55" s="5"/>
      <c r="B55" s="20"/>
      <c r="C55" s="20"/>
      <c r="D55" s="20"/>
      <c r="E55" s="19"/>
      <c r="F55" s="72"/>
      <c r="G55" s="72"/>
      <c r="H55" s="72"/>
      <c r="I55" s="20"/>
      <c r="L55" s="69">
        <f>7245/L53</f>
        <v>30.58381527291148</v>
      </c>
      <c r="M55" s="69">
        <f ca="1">D6/M53</f>
        <v>27.218930041152262</v>
      </c>
      <c r="N55" s="69">
        <f ca="1">D6/N53</f>
        <v>23.964492753623187</v>
      </c>
      <c r="O55" s="74"/>
      <c r="P55" s="7"/>
      <c r="Q55" s="34" t="s">
        <v>120</v>
      </c>
      <c r="R55" s="34">
        <v>71628</v>
      </c>
      <c r="S55" s="34">
        <v>54845</v>
      </c>
      <c r="T55" s="43">
        <f t="shared" si="35"/>
        <v>0.20222929936305734</v>
      </c>
      <c r="U55" s="43">
        <f t="shared" si="36"/>
        <v>0.30600784027714467</v>
      </c>
      <c r="V55" s="7"/>
      <c r="W55" s="34" t="s">
        <v>18</v>
      </c>
      <c r="X55" s="34">
        <v>1775</v>
      </c>
      <c r="Y55" s="34">
        <v>1497</v>
      </c>
      <c r="Z55" s="43">
        <f t="shared" si="37"/>
        <v>0.16376049451056371</v>
      </c>
      <c r="AA55" s="38">
        <f t="shared" si="38"/>
        <v>0.18570474281897131</v>
      </c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ht="15.75" customHeight="1" x14ac:dyDescent="0.3">
      <c r="A56" s="5"/>
      <c r="B56" s="20"/>
      <c r="C56" s="20"/>
      <c r="D56" s="20"/>
      <c r="E56" s="72"/>
      <c r="F56" s="72"/>
      <c r="G56" s="72"/>
      <c r="H56" s="72"/>
      <c r="I56" s="20"/>
      <c r="P56" s="7"/>
      <c r="Q56" s="11" t="s">
        <v>121</v>
      </c>
      <c r="R56" s="34">
        <v>40791</v>
      </c>
      <c r="S56" s="34">
        <v>31569</v>
      </c>
      <c r="T56" s="43">
        <f t="shared" si="35"/>
        <v>0.11516635045399105</v>
      </c>
      <c r="U56" s="43">
        <f t="shared" si="36"/>
        <v>0.29212201843580732</v>
      </c>
      <c r="V56" s="7"/>
      <c r="W56" s="11" t="s">
        <v>122</v>
      </c>
      <c r="X56" s="11">
        <v>1685</v>
      </c>
      <c r="Y56" s="11">
        <v>995</v>
      </c>
      <c r="Z56" s="43">
        <f t="shared" si="37"/>
        <v>0.15545714549312667</v>
      </c>
      <c r="AA56" s="38">
        <f t="shared" si="38"/>
        <v>0.69346733668341698</v>
      </c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15.75" customHeight="1" x14ac:dyDescent="0.3">
      <c r="A57" s="5"/>
      <c r="B57" s="7"/>
      <c r="C57" s="7"/>
      <c r="D57" s="7"/>
      <c r="E57" s="30"/>
      <c r="F57" s="30"/>
      <c r="G57" s="30"/>
      <c r="H57" s="30"/>
      <c r="J57" s="30"/>
      <c r="K57" s="30"/>
      <c r="M57" s="7"/>
      <c r="N57" s="7"/>
      <c r="O57" s="7"/>
      <c r="P57" s="7"/>
      <c r="Q57" s="11" t="s">
        <v>123</v>
      </c>
      <c r="R57" s="34">
        <v>26975</v>
      </c>
      <c r="S57" s="34">
        <v>22321</v>
      </c>
      <c r="T57" s="43">
        <f t="shared" si="35"/>
        <v>7.6159258255409493E-2</v>
      </c>
      <c r="U57" s="43">
        <f t="shared" si="36"/>
        <v>0.20850320326150262</v>
      </c>
      <c r="V57" s="7"/>
      <c r="W57" s="66" t="s">
        <v>124</v>
      </c>
      <c r="X57" s="37">
        <v>942</v>
      </c>
      <c r="Y57" s="37">
        <v>732</v>
      </c>
      <c r="Z57" s="43">
        <f t="shared" si="37"/>
        <v>8.6908386382507613E-2</v>
      </c>
      <c r="AA57" s="38">
        <f t="shared" si="38"/>
        <v>0.28688524590163933</v>
      </c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15.75" customHeight="1" x14ac:dyDescent="0.3">
      <c r="A58" s="5"/>
      <c r="B58" s="7"/>
      <c r="C58" s="7"/>
      <c r="D58" s="7"/>
      <c r="E58" s="30"/>
      <c r="F58" s="30"/>
      <c r="G58" s="30"/>
      <c r="H58" s="30"/>
      <c r="J58" s="30"/>
      <c r="K58" s="30"/>
      <c r="M58" s="7"/>
      <c r="N58" s="7"/>
      <c r="O58" s="7"/>
      <c r="P58" s="7"/>
      <c r="Q58" s="11" t="s">
        <v>125</v>
      </c>
      <c r="R58" s="34">
        <v>18049</v>
      </c>
      <c r="S58" s="34">
        <v>17133</v>
      </c>
      <c r="T58" s="43">
        <f t="shared" si="35"/>
        <v>5.0958237340199664E-2</v>
      </c>
      <c r="U58" s="43">
        <f t="shared" si="36"/>
        <v>5.3464075176559822E-2</v>
      </c>
      <c r="V58" s="7"/>
      <c r="W58" s="11" t="s">
        <v>126</v>
      </c>
      <c r="X58" s="11">
        <v>554</v>
      </c>
      <c r="Y58" s="11">
        <v>468</v>
      </c>
      <c r="Z58" s="43">
        <f t="shared" si="37"/>
        <v>5.1111726174001289E-2</v>
      </c>
      <c r="AA58" s="38">
        <f t="shared" si="38"/>
        <v>0.18376068376068377</v>
      </c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 ht="15.75" customHeight="1" x14ac:dyDescent="0.3">
      <c r="A59" s="5"/>
      <c r="B59" s="5"/>
      <c r="C59" s="7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7"/>
      <c r="Q59" s="11" t="s">
        <v>127</v>
      </c>
      <c r="R59" s="34">
        <v>23589</v>
      </c>
      <c r="S59" s="34">
        <v>18064</v>
      </c>
      <c r="T59" s="43">
        <f t="shared" si="35"/>
        <v>6.6599471473099331E-2</v>
      </c>
      <c r="U59" s="43">
        <f t="shared" si="36"/>
        <v>0.30585695305580152</v>
      </c>
      <c r="V59" s="5"/>
      <c r="W59" s="66" t="s">
        <v>128</v>
      </c>
      <c r="X59" s="37">
        <v>200</v>
      </c>
      <c r="Y59" s="37">
        <v>156</v>
      </c>
      <c r="Z59" s="43">
        <f t="shared" si="37"/>
        <v>1.8451886705415629E-2</v>
      </c>
      <c r="AA59" s="38">
        <f t="shared" si="38"/>
        <v>0.28205128205128216</v>
      </c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ht="15.75" customHeight="1" thickBot="1" x14ac:dyDescent="0.35">
      <c r="A60" s="5"/>
      <c r="B60" s="5"/>
      <c r="C60" s="7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34" t="s">
        <v>129</v>
      </c>
      <c r="R60" s="34">
        <v>22043</v>
      </c>
      <c r="S60" s="34">
        <v>16238</v>
      </c>
      <c r="T60" s="43">
        <f t="shared" si="35"/>
        <v>6.2234607218683652E-2</v>
      </c>
      <c r="U60" s="43">
        <f t="shared" si="36"/>
        <v>0.35749476536519276</v>
      </c>
      <c r="V60" s="5"/>
      <c r="W60" s="76"/>
      <c r="X60" s="77"/>
      <c r="Y60" s="77"/>
      <c r="Z60" s="76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 ht="15.75" customHeight="1" thickTop="1" x14ac:dyDescent="0.3">
      <c r="A61" s="5"/>
      <c r="B61" s="5"/>
      <c r="C61" s="7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34" t="s">
        <v>130</v>
      </c>
      <c r="R61" s="11">
        <v>19689</v>
      </c>
      <c r="S61" s="11">
        <v>14736</v>
      </c>
      <c r="T61" s="43">
        <f t="shared" si="35"/>
        <v>5.5588494375931698E-2</v>
      </c>
      <c r="U61" s="43">
        <f t="shared" si="36"/>
        <v>0.33611563517915299</v>
      </c>
      <c r="V61" s="5"/>
      <c r="W61" s="78" t="s">
        <v>131</v>
      </c>
      <c r="X61" s="78">
        <f t="shared" ref="X61:Y61" si="39">SUM(X54:X59)</f>
        <v>10839</v>
      </c>
      <c r="Y61" s="78">
        <f t="shared" si="39"/>
        <v>7950</v>
      </c>
      <c r="Z61" s="79">
        <f>X61/$X$61</f>
        <v>1</v>
      </c>
      <c r="AA61" s="80">
        <f>X61/Y61-1</f>
        <v>0.36339622641509428</v>
      </c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 ht="15.75" customHeight="1" x14ac:dyDescent="0.3">
      <c r="A62" s="5"/>
      <c r="B62" s="5"/>
      <c r="C62" s="75"/>
      <c r="D62" s="81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66" t="s">
        <v>132</v>
      </c>
      <c r="R62" s="11">
        <v>7553</v>
      </c>
      <c r="S62" s="11">
        <v>5567</v>
      </c>
      <c r="T62" s="43">
        <f t="shared" si="35"/>
        <v>2.1324592311514658E-2</v>
      </c>
      <c r="U62" s="43">
        <f t="shared" si="36"/>
        <v>0.35674510508352797</v>
      </c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 ht="15.75" customHeight="1" x14ac:dyDescent="0.3">
      <c r="A63" s="5"/>
      <c r="B63" s="5"/>
      <c r="C63" s="7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82" t="s">
        <v>133</v>
      </c>
      <c r="R63" s="83">
        <v>5494</v>
      </c>
      <c r="S63" s="83">
        <v>3139</v>
      </c>
      <c r="T63" s="84">
        <f t="shared" si="35"/>
        <v>1.5511361069702308E-2</v>
      </c>
      <c r="U63" s="43">
        <f t="shared" si="36"/>
        <v>0.75023892959541261</v>
      </c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ht="15.75" customHeight="1" x14ac:dyDescent="0.3">
      <c r="A64" s="5"/>
      <c r="B64" s="5"/>
      <c r="C64" s="7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7" t="s">
        <v>134</v>
      </c>
      <c r="R64" s="47">
        <v>8710</v>
      </c>
      <c r="S64" s="47">
        <v>3395</v>
      </c>
      <c r="T64" s="84">
        <f t="shared" si="35"/>
        <v>2.4591182183674391E-2</v>
      </c>
      <c r="U64" s="43">
        <f t="shared" si="36"/>
        <v>1.5655375552282771</v>
      </c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spans="1:42" ht="15.75" customHeight="1" thickBot="1" x14ac:dyDescent="0.35">
      <c r="A65" s="5"/>
      <c r="B65" s="5"/>
      <c r="C65" s="75"/>
      <c r="D65" s="8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1:42" ht="15.75" customHeight="1" thickTop="1" x14ac:dyDescent="0.3">
      <c r="A66" s="5"/>
      <c r="B66" s="5"/>
      <c r="C66" s="7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86" t="s">
        <v>131</v>
      </c>
      <c r="R66" s="86">
        <f t="shared" ref="R66:S66" si="40">SUM(R54:R64)</f>
        <v>354192</v>
      </c>
      <c r="S66" s="86">
        <f t="shared" si="40"/>
        <v>270097</v>
      </c>
      <c r="T66" s="87">
        <f>R66/$R$66</f>
        <v>1</v>
      </c>
      <c r="U66" s="87">
        <f>(R66/S66)^(1/1)-1</f>
        <v>0.31135110719482251</v>
      </c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:42" ht="15.75" customHeight="1" x14ac:dyDescent="0.3">
      <c r="A67" s="5"/>
      <c r="B67" s="5"/>
      <c r="C67" s="75"/>
      <c r="D67" s="81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</row>
    <row r="68" spans="1:42" ht="15.75" customHeight="1" x14ac:dyDescent="0.3">
      <c r="A68" s="5"/>
      <c r="B68" s="5"/>
      <c r="C68" s="7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88" t="s">
        <v>135</v>
      </c>
      <c r="R68" s="88" t="s">
        <v>91</v>
      </c>
      <c r="S68" s="88" t="s">
        <v>136</v>
      </c>
      <c r="T68" s="89" t="s">
        <v>78</v>
      </c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</row>
    <row r="69" spans="1:42" ht="15.75" customHeight="1" x14ac:dyDescent="0.3">
      <c r="A69" s="5"/>
      <c r="B69" s="5"/>
      <c r="C69" s="7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7" t="s">
        <v>137</v>
      </c>
      <c r="R69" s="17">
        <v>0.56000000000000005</v>
      </c>
      <c r="S69" s="17">
        <v>0.57999999999999996</v>
      </c>
      <c r="T69" s="17">
        <f t="shared" ref="T69:T72" si="41">(R69/S69)^(1/1)-1</f>
        <v>-3.4482758620689502E-2</v>
      </c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</row>
    <row r="70" spans="1:42" ht="15.75" customHeight="1" x14ac:dyDescent="0.3">
      <c r="A70" s="5"/>
      <c r="B70" s="5"/>
      <c r="C70" s="7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7" t="s">
        <v>138</v>
      </c>
      <c r="R70" s="17">
        <v>0.1244</v>
      </c>
      <c r="S70" s="90">
        <f>6.08%+0.04%</f>
        <v>6.1199999999999997E-2</v>
      </c>
      <c r="T70" s="17">
        <f t="shared" si="41"/>
        <v>1.0326797385620914</v>
      </c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</row>
    <row r="71" spans="1:42" ht="15.75" customHeight="1" x14ac:dyDescent="0.3">
      <c r="A71" s="5"/>
      <c r="B71" s="5"/>
      <c r="C71" s="7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7" t="s">
        <v>139</v>
      </c>
      <c r="R71" s="17">
        <v>0.2</v>
      </c>
      <c r="S71" s="17">
        <f>18.34%</f>
        <v>0.18340000000000001</v>
      </c>
      <c r="T71" s="17">
        <f t="shared" si="41"/>
        <v>9.0512540894220228E-2</v>
      </c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</row>
    <row r="72" spans="1:42" ht="15.75" customHeight="1" thickBot="1" x14ac:dyDescent="0.35">
      <c r="A72" s="5"/>
      <c r="B72" s="5"/>
      <c r="C72" s="7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1" t="s">
        <v>140</v>
      </c>
      <c r="R72" s="92">
        <v>0.12</v>
      </c>
      <c r="S72" s="92">
        <v>0.1759</v>
      </c>
      <c r="T72" s="93">
        <f t="shared" si="41"/>
        <v>-0.31779420125071067</v>
      </c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73" spans="1:42" ht="15.75" customHeight="1" thickTop="1" thickBot="1" x14ac:dyDescent="0.35">
      <c r="A73" s="5"/>
      <c r="B73" s="5"/>
      <c r="C73" s="7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</row>
    <row r="74" spans="1:42" ht="15.75" customHeight="1" thickTop="1" x14ac:dyDescent="0.3">
      <c r="A74" s="5"/>
      <c r="B74" s="5"/>
      <c r="C74" s="7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4" t="s">
        <v>131</v>
      </c>
      <c r="R74" s="95">
        <f t="shared" ref="R74:S74" si="42">SUM(R69:R72)</f>
        <v>1.0044</v>
      </c>
      <c r="S74" s="95">
        <f t="shared" si="42"/>
        <v>1.0004999999999999</v>
      </c>
      <c r="T74" s="96">
        <f>(R74/S74)^(1/1)-1</f>
        <v>3.89805097451279E-3</v>
      </c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</row>
    <row r="75" spans="1:42" ht="15.75" customHeight="1" x14ac:dyDescent="0.3">
      <c r="A75" s="5"/>
      <c r="B75" s="5"/>
      <c r="C75" s="7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</row>
    <row r="76" spans="1:42" ht="15.75" customHeight="1" x14ac:dyDescent="0.3">
      <c r="A76" s="5"/>
      <c r="B76" s="5"/>
      <c r="C76" s="7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spans="1:42" ht="15.75" customHeight="1" x14ac:dyDescent="0.3">
      <c r="A77" s="5"/>
      <c r="B77" s="5"/>
      <c r="C77" s="7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</row>
    <row r="78" spans="1:42" ht="15.75" customHeight="1" x14ac:dyDescent="0.3">
      <c r="A78" s="5"/>
      <c r="B78" s="5"/>
      <c r="C78" s="7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</row>
    <row r="79" spans="1:42" ht="15.75" customHeight="1" x14ac:dyDescent="0.3">
      <c r="A79" s="5"/>
      <c r="B79" s="5"/>
      <c r="C79" s="7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</row>
    <row r="80" spans="1:42" ht="15.75" customHeight="1" x14ac:dyDescent="0.3">
      <c r="A80" s="5"/>
      <c r="B80" s="5"/>
      <c r="C80" s="7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</row>
    <row r="81" spans="1:42" ht="15.75" customHeight="1" x14ac:dyDescent="0.3">
      <c r="A81" s="5"/>
      <c r="B81" s="5"/>
      <c r="C81" s="7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spans="1:42" ht="15.75" customHeight="1" x14ac:dyDescent="0.3">
      <c r="A82" s="5"/>
      <c r="B82" s="5"/>
      <c r="C82" s="7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spans="1:42" ht="15.75" customHeight="1" x14ac:dyDescent="0.3">
      <c r="A83" s="5"/>
      <c r="B83" s="5"/>
      <c r="C83" s="7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</row>
    <row r="84" spans="1:42" ht="15.75" customHeight="1" x14ac:dyDescent="0.3">
      <c r="A84" s="5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spans="1:42" ht="15.75" customHeight="1" x14ac:dyDescent="0.3">
      <c r="A85" s="5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</row>
    <row r="86" spans="1:42" ht="15.75" customHeight="1" x14ac:dyDescent="0.3">
      <c r="A86" s="5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spans="1:42" ht="15.75" customHeight="1" x14ac:dyDescent="0.3">
      <c r="A87" s="5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spans="1:42" ht="15.75" customHeight="1" x14ac:dyDescent="0.3">
      <c r="A88" s="5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spans="1:42" ht="15.75" customHeight="1" x14ac:dyDescent="0.3">
      <c r="A89" s="5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spans="1:42" ht="15.75" customHeight="1" x14ac:dyDescent="0.3">
      <c r="A90" s="5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</row>
    <row r="91" spans="1:42" ht="15.75" customHeight="1" x14ac:dyDescent="0.3">
      <c r="A91" s="5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spans="1:42" ht="15.75" customHeight="1" x14ac:dyDescent="0.3">
      <c r="A92" s="5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1:42" ht="15.75" customHeight="1" x14ac:dyDescent="0.3">
      <c r="A93" s="5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spans="1:42" ht="15.75" customHeight="1" x14ac:dyDescent="0.3">
      <c r="A94" s="5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spans="1:42" ht="15.75" customHeight="1" x14ac:dyDescent="0.3">
      <c r="A95" s="5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spans="1:42" ht="15.75" customHeight="1" x14ac:dyDescent="0.3">
      <c r="A96" s="5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spans="1:42" ht="15.75" customHeight="1" x14ac:dyDescent="0.3">
      <c r="A97" s="5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spans="1:42" ht="15.75" customHeight="1" x14ac:dyDescent="0.3">
      <c r="A98" s="5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1:42" ht="15.75" customHeight="1" x14ac:dyDescent="0.3">
      <c r="A99" s="5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spans="1:42" ht="15.75" customHeight="1" x14ac:dyDescent="0.3">
      <c r="A100" s="5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spans="1:42" ht="15.75" customHeight="1" x14ac:dyDescent="0.3">
      <c r="A101" s="5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spans="1:42" ht="15.75" customHeight="1" x14ac:dyDescent="0.3">
      <c r="A102" s="5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spans="1:42" ht="15.75" customHeight="1" x14ac:dyDescent="0.3">
      <c r="A103" s="5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</row>
    <row r="104" spans="1:42" ht="15.75" customHeight="1" x14ac:dyDescent="0.3">
      <c r="A104" s="5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</row>
    <row r="105" spans="1:42" ht="15.75" customHeight="1" x14ac:dyDescent="0.3">
      <c r="A105" s="5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spans="1:42" ht="15.75" customHeight="1" x14ac:dyDescent="0.3">
      <c r="A106" s="5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07" spans="1:42" ht="15.75" customHeight="1" x14ac:dyDescent="0.3">
      <c r="A107" s="5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spans="1:42" ht="15.75" customHeight="1" x14ac:dyDescent="0.3">
      <c r="A108" s="5"/>
      <c r="D108" s="30"/>
      <c r="E108" s="30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</row>
    <row r="109" spans="1:42" ht="15.75" customHeight="1" x14ac:dyDescent="0.3">
      <c r="A109" s="5"/>
      <c r="D109" s="30"/>
      <c r="E109" s="1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</row>
    <row r="110" spans="1:42" ht="15.75" customHeight="1" x14ac:dyDescent="0.3">
      <c r="A110" s="5"/>
      <c r="D110" s="30"/>
      <c r="E110" s="1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</row>
    <row r="111" spans="1:42" ht="15.75" customHeight="1" x14ac:dyDescent="0.3">
      <c r="A111" s="5"/>
      <c r="D111" s="30"/>
      <c r="E111" s="1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</row>
    <row r="112" spans="1:42" ht="15.75" customHeight="1" x14ac:dyDescent="0.3">
      <c r="A112" s="5"/>
      <c r="D112" s="30"/>
      <c r="E112" s="1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</row>
    <row r="113" spans="1:42" ht="15.75" customHeight="1" x14ac:dyDescent="0.3">
      <c r="A113" s="5"/>
      <c r="D113" s="30"/>
      <c r="E113" s="1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  <row r="114" spans="1:42" ht="15.75" customHeight="1" x14ac:dyDescent="0.3">
      <c r="A114" s="5"/>
      <c r="B114" s="7"/>
      <c r="C114" s="7"/>
      <c r="D114" s="30"/>
      <c r="E114" s="1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spans="1:42" ht="15.75" customHeight="1" x14ac:dyDescent="0.3">
      <c r="A115" s="5"/>
      <c r="B115" s="7"/>
      <c r="C115" s="7"/>
      <c r="D115" s="30"/>
      <c r="E115" s="1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</row>
    <row r="116" spans="1:42" ht="15.75" customHeight="1" x14ac:dyDescent="0.3">
      <c r="A116" s="5"/>
      <c r="B116" s="7"/>
      <c r="C116" s="7"/>
      <c r="D116" s="30"/>
      <c r="E116" s="1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</row>
    <row r="117" spans="1:42" ht="15.75" customHeight="1" x14ac:dyDescent="0.3">
      <c r="A117" s="5"/>
      <c r="B117" s="7"/>
      <c r="C117" s="7"/>
      <c r="D117" s="30"/>
      <c r="E117" s="1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</row>
    <row r="118" spans="1:42" ht="15.75" customHeight="1" x14ac:dyDescent="0.3">
      <c r="A118" s="5"/>
      <c r="B118" s="7"/>
      <c r="C118" s="7"/>
      <c r="D118" s="30"/>
      <c r="E118" s="1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</row>
    <row r="119" spans="1:42" ht="15.75" customHeight="1" x14ac:dyDescent="0.3">
      <c r="A119" s="5"/>
      <c r="B119" s="7"/>
      <c r="C119" s="7"/>
      <c r="D119" s="30"/>
      <c r="E119" s="1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</row>
    <row r="120" spans="1:42" ht="15.75" customHeight="1" x14ac:dyDescent="0.3">
      <c r="A120" s="5"/>
      <c r="B120" s="7"/>
      <c r="C120" s="7"/>
      <c r="D120" s="30"/>
      <c r="E120" s="1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1:42" ht="15.75" customHeight="1" x14ac:dyDescent="0.3">
      <c r="A121" s="5"/>
      <c r="B121" s="7"/>
      <c r="C121" s="7"/>
      <c r="D121" s="30"/>
      <c r="E121" s="1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1:42" ht="15.75" customHeight="1" x14ac:dyDescent="0.3">
      <c r="A122" s="5"/>
      <c r="B122" s="7"/>
      <c r="C122" s="7"/>
      <c r="D122" s="30"/>
      <c r="E122" s="1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1:42" ht="15.75" customHeight="1" x14ac:dyDescent="0.3">
      <c r="A123" s="5"/>
      <c r="B123" s="7"/>
      <c r="C123" s="7"/>
      <c r="D123" s="30"/>
      <c r="E123" s="1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1:42" ht="15.75" customHeight="1" x14ac:dyDescent="0.3">
      <c r="A124" s="5"/>
      <c r="B124" s="7"/>
      <c r="C124" s="7"/>
      <c r="D124" s="30"/>
      <c r="E124" s="1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1:42" ht="15.75" customHeight="1" x14ac:dyDescent="0.3">
      <c r="A125" s="5"/>
      <c r="B125" s="7"/>
      <c r="C125" s="7"/>
      <c r="D125" s="7"/>
      <c r="E125" s="1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spans="1:42" ht="15.75" customHeight="1" x14ac:dyDescent="0.3">
      <c r="A126" s="5"/>
      <c r="B126" s="7"/>
      <c r="C126" s="7"/>
      <c r="D126" s="7"/>
      <c r="E126" s="1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spans="1:42" ht="15.75" customHeight="1" x14ac:dyDescent="0.3">
      <c r="A127" s="5"/>
      <c r="B127" s="7"/>
      <c r="C127" s="7"/>
      <c r="D127" s="7"/>
      <c r="E127" s="1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spans="1:42" ht="15.75" customHeight="1" x14ac:dyDescent="0.3">
      <c r="A128" s="5"/>
      <c r="B128" s="7"/>
      <c r="C128" s="7"/>
      <c r="D128" s="7"/>
      <c r="E128" s="1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spans="1:42" ht="15.75" customHeight="1" x14ac:dyDescent="0.3">
      <c r="A129" s="5"/>
      <c r="B129" s="7"/>
      <c r="C129" s="7"/>
      <c r="D129" s="7"/>
      <c r="E129" s="1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</row>
    <row r="130" spans="1:42" ht="15.75" customHeight="1" x14ac:dyDescent="0.3">
      <c r="A130" s="5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</row>
    <row r="131" spans="1:42" ht="15.75" customHeight="1" x14ac:dyDescent="0.3">
      <c r="A131" s="5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</row>
    <row r="132" spans="1:42" ht="15.75" customHeight="1" x14ac:dyDescent="0.3">
      <c r="A132" s="5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</row>
    <row r="133" spans="1:42" ht="15.75" customHeight="1" x14ac:dyDescent="0.3">
      <c r="A133" s="5"/>
      <c r="B133" s="7"/>
      <c r="C133" s="7"/>
      <c r="D133" s="30"/>
      <c r="E133" s="30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</row>
    <row r="134" spans="1:42" ht="15.75" customHeight="1" x14ac:dyDescent="0.3">
      <c r="A134" s="5"/>
      <c r="B134" s="7"/>
      <c r="C134" s="7"/>
      <c r="D134" s="30"/>
      <c r="E134" s="1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</row>
    <row r="135" spans="1:42" ht="15.75" customHeight="1" x14ac:dyDescent="0.3">
      <c r="A135" s="5"/>
      <c r="B135" s="7"/>
      <c r="C135" s="7"/>
      <c r="D135" s="30"/>
      <c r="E135" s="1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</row>
    <row r="136" spans="1:42" ht="15.75" customHeight="1" x14ac:dyDescent="0.3">
      <c r="A136" s="5"/>
      <c r="B136" s="7"/>
      <c r="C136" s="7"/>
      <c r="D136" s="30"/>
      <c r="E136" s="1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</row>
    <row r="137" spans="1:42" ht="15.75" customHeight="1" x14ac:dyDescent="0.3">
      <c r="A137" s="5"/>
      <c r="B137" s="7"/>
      <c r="C137" s="7"/>
      <c r="D137" s="30"/>
      <c r="E137" s="1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</row>
    <row r="138" spans="1:42" ht="15.75" customHeight="1" x14ac:dyDescent="0.3">
      <c r="A138" s="5"/>
      <c r="B138" s="7"/>
      <c r="C138" s="7"/>
      <c r="D138" s="30"/>
      <c r="E138" s="1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</row>
    <row r="139" spans="1:42" ht="15.75" customHeight="1" x14ac:dyDescent="0.3">
      <c r="A139" s="5"/>
      <c r="B139" s="7"/>
      <c r="C139" s="7"/>
      <c r="D139" s="30"/>
      <c r="E139" s="1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</row>
    <row r="140" spans="1:42" ht="15.75" customHeight="1" x14ac:dyDescent="0.3">
      <c r="A140" s="5"/>
      <c r="B140" s="7"/>
      <c r="C140" s="7"/>
      <c r="D140" s="30"/>
      <c r="E140" s="1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</row>
    <row r="141" spans="1:42" ht="15.75" customHeight="1" x14ac:dyDescent="0.3">
      <c r="A141" s="5"/>
      <c r="B141" s="7"/>
      <c r="C141" s="7"/>
      <c r="D141" s="30"/>
      <c r="E141" s="1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</row>
    <row r="142" spans="1:42" ht="15.75" customHeight="1" x14ac:dyDescent="0.3">
      <c r="A142" s="5"/>
      <c r="B142" s="7"/>
      <c r="C142" s="7"/>
      <c r="D142" s="30"/>
      <c r="E142" s="1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</row>
    <row r="143" spans="1:42" ht="15.75" customHeight="1" x14ac:dyDescent="0.3">
      <c r="A143" s="5"/>
      <c r="B143" s="7"/>
      <c r="C143" s="7"/>
      <c r="D143" s="30"/>
      <c r="E143" s="1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</row>
    <row r="144" spans="1:42" ht="15.75" customHeight="1" x14ac:dyDescent="0.3">
      <c r="A144" s="5"/>
      <c r="B144" s="7"/>
      <c r="C144" s="7"/>
      <c r="D144" s="30"/>
      <c r="E144" s="1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</row>
    <row r="145" spans="1:42" ht="15.75" customHeight="1" x14ac:dyDescent="0.3">
      <c r="A145" s="5"/>
      <c r="B145" s="7"/>
      <c r="C145" s="7"/>
      <c r="D145" s="30"/>
      <c r="E145" s="1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</row>
    <row r="146" spans="1:42" ht="15.75" customHeight="1" x14ac:dyDescent="0.3">
      <c r="A146" s="5"/>
      <c r="B146" s="7"/>
      <c r="C146" s="7"/>
      <c r="D146" s="30"/>
      <c r="E146" s="1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</row>
    <row r="147" spans="1:42" ht="15.75" customHeight="1" x14ac:dyDescent="0.3">
      <c r="A147" s="5"/>
      <c r="B147" s="7"/>
      <c r="C147" s="7"/>
      <c r="D147" s="30"/>
      <c r="E147" s="1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</row>
    <row r="148" spans="1:42" ht="15.75" customHeight="1" x14ac:dyDescent="0.3">
      <c r="A148" s="5"/>
      <c r="B148" s="7"/>
      <c r="C148" s="7"/>
      <c r="D148" s="30"/>
      <c r="E148" s="1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</row>
    <row r="149" spans="1:42" ht="15.75" customHeight="1" x14ac:dyDescent="0.3">
      <c r="A149" s="5"/>
      <c r="B149" s="7"/>
      <c r="C149" s="7"/>
      <c r="D149" s="30"/>
      <c r="E149" s="1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</row>
    <row r="150" spans="1:42" ht="15.75" customHeight="1" x14ac:dyDescent="0.3">
      <c r="A150" s="5"/>
      <c r="B150" s="7"/>
      <c r="C150" s="7"/>
      <c r="D150" s="7"/>
      <c r="E150" s="1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</row>
    <row r="151" spans="1:42" ht="15.75" customHeight="1" x14ac:dyDescent="0.3">
      <c r="A151" s="5"/>
      <c r="B151" s="7"/>
      <c r="C151" s="7"/>
      <c r="D151" s="7"/>
      <c r="E151" s="1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</row>
    <row r="152" spans="1:42" ht="15.75" customHeight="1" x14ac:dyDescent="0.3">
      <c r="A152" s="5"/>
      <c r="B152" s="7"/>
      <c r="C152" s="7"/>
      <c r="D152" s="7"/>
      <c r="E152" s="1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</row>
    <row r="153" spans="1:42" ht="15.75" customHeight="1" x14ac:dyDescent="0.3">
      <c r="A153" s="5"/>
      <c r="B153" s="7"/>
      <c r="C153" s="7"/>
      <c r="D153" s="7"/>
      <c r="E153" s="1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</row>
    <row r="154" spans="1:42" ht="15.75" customHeight="1" x14ac:dyDescent="0.3">
      <c r="A154" s="5"/>
      <c r="B154" s="7"/>
      <c r="C154" s="7"/>
      <c r="D154" s="7"/>
      <c r="E154" s="1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</row>
    <row r="155" spans="1:42" ht="15.75" customHeight="1" x14ac:dyDescent="0.3">
      <c r="A155" s="5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</row>
    <row r="156" spans="1:42" ht="15.75" customHeight="1" x14ac:dyDescent="0.3">
      <c r="A156" s="5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</row>
    <row r="157" spans="1:42" ht="15.75" customHeight="1" x14ac:dyDescent="0.3">
      <c r="A157" s="5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</row>
    <row r="158" spans="1:42" ht="15.75" customHeight="1" x14ac:dyDescent="0.3">
      <c r="A158" s="5"/>
      <c r="B158" s="7"/>
      <c r="C158" s="7"/>
      <c r="D158" s="1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</row>
    <row r="159" spans="1:42" ht="15.75" customHeight="1" x14ac:dyDescent="0.3">
      <c r="A159" s="5"/>
      <c r="B159" s="7"/>
      <c r="C159" s="7"/>
      <c r="D159" s="1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</row>
    <row r="160" spans="1:42" ht="15.75" customHeight="1" x14ac:dyDescent="0.3">
      <c r="A160" s="5"/>
      <c r="B160" s="7"/>
      <c r="C160" s="7"/>
      <c r="D160" s="1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</row>
    <row r="161" spans="1:42" ht="15.75" customHeight="1" x14ac:dyDescent="0.3">
      <c r="A161" s="5"/>
      <c r="B161" s="7"/>
      <c r="C161" s="7"/>
      <c r="D161" s="1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</row>
    <row r="162" spans="1:42" ht="15.75" customHeight="1" x14ac:dyDescent="0.3">
      <c r="A162" s="5"/>
      <c r="B162" s="7"/>
      <c r="C162" s="7"/>
      <c r="D162" s="1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</row>
    <row r="163" spans="1:42" ht="15.75" customHeight="1" x14ac:dyDescent="0.3">
      <c r="A163" s="5"/>
      <c r="B163" s="7"/>
      <c r="C163" s="7"/>
      <c r="D163" s="1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</row>
    <row r="164" spans="1:42" ht="15.75" customHeight="1" x14ac:dyDescent="0.3">
      <c r="A164" s="5"/>
      <c r="B164" s="7"/>
      <c r="C164" s="7"/>
      <c r="D164" s="1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</row>
    <row r="165" spans="1:42" ht="15.75" customHeight="1" x14ac:dyDescent="0.3">
      <c r="A165" s="5"/>
      <c r="B165" s="7"/>
      <c r="C165" s="7"/>
      <c r="D165" s="1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</row>
    <row r="166" spans="1:42" ht="15.75" customHeight="1" x14ac:dyDescent="0.3">
      <c r="A166" s="5"/>
      <c r="B166" s="7"/>
      <c r="C166" s="7"/>
      <c r="D166" s="1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</row>
    <row r="167" spans="1:42" ht="15.75" customHeight="1" x14ac:dyDescent="0.3">
      <c r="A167" s="5"/>
      <c r="B167" s="7"/>
      <c r="C167" s="7"/>
      <c r="D167" s="1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</row>
    <row r="168" spans="1:42" ht="15.75" customHeight="1" x14ac:dyDescent="0.3">
      <c r="A168" s="5"/>
      <c r="B168" s="7"/>
      <c r="C168" s="7"/>
      <c r="D168" s="1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</row>
    <row r="169" spans="1:42" ht="15.75" customHeight="1" x14ac:dyDescent="0.3">
      <c r="A169" s="5"/>
      <c r="B169" s="7"/>
      <c r="C169" s="7"/>
      <c r="D169" s="1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</row>
    <row r="170" spans="1:42" ht="15.75" customHeight="1" x14ac:dyDescent="0.3">
      <c r="A170" s="5"/>
      <c r="B170" s="7"/>
      <c r="C170" s="7"/>
      <c r="D170" s="1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</row>
    <row r="171" spans="1:42" ht="15.75" customHeight="1" x14ac:dyDescent="0.3">
      <c r="A171" s="5"/>
      <c r="B171" s="7"/>
      <c r="C171" s="7"/>
      <c r="D171" s="1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</row>
    <row r="172" spans="1:42" ht="15.75" customHeight="1" x14ac:dyDescent="0.3">
      <c r="A172" s="5"/>
      <c r="B172" s="7"/>
      <c r="C172" s="7"/>
      <c r="D172" s="1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</row>
    <row r="173" spans="1:42" ht="15.75" customHeight="1" x14ac:dyDescent="0.3">
      <c r="A173" s="5"/>
      <c r="B173" s="7"/>
      <c r="C173" s="7"/>
      <c r="D173" s="1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</row>
    <row r="174" spans="1:42" ht="15.75" customHeight="1" x14ac:dyDescent="0.3">
      <c r="A174" s="5"/>
      <c r="B174" s="7"/>
      <c r="C174" s="7"/>
      <c r="D174" s="1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</row>
    <row r="175" spans="1:42" ht="15.75" customHeight="1" x14ac:dyDescent="0.3">
      <c r="A175" s="5"/>
      <c r="B175" s="7"/>
      <c r="C175" s="7"/>
      <c r="D175" s="1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</row>
    <row r="176" spans="1:42" ht="15.75" customHeight="1" x14ac:dyDescent="0.3">
      <c r="A176" s="5"/>
      <c r="B176" s="7"/>
      <c r="C176" s="7"/>
      <c r="D176" s="1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</row>
    <row r="177" spans="1:42" ht="15.75" customHeight="1" x14ac:dyDescent="0.3">
      <c r="A177" s="5"/>
      <c r="B177" s="7"/>
      <c r="C177" s="7"/>
      <c r="D177" s="1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</row>
    <row r="178" spans="1:42" ht="15.75" customHeight="1" x14ac:dyDescent="0.3">
      <c r="A178" s="5"/>
      <c r="B178" s="7"/>
      <c r="C178" s="7"/>
      <c r="D178" s="1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</row>
    <row r="179" spans="1:42" ht="15.75" customHeight="1" x14ac:dyDescent="0.3">
      <c r="A179" s="5"/>
      <c r="B179" s="7"/>
      <c r="C179" s="7"/>
      <c r="D179" s="1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</row>
    <row r="180" spans="1:42" ht="15.75" customHeight="1" x14ac:dyDescent="0.3">
      <c r="A180" s="5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</row>
    <row r="181" spans="1:42" ht="15.75" customHeight="1" x14ac:dyDescent="0.3">
      <c r="A181" s="5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</row>
    <row r="182" spans="1:42" ht="15.75" customHeight="1" x14ac:dyDescent="0.3">
      <c r="A182" s="5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</row>
    <row r="183" spans="1:42" ht="15.75" customHeight="1" x14ac:dyDescent="0.3">
      <c r="A183" s="5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</row>
    <row r="184" spans="1:42" ht="15.75" customHeight="1" x14ac:dyDescent="0.3">
      <c r="A184" s="5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</row>
    <row r="185" spans="1:42" ht="15.75" customHeight="1" x14ac:dyDescent="0.3">
      <c r="A185" s="5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</row>
    <row r="186" spans="1:42" ht="15.75" customHeight="1" x14ac:dyDescent="0.3">
      <c r="A186" s="5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</row>
    <row r="187" spans="1:42" ht="15.75" customHeight="1" x14ac:dyDescent="0.3">
      <c r="A187" s="5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</row>
    <row r="188" spans="1:42" ht="15.75" customHeight="1" x14ac:dyDescent="0.3">
      <c r="A188" s="5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</row>
    <row r="189" spans="1:42" ht="15.75" customHeight="1" x14ac:dyDescent="0.3">
      <c r="A189" s="5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</row>
    <row r="190" spans="1:42" ht="15.75" customHeight="1" x14ac:dyDescent="0.3">
      <c r="A190" s="5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</row>
    <row r="191" spans="1:42" ht="15.75" customHeight="1" x14ac:dyDescent="0.3">
      <c r="A191" s="5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</row>
    <row r="192" spans="1:42" ht="15.75" customHeight="1" x14ac:dyDescent="0.3">
      <c r="A192" s="5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</row>
    <row r="193" spans="1:42" ht="15.75" customHeight="1" x14ac:dyDescent="0.3">
      <c r="A193" s="5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</row>
    <row r="194" spans="1:42" ht="15.75" customHeight="1" x14ac:dyDescent="0.3">
      <c r="A194" s="5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</row>
    <row r="195" spans="1:42" ht="15.75" customHeight="1" x14ac:dyDescent="0.3">
      <c r="A195" s="5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</row>
    <row r="196" spans="1:42" ht="15.75" customHeight="1" x14ac:dyDescent="0.3">
      <c r="A196" s="5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</row>
    <row r="197" spans="1:42" ht="15.75" customHeight="1" x14ac:dyDescent="0.3">
      <c r="A197" s="5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</row>
    <row r="198" spans="1:42" ht="15.75" customHeight="1" x14ac:dyDescent="0.3">
      <c r="A198" s="5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</row>
    <row r="199" spans="1:42" ht="15.75" customHeight="1" x14ac:dyDescent="0.3">
      <c r="A199" s="5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</row>
    <row r="200" spans="1:42" ht="15.75" customHeight="1" x14ac:dyDescent="0.3">
      <c r="A200" s="5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</row>
    <row r="201" spans="1:42" ht="15.75" customHeight="1" x14ac:dyDescent="0.3">
      <c r="A201" s="5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</row>
    <row r="202" spans="1:42" ht="15.75" customHeight="1" x14ac:dyDescent="0.3">
      <c r="A202" s="5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</row>
    <row r="203" spans="1:42" ht="15.75" customHeight="1" x14ac:dyDescent="0.3">
      <c r="A203" s="5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</row>
    <row r="204" spans="1:42" ht="15.75" customHeight="1" x14ac:dyDescent="0.3">
      <c r="A204" s="5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</row>
    <row r="205" spans="1:42" ht="15.75" customHeight="1" x14ac:dyDescent="0.3">
      <c r="A205" s="5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</row>
    <row r="206" spans="1:42" ht="15.75" customHeight="1" x14ac:dyDescent="0.3">
      <c r="A206" s="5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</row>
    <row r="207" spans="1:42" ht="15.75" customHeight="1" x14ac:dyDescent="0.3">
      <c r="A207" s="5"/>
      <c r="B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</row>
    <row r="208" spans="1:42" ht="15.75" customHeight="1" x14ac:dyDescent="0.3">
      <c r="A208" s="5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</row>
    <row r="209" spans="1:42" ht="15.75" customHeight="1" x14ac:dyDescent="0.3">
      <c r="A209" s="5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</row>
    <row r="210" spans="1:42" ht="15.75" customHeight="1" x14ac:dyDescent="0.3">
      <c r="A210" s="5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</row>
    <row r="211" spans="1:42" ht="15.75" customHeight="1" x14ac:dyDescent="0.3">
      <c r="A211" s="5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</row>
    <row r="212" spans="1:42" ht="15.75" customHeight="1" x14ac:dyDescent="0.3">
      <c r="A212" s="5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</row>
    <row r="213" spans="1:42" ht="15.75" customHeight="1" x14ac:dyDescent="0.3">
      <c r="A213" s="5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</row>
    <row r="214" spans="1:42" ht="15.75" customHeight="1" x14ac:dyDescent="0.3">
      <c r="A214" s="5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</row>
    <row r="215" spans="1:42" ht="15.75" customHeight="1" x14ac:dyDescent="0.3">
      <c r="A215" s="5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</row>
    <row r="216" spans="1:42" ht="15.75" customHeight="1" x14ac:dyDescent="0.3">
      <c r="A216" s="5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</row>
    <row r="217" spans="1:42" ht="15.75" customHeight="1" x14ac:dyDescent="0.3">
      <c r="A217" s="5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</row>
    <row r="218" spans="1:42" ht="15.75" customHeight="1" x14ac:dyDescent="0.3">
      <c r="A218" s="5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</row>
    <row r="219" spans="1:42" ht="15.75" customHeight="1" x14ac:dyDescent="0.3">
      <c r="A219" s="5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</row>
    <row r="220" spans="1:42" ht="15.75" customHeight="1" x14ac:dyDescent="0.3">
      <c r="A220" s="5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</row>
    <row r="221" spans="1:42" ht="15.75" customHeight="1" x14ac:dyDescent="0.3">
      <c r="A221" s="5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</row>
    <row r="222" spans="1:42" ht="15.75" customHeight="1" x14ac:dyDescent="0.3">
      <c r="A222" s="5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</row>
    <row r="223" spans="1:42" ht="15.75" customHeight="1" x14ac:dyDescent="0.3">
      <c r="A223" s="5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</row>
    <row r="224" spans="1:42" ht="15.75" customHeight="1" x14ac:dyDescent="0.3">
      <c r="A224" s="5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</row>
    <row r="225" spans="1:42" ht="15.75" customHeight="1" x14ac:dyDescent="0.3">
      <c r="A225" s="5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</row>
    <row r="226" spans="1:42" ht="15.75" customHeight="1" x14ac:dyDescent="0.3">
      <c r="A226" s="5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</row>
    <row r="227" spans="1:42" ht="15.75" customHeight="1" x14ac:dyDescent="0.3">
      <c r="A227" s="5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</row>
    <row r="228" spans="1:42" ht="15.75" customHeight="1" x14ac:dyDescent="0.3">
      <c r="A228" s="5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</row>
    <row r="229" spans="1:42" ht="15.75" customHeight="1" x14ac:dyDescent="0.3">
      <c r="A229" s="5"/>
      <c r="B229" s="7"/>
      <c r="C229" s="7"/>
      <c r="D229" s="30"/>
      <c r="E229" s="30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</row>
    <row r="230" spans="1:42" ht="15.75" customHeight="1" x14ac:dyDescent="0.3">
      <c r="A230" s="5"/>
      <c r="B230" s="7"/>
      <c r="C230" s="7"/>
      <c r="D230" s="30"/>
      <c r="E230" s="30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</row>
    <row r="231" spans="1:42" ht="15.75" customHeight="1" x14ac:dyDescent="0.3">
      <c r="A231" s="5"/>
      <c r="B231" s="7"/>
      <c r="C231" s="7"/>
      <c r="D231" s="30"/>
      <c r="E231" s="30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</row>
    <row r="232" spans="1:42" ht="15.75" customHeight="1" x14ac:dyDescent="0.3">
      <c r="A232" s="5"/>
      <c r="B232" s="7"/>
      <c r="C232" s="7"/>
      <c r="D232" s="30"/>
      <c r="E232" s="30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</row>
    <row r="233" spans="1:42" ht="15.75" customHeight="1" x14ac:dyDescent="0.3">
      <c r="A233" s="5"/>
      <c r="B233" s="7"/>
      <c r="C233" s="7"/>
      <c r="D233" s="30"/>
      <c r="E233" s="30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</row>
    <row r="234" spans="1:42" ht="15.75" customHeight="1" x14ac:dyDescent="0.3">
      <c r="A234" s="5"/>
      <c r="B234" s="7"/>
      <c r="C234" s="7"/>
      <c r="D234" s="30"/>
      <c r="E234" s="30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</row>
    <row r="235" spans="1:42" ht="15.75" customHeight="1" x14ac:dyDescent="0.3">
      <c r="A235" s="5"/>
      <c r="B235" s="7"/>
      <c r="C235" s="7"/>
      <c r="D235" s="30"/>
      <c r="E235" s="30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</row>
    <row r="236" spans="1:42" ht="15.75" customHeight="1" x14ac:dyDescent="0.3">
      <c r="A236" s="5"/>
      <c r="B236" s="7"/>
      <c r="C236" s="7"/>
      <c r="D236" s="30"/>
      <c r="E236" s="30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</row>
    <row r="237" spans="1:42" ht="15.75" customHeight="1" x14ac:dyDescent="0.3">
      <c r="A237" s="5"/>
      <c r="B237" s="7"/>
      <c r="C237" s="7"/>
      <c r="D237" s="30"/>
      <c r="E237" s="30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</row>
    <row r="238" spans="1:42" ht="15.75" customHeight="1" x14ac:dyDescent="0.3">
      <c r="A238" s="5"/>
      <c r="B238" s="7"/>
      <c r="C238" s="7"/>
      <c r="D238" s="30"/>
      <c r="E238" s="30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</row>
    <row r="239" spans="1:42" ht="15.75" customHeight="1" x14ac:dyDescent="0.3">
      <c r="A239" s="5"/>
      <c r="B239" s="7"/>
      <c r="C239" s="7"/>
      <c r="D239" s="30"/>
      <c r="E239" s="30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</row>
    <row r="240" spans="1:42" ht="15.75" customHeight="1" x14ac:dyDescent="0.3">
      <c r="A240" s="5"/>
      <c r="B240" s="7"/>
      <c r="C240" s="7"/>
      <c r="D240" s="30"/>
      <c r="E240" s="30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</row>
    <row r="241" spans="1:42" ht="15.75" customHeight="1" x14ac:dyDescent="0.3">
      <c r="A241" s="5"/>
      <c r="B241" s="7"/>
      <c r="C241" s="7"/>
      <c r="D241" s="30"/>
      <c r="E241" s="30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</row>
    <row r="242" spans="1:42" ht="15.75" customHeight="1" x14ac:dyDescent="0.3">
      <c r="A242" s="5"/>
      <c r="B242" s="7"/>
      <c r="C242" s="7"/>
      <c r="D242" s="30"/>
      <c r="E242" s="30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</row>
    <row r="243" spans="1:42" ht="15.75" customHeight="1" x14ac:dyDescent="0.3">
      <c r="A243" s="5"/>
      <c r="B243" s="7"/>
      <c r="C243" s="7"/>
      <c r="D243" s="30"/>
      <c r="E243" s="30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</row>
    <row r="244" spans="1:42" ht="15.75" customHeight="1" x14ac:dyDescent="0.3">
      <c r="A244" s="5"/>
      <c r="B244" s="7"/>
      <c r="C244" s="7"/>
      <c r="D244" s="30"/>
      <c r="E244" s="30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</row>
    <row r="245" spans="1:42" ht="15.75" customHeight="1" x14ac:dyDescent="0.3">
      <c r="A245" s="5"/>
      <c r="B245" s="7"/>
      <c r="C245" s="7"/>
      <c r="D245" s="30"/>
      <c r="E245" s="30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</row>
    <row r="246" spans="1:42" ht="15.75" customHeight="1" x14ac:dyDescent="0.3">
      <c r="A246" s="5"/>
      <c r="B246" s="7"/>
      <c r="C246" s="7"/>
      <c r="D246" s="30"/>
      <c r="E246" s="30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</row>
    <row r="247" spans="1:42" ht="15.75" customHeight="1" x14ac:dyDescent="0.3">
      <c r="A247" s="5"/>
      <c r="B247" s="7"/>
      <c r="C247" s="7"/>
      <c r="D247" s="30"/>
      <c r="E247" s="30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</row>
    <row r="248" spans="1:42" ht="15.75" customHeight="1" x14ac:dyDescent="0.3">
      <c r="A248" s="5"/>
      <c r="B248" s="7"/>
      <c r="C248" s="7"/>
      <c r="D248" s="30"/>
      <c r="E248" s="30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</row>
    <row r="249" spans="1:42" ht="15.75" customHeight="1" x14ac:dyDescent="0.3">
      <c r="A249" s="5"/>
      <c r="B249" s="7"/>
      <c r="C249" s="7"/>
      <c r="D249" s="30"/>
      <c r="E249" s="30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</row>
    <row r="250" spans="1:42" ht="15.75" customHeight="1" x14ac:dyDescent="0.3">
      <c r="A250" s="5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</row>
    <row r="251" spans="1:42" ht="15.75" customHeight="1" x14ac:dyDescent="0.3">
      <c r="A251" s="5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</row>
    <row r="252" spans="1:42" ht="15.75" customHeight="1" x14ac:dyDescent="0.3">
      <c r="A252" s="5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</row>
    <row r="253" spans="1:42" ht="15.75" customHeight="1" x14ac:dyDescent="0.3">
      <c r="A253" s="5"/>
      <c r="B253" s="7"/>
      <c r="C253" s="7"/>
      <c r="D253" s="17"/>
      <c r="E253" s="17"/>
      <c r="F253" s="17"/>
      <c r="G253" s="17"/>
      <c r="H253" s="1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</row>
    <row r="254" spans="1:42" ht="15.75" customHeight="1" x14ac:dyDescent="0.3">
      <c r="A254" s="5"/>
      <c r="B254" s="7"/>
      <c r="C254" s="7"/>
      <c r="D254" s="17"/>
      <c r="E254" s="17"/>
      <c r="F254" s="17"/>
      <c r="G254" s="17"/>
      <c r="H254" s="1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</row>
    <row r="255" spans="1:42" ht="15.75" customHeight="1" x14ac:dyDescent="0.3">
      <c r="A255" s="5"/>
      <c r="B255" s="7"/>
      <c r="C255" s="7"/>
      <c r="D255" s="17"/>
      <c r="E255" s="17"/>
      <c r="F255" s="17"/>
      <c r="G255" s="17"/>
      <c r="H255" s="1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</row>
    <row r="256" spans="1:42" ht="15.75" customHeight="1" x14ac:dyDescent="0.3">
      <c r="A256" s="5"/>
      <c r="B256" s="7"/>
      <c r="C256" s="7"/>
      <c r="D256" s="17"/>
      <c r="E256" s="17"/>
      <c r="F256" s="17"/>
      <c r="G256" s="17"/>
      <c r="H256" s="1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</row>
    <row r="257" spans="1:42" ht="15.75" customHeight="1" x14ac:dyDescent="0.3">
      <c r="A257" s="5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</row>
    <row r="258" spans="1:42" ht="15.75" customHeight="1" x14ac:dyDescent="0.3">
      <c r="A258" s="5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</row>
    <row r="259" spans="1:42" ht="15.75" customHeight="1" x14ac:dyDescent="0.3">
      <c r="A259" s="5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</row>
    <row r="260" spans="1:42" ht="15.75" customHeight="1" x14ac:dyDescent="0.3">
      <c r="A260" s="5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</row>
    <row r="261" spans="1:42" ht="15.75" customHeight="1" x14ac:dyDescent="0.3">
      <c r="A261" s="5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</row>
    <row r="262" spans="1:42" ht="15.75" customHeight="1" x14ac:dyDescent="0.3">
      <c r="A262" s="5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</row>
    <row r="263" spans="1:42" ht="15.75" customHeight="1" x14ac:dyDescent="0.3">
      <c r="A263" s="5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</row>
    <row r="264" spans="1:42" ht="15.75" customHeight="1" x14ac:dyDescent="0.3">
      <c r="A264" s="5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</row>
    <row r="265" spans="1:42" ht="15.75" customHeight="1" x14ac:dyDescent="0.3">
      <c r="A265" s="5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</row>
    <row r="266" spans="1:42" ht="15.75" customHeight="1" x14ac:dyDescent="0.3">
      <c r="A266" s="5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</row>
    <row r="267" spans="1:42" ht="15.75" customHeight="1" x14ac:dyDescent="0.3">
      <c r="A267" s="5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</row>
    <row r="268" spans="1:42" ht="15.75" customHeight="1" x14ac:dyDescent="0.3">
      <c r="A268" s="5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</row>
    <row r="269" spans="1:42" ht="15.75" customHeight="1" x14ac:dyDescent="0.3">
      <c r="A269" s="5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</row>
    <row r="270" spans="1:42" ht="15.75" customHeight="1" x14ac:dyDescent="0.3">
      <c r="A270" s="5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</row>
    <row r="271" spans="1:42" ht="15.75" customHeight="1" x14ac:dyDescent="0.3">
      <c r="A271" s="5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</row>
    <row r="272" spans="1:42" ht="15.75" customHeight="1" x14ac:dyDescent="0.3">
      <c r="A272" s="5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</row>
    <row r="273" spans="1:42" ht="15.75" customHeight="1" x14ac:dyDescent="0.3">
      <c r="A273" s="5"/>
      <c r="B273" s="7"/>
      <c r="C273" s="7"/>
      <c r="D273" s="7"/>
      <c r="E273" s="7"/>
      <c r="F273" s="17"/>
      <c r="G273" s="7"/>
      <c r="H273" s="7"/>
      <c r="I273" s="7"/>
      <c r="J273" s="7"/>
      <c r="K273" s="17"/>
      <c r="L273" s="17"/>
      <c r="M273" s="7"/>
      <c r="N273" s="7"/>
      <c r="O273" s="7"/>
      <c r="P273" s="7"/>
      <c r="Q273" s="17"/>
      <c r="R273" s="17"/>
      <c r="S273" s="7"/>
      <c r="T273" s="7"/>
      <c r="U273" s="7"/>
      <c r="V273" s="7"/>
      <c r="W273" s="7"/>
      <c r="X273" s="7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</row>
    <row r="274" spans="1:42" ht="15.75" customHeight="1" x14ac:dyDescent="0.3">
      <c r="A274" s="5"/>
      <c r="B274" s="7"/>
      <c r="C274" s="7"/>
      <c r="D274" s="7"/>
      <c r="E274" s="7"/>
      <c r="F274" s="17"/>
      <c r="G274" s="7"/>
      <c r="H274" s="7"/>
      <c r="I274" s="7"/>
      <c r="J274" s="7"/>
      <c r="K274" s="17"/>
      <c r="L274" s="17"/>
      <c r="M274" s="7"/>
      <c r="N274" s="7"/>
      <c r="O274" s="7"/>
      <c r="P274" s="7"/>
      <c r="Q274" s="17"/>
      <c r="R274" s="17"/>
      <c r="S274" s="7"/>
      <c r="T274" s="7"/>
      <c r="U274" s="7"/>
      <c r="V274" s="7"/>
      <c r="W274" s="7"/>
      <c r="X274" s="7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</row>
    <row r="275" spans="1:42" ht="15.75" customHeight="1" x14ac:dyDescent="0.3">
      <c r="A275" s="5"/>
      <c r="B275" s="7"/>
      <c r="C275" s="7"/>
      <c r="D275" s="7"/>
      <c r="E275" s="7"/>
      <c r="F275" s="17"/>
      <c r="G275" s="7"/>
      <c r="H275" s="7"/>
      <c r="I275" s="7"/>
      <c r="J275" s="7"/>
      <c r="K275" s="17"/>
      <c r="L275" s="17"/>
      <c r="M275" s="7"/>
      <c r="N275" s="7"/>
      <c r="O275" s="7"/>
      <c r="P275" s="7"/>
      <c r="Q275" s="17"/>
      <c r="R275" s="17"/>
      <c r="S275" s="7"/>
      <c r="T275" s="7"/>
      <c r="U275" s="7"/>
      <c r="V275" s="7"/>
      <c r="W275" s="7"/>
      <c r="X275" s="7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</row>
    <row r="276" spans="1:42" ht="15.75" customHeight="1" x14ac:dyDescent="0.3">
      <c r="A276" s="5"/>
      <c r="B276" s="7"/>
      <c r="C276" s="7"/>
      <c r="D276" s="7"/>
      <c r="E276" s="7"/>
      <c r="F276" s="17"/>
      <c r="G276" s="7"/>
      <c r="H276" s="7"/>
      <c r="I276" s="7"/>
      <c r="J276" s="7"/>
      <c r="K276" s="17"/>
      <c r="L276" s="17"/>
      <c r="M276" s="7"/>
      <c r="N276" s="97"/>
      <c r="O276" s="30"/>
      <c r="P276" s="30"/>
      <c r="Q276" s="17"/>
      <c r="R276" s="17"/>
      <c r="S276" s="7"/>
      <c r="T276" s="7"/>
      <c r="U276" s="7"/>
      <c r="V276" s="7"/>
      <c r="W276" s="7"/>
      <c r="X276" s="7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</row>
    <row r="277" spans="1:42" ht="15.75" customHeight="1" x14ac:dyDescent="0.3">
      <c r="A277" s="5"/>
      <c r="B277" s="7"/>
      <c r="C277" s="7"/>
      <c r="D277" s="7"/>
      <c r="E277" s="7"/>
      <c r="F277" s="17"/>
      <c r="G277" s="7"/>
      <c r="H277" s="7"/>
      <c r="I277" s="7"/>
      <c r="J277" s="7"/>
      <c r="K277" s="17"/>
      <c r="L277" s="17"/>
      <c r="M277" s="7"/>
      <c r="N277" s="7"/>
      <c r="O277" s="7"/>
      <c r="P277" s="7"/>
      <c r="Q277" s="17"/>
      <c r="R277" s="17"/>
      <c r="S277" s="7"/>
      <c r="T277" s="7"/>
      <c r="U277" s="7"/>
      <c r="V277" s="7"/>
      <c r="W277" s="7"/>
      <c r="X277" s="7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</row>
    <row r="278" spans="1:42" ht="15.75" customHeight="1" x14ac:dyDescent="0.3">
      <c r="A278" s="5"/>
      <c r="B278" s="7"/>
      <c r="C278" s="97"/>
      <c r="D278" s="30"/>
      <c r="E278" s="30"/>
      <c r="F278" s="17"/>
      <c r="G278" s="7"/>
      <c r="H278" s="97"/>
      <c r="I278" s="7"/>
      <c r="J278" s="7"/>
      <c r="K278" s="17"/>
      <c r="L278" s="17"/>
      <c r="M278" s="7"/>
      <c r="N278" s="97"/>
      <c r="O278" s="30"/>
      <c r="P278" s="30"/>
      <c r="Q278" s="17"/>
      <c r="R278" s="17"/>
      <c r="S278" s="7"/>
      <c r="T278" s="7"/>
      <c r="U278" s="7"/>
      <c r="V278" s="7"/>
      <c r="W278" s="7"/>
      <c r="X278" s="7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</row>
    <row r="279" spans="1:42" ht="15.75" customHeight="1" x14ac:dyDescent="0.3">
      <c r="A279" s="5"/>
      <c r="B279" s="7"/>
      <c r="C279" s="97"/>
      <c r="D279" s="90"/>
      <c r="E279" s="90"/>
      <c r="F279" s="17"/>
      <c r="G279" s="7"/>
      <c r="H279" s="7"/>
      <c r="I279" s="7"/>
      <c r="J279" s="7"/>
      <c r="K279" s="17"/>
      <c r="L279" s="17"/>
      <c r="M279" s="7"/>
      <c r="N279" s="7"/>
      <c r="O279" s="16"/>
      <c r="P279" s="16"/>
      <c r="Q279" s="7"/>
      <c r="R279" s="7"/>
      <c r="S279" s="7"/>
      <c r="T279" s="7"/>
      <c r="U279" s="7"/>
      <c r="V279" s="7"/>
      <c r="W279" s="7"/>
      <c r="X279" s="7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</row>
    <row r="280" spans="1:42" ht="15.75" customHeight="1" x14ac:dyDescent="0.3">
      <c r="A280" s="5"/>
      <c r="B280" s="7"/>
      <c r="C280" s="7"/>
      <c r="D280" s="16"/>
      <c r="E280" s="16"/>
      <c r="F280" s="17"/>
      <c r="G280" s="7"/>
      <c r="H280" s="7"/>
      <c r="I280" s="7"/>
      <c r="J280" s="7"/>
      <c r="K280" s="17"/>
      <c r="L280" s="17"/>
      <c r="M280" s="7"/>
      <c r="N280" s="7"/>
      <c r="O280" s="7"/>
      <c r="P280" s="7"/>
      <c r="Q280" s="17"/>
      <c r="R280" s="17"/>
      <c r="S280" s="7"/>
      <c r="T280" s="7"/>
      <c r="U280" s="7"/>
      <c r="V280" s="7"/>
      <c r="W280" s="7"/>
      <c r="X280" s="7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</row>
    <row r="281" spans="1:42" ht="15.75" customHeight="1" x14ac:dyDescent="0.3">
      <c r="A281" s="5"/>
      <c r="B281" s="7"/>
      <c r="C281" s="7"/>
      <c r="D281" s="7"/>
      <c r="E281" s="7"/>
      <c r="F281" s="7"/>
      <c r="G281" s="7"/>
      <c r="H281" s="7"/>
      <c r="I281" s="7"/>
      <c r="J281" s="7"/>
      <c r="K281" s="17"/>
      <c r="L281" s="1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</row>
    <row r="282" spans="1:42" ht="15.75" customHeight="1" x14ac:dyDescent="0.3">
      <c r="A282" s="5"/>
      <c r="B282" s="7"/>
      <c r="C282" s="7"/>
      <c r="D282" s="7"/>
      <c r="E282" s="7"/>
      <c r="F282" s="7"/>
      <c r="G282" s="7"/>
      <c r="H282" s="7"/>
      <c r="I282" s="30"/>
      <c r="J282" s="30"/>
      <c r="K282" s="17"/>
      <c r="L282" s="1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</row>
    <row r="283" spans="1:42" ht="15.75" customHeight="1" x14ac:dyDescent="0.3">
      <c r="A283" s="5"/>
      <c r="B283" s="7"/>
      <c r="C283" s="7"/>
      <c r="D283" s="7"/>
      <c r="E283" s="7"/>
      <c r="F283" s="7"/>
      <c r="G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</row>
    <row r="284" spans="1:42" ht="15.75" customHeight="1" x14ac:dyDescent="0.3">
      <c r="A284" s="5"/>
      <c r="B284" s="7"/>
      <c r="C284" s="7"/>
      <c r="D284" s="7"/>
      <c r="E284" s="7"/>
      <c r="F284" s="7"/>
      <c r="G284" s="7"/>
      <c r="H284" s="7"/>
      <c r="K284" s="17"/>
      <c r="L284" s="1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</row>
    <row r="285" spans="1:42" ht="15.75" customHeight="1" x14ac:dyDescent="0.3">
      <c r="A285" s="5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</row>
    <row r="286" spans="1:42" ht="15.75" customHeight="1" x14ac:dyDescent="0.3">
      <c r="A286" s="5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</row>
    <row r="287" spans="1:42" ht="15.75" customHeight="1" x14ac:dyDescent="0.3">
      <c r="A287" s="5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</row>
    <row r="288" spans="1:42" ht="15.75" customHeight="1" x14ac:dyDescent="0.3">
      <c r="A288" s="5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</row>
    <row r="289" spans="1:42" ht="15.75" customHeight="1" x14ac:dyDescent="0.3">
      <c r="A289" s="5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</row>
    <row r="290" spans="1:42" ht="15.75" customHeight="1" x14ac:dyDescent="0.3">
      <c r="A290" s="5"/>
      <c r="C290" s="7"/>
      <c r="D290" s="17"/>
      <c r="E290" s="17"/>
      <c r="F290" s="17"/>
      <c r="G290" s="17"/>
      <c r="H290" s="17"/>
      <c r="I290" s="7"/>
      <c r="J290" s="30"/>
      <c r="K290" s="30"/>
      <c r="L290" s="30"/>
      <c r="M290" s="30"/>
      <c r="N290" s="30"/>
      <c r="O290" s="30"/>
      <c r="P290" s="7"/>
      <c r="Q290" s="7"/>
      <c r="R290" s="7"/>
      <c r="S290" s="7"/>
      <c r="T290" s="7"/>
      <c r="U290" s="7"/>
      <c r="V290" s="7"/>
      <c r="W290" s="7"/>
      <c r="X290" s="7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</row>
    <row r="291" spans="1:42" ht="15.75" customHeight="1" x14ac:dyDescent="0.3">
      <c r="A291" s="5"/>
      <c r="C291" s="7"/>
      <c r="D291" s="17"/>
      <c r="E291" s="17"/>
      <c r="F291" s="17"/>
      <c r="G291" s="17"/>
      <c r="H291" s="17"/>
      <c r="I291" s="7"/>
      <c r="J291" s="7"/>
      <c r="K291" s="17"/>
      <c r="L291" s="17"/>
      <c r="M291" s="17"/>
      <c r="P291" s="7"/>
      <c r="Q291" s="7"/>
      <c r="R291" s="7"/>
      <c r="S291" s="7"/>
      <c r="T291" s="7"/>
      <c r="U291" s="7"/>
      <c r="V291" s="7"/>
      <c r="W291" s="7"/>
      <c r="X291" s="7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</row>
    <row r="292" spans="1:42" ht="15.75" customHeight="1" x14ac:dyDescent="0.3">
      <c r="A292" s="5"/>
      <c r="C292" s="7"/>
      <c r="D292" s="17"/>
      <c r="E292" s="17"/>
      <c r="F292" s="90"/>
      <c r="G292" s="90"/>
      <c r="H292" s="90"/>
      <c r="I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</row>
    <row r="293" spans="1:42" ht="15.75" customHeight="1" x14ac:dyDescent="0.3">
      <c r="A293" s="5"/>
      <c r="B293" s="7"/>
      <c r="C293" s="7"/>
      <c r="D293" s="7"/>
      <c r="E293" s="7"/>
      <c r="F293" s="7"/>
      <c r="G293" s="7"/>
      <c r="H293" s="7"/>
      <c r="I293" s="7"/>
      <c r="L293" s="30"/>
      <c r="M293" s="30"/>
      <c r="N293" s="30"/>
      <c r="O293" s="97"/>
      <c r="P293" s="7"/>
      <c r="Q293" s="7"/>
      <c r="R293" s="7"/>
      <c r="S293" s="7"/>
      <c r="T293" s="7"/>
      <c r="U293" s="7"/>
      <c r="V293" s="7"/>
      <c r="W293" s="7"/>
      <c r="X293" s="7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</row>
    <row r="294" spans="1:42" ht="15.75" customHeight="1" x14ac:dyDescent="0.3">
      <c r="A294" s="5"/>
      <c r="B294" s="7"/>
      <c r="C294" s="7"/>
      <c r="D294" s="7"/>
      <c r="E294" s="7"/>
      <c r="F294" s="7"/>
      <c r="G294" s="7"/>
      <c r="H294" s="7"/>
      <c r="I294" s="7"/>
      <c r="J294" s="30"/>
      <c r="K294" s="30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</row>
    <row r="295" spans="1:42" ht="15.75" customHeight="1" x14ac:dyDescent="0.3">
      <c r="A295" s="5"/>
      <c r="B295" s="7"/>
      <c r="C295" s="7"/>
      <c r="D295" s="7"/>
      <c r="E295" s="7"/>
      <c r="F295" s="7"/>
      <c r="G295" s="7"/>
      <c r="H295" s="7"/>
      <c r="I295" s="7"/>
      <c r="L295" s="30"/>
      <c r="M295" s="30"/>
      <c r="N295" s="30"/>
      <c r="P295" s="7"/>
      <c r="Q295" s="7"/>
      <c r="R295" s="7"/>
      <c r="S295" s="7"/>
      <c r="T295" s="7"/>
      <c r="U295" s="7"/>
      <c r="V295" s="7"/>
      <c r="W295" s="7"/>
      <c r="X295" s="7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</row>
    <row r="296" spans="1:42" ht="15.75" customHeight="1" x14ac:dyDescent="0.3">
      <c r="A296" s="5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</row>
    <row r="297" spans="1:42" ht="15.75" customHeight="1" x14ac:dyDescent="0.3">
      <c r="A297" s="5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</row>
    <row r="298" spans="1:42" ht="15.75" customHeight="1" x14ac:dyDescent="0.3">
      <c r="A298" s="5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</row>
    <row r="299" spans="1:42" ht="15.75" customHeight="1" x14ac:dyDescent="0.3">
      <c r="A299" s="5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</row>
    <row r="300" spans="1:42" ht="15.75" customHeight="1" x14ac:dyDescent="0.3">
      <c r="A300" s="5"/>
      <c r="B300" s="7"/>
      <c r="C300" s="7"/>
      <c r="D300" s="7"/>
      <c r="E300" s="7"/>
      <c r="F300" s="7"/>
      <c r="G300" s="7"/>
      <c r="H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</row>
    <row r="301" spans="1:42" ht="15.75" customHeight="1" x14ac:dyDescent="0.3">
      <c r="A301" s="5"/>
      <c r="B301" s="7"/>
      <c r="C301" s="7"/>
      <c r="D301" s="17"/>
      <c r="E301" s="17"/>
      <c r="F301" s="17"/>
      <c r="G301" s="17"/>
      <c r="H301" s="1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</row>
    <row r="302" spans="1:42" ht="15.75" customHeight="1" x14ac:dyDescent="0.3">
      <c r="A302" s="5"/>
      <c r="B302" s="7"/>
      <c r="C302" s="7"/>
      <c r="D302" s="17"/>
      <c r="E302" s="17"/>
      <c r="F302" s="17"/>
      <c r="G302" s="17"/>
      <c r="H302" s="90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</row>
    <row r="303" spans="1:42" ht="15.75" customHeight="1" x14ac:dyDescent="0.3">
      <c r="A303" s="5"/>
      <c r="B303" s="7"/>
      <c r="C303" s="7"/>
      <c r="D303" s="7"/>
      <c r="E303" s="7"/>
      <c r="F303" s="7"/>
      <c r="G303" s="7"/>
      <c r="H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</row>
    <row r="304" spans="1:42" ht="15.75" customHeight="1" x14ac:dyDescent="0.3">
      <c r="A304" s="5"/>
      <c r="B304" s="7"/>
      <c r="C304" s="7"/>
      <c r="D304" s="7"/>
      <c r="E304" s="7"/>
      <c r="F304" s="7"/>
      <c r="G304" s="7"/>
      <c r="H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</row>
    <row r="305" spans="1:42" ht="15.75" customHeight="1" x14ac:dyDescent="0.3">
      <c r="A305" s="5"/>
      <c r="B305" s="7"/>
      <c r="C305" s="7"/>
      <c r="D305" s="30"/>
      <c r="E305" s="30"/>
      <c r="F305" s="30"/>
      <c r="G305" s="30"/>
      <c r="H305" s="30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</row>
    <row r="306" spans="1:42" ht="15.75" customHeight="1" x14ac:dyDescent="0.3">
      <c r="A306" s="5"/>
      <c r="B306" s="7"/>
      <c r="C306" s="7"/>
      <c r="D306" s="30"/>
      <c r="E306" s="30"/>
      <c r="F306" s="30"/>
      <c r="G306" s="30"/>
      <c r="H306" s="30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</row>
    <row r="307" spans="1:42" ht="15.75" customHeight="1" x14ac:dyDescent="0.3">
      <c r="A307" s="5"/>
      <c r="B307" s="7"/>
      <c r="C307" s="7"/>
      <c r="D307" s="30"/>
      <c r="E307" s="30"/>
      <c r="F307" s="30"/>
      <c r="G307" s="30"/>
      <c r="H307" s="30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</row>
    <row r="308" spans="1:42" ht="15.75" customHeight="1" x14ac:dyDescent="0.3">
      <c r="A308" s="5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</row>
    <row r="309" spans="1:42" ht="15.75" customHeight="1" x14ac:dyDescent="0.3">
      <c r="A309" s="5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</row>
    <row r="310" spans="1:42" ht="15.75" customHeight="1" x14ac:dyDescent="0.3">
      <c r="A310" s="5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</row>
    <row r="311" spans="1:42" ht="15.75" customHeight="1" x14ac:dyDescent="0.3">
      <c r="A311" s="5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</row>
    <row r="312" spans="1:42" ht="15.75" customHeight="1" x14ac:dyDescent="0.3">
      <c r="A312" s="5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</row>
    <row r="313" spans="1:42" ht="15.75" customHeight="1" x14ac:dyDescent="0.3">
      <c r="A313" s="5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</row>
    <row r="314" spans="1:42" ht="15.75" customHeight="1" x14ac:dyDescent="0.3">
      <c r="A314" s="5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</row>
    <row r="315" spans="1:42" ht="15.75" customHeight="1" x14ac:dyDescent="0.3">
      <c r="A315" s="5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</row>
    <row r="316" spans="1:42" ht="15.75" customHeight="1" x14ac:dyDescent="0.3">
      <c r="A316" s="5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</row>
    <row r="317" spans="1:42" ht="15.75" customHeight="1" x14ac:dyDescent="0.3">
      <c r="A317" s="5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</row>
    <row r="318" spans="1:42" ht="15.75" customHeight="1" x14ac:dyDescent="0.3">
      <c r="A318" s="5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</row>
    <row r="319" spans="1:42" ht="15.75" customHeight="1" x14ac:dyDescent="0.3">
      <c r="A319" s="5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</row>
    <row r="320" spans="1:42" ht="15.75" customHeight="1" x14ac:dyDescent="0.3">
      <c r="A320" s="5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</row>
    <row r="321" spans="1:42" ht="15.75" customHeight="1" x14ac:dyDescent="0.3">
      <c r="A321" s="5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</row>
    <row r="322" spans="1:42" ht="15.75" customHeight="1" x14ac:dyDescent="0.3">
      <c r="A322" s="5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</row>
    <row r="323" spans="1:42" ht="15.75" customHeight="1" x14ac:dyDescent="0.3">
      <c r="A323" s="5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</row>
    <row r="324" spans="1:42" ht="15.75" customHeight="1" x14ac:dyDescent="0.3">
      <c r="A324" s="5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</row>
    <row r="325" spans="1:42" ht="15.75" customHeight="1" x14ac:dyDescent="0.3">
      <c r="A325" s="5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</row>
    <row r="326" spans="1:42" ht="15.75" customHeight="1" x14ac:dyDescent="0.3">
      <c r="A326" s="5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</row>
    <row r="327" spans="1:42" ht="15.75" customHeight="1" x14ac:dyDescent="0.3">
      <c r="A327" s="5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</row>
    <row r="328" spans="1:42" ht="15.75" customHeight="1" x14ac:dyDescent="0.3">
      <c r="A328" s="5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</row>
    <row r="329" spans="1:42" ht="15.75" customHeight="1" x14ac:dyDescent="0.3">
      <c r="A329" s="5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</row>
    <row r="330" spans="1:42" ht="15.75" customHeight="1" x14ac:dyDescent="0.3">
      <c r="A330" s="5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</row>
    <row r="331" spans="1:42" ht="15.75" customHeight="1" x14ac:dyDescent="0.3">
      <c r="A331" s="5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</row>
    <row r="332" spans="1:42" ht="15.75" customHeight="1" x14ac:dyDescent="0.3">
      <c r="A332" s="5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</row>
    <row r="333" spans="1:42" ht="15.75" customHeight="1" x14ac:dyDescent="0.3">
      <c r="A333" s="5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</row>
    <row r="334" spans="1:42" ht="15.75" customHeight="1" x14ac:dyDescent="0.3">
      <c r="A334" s="5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</row>
    <row r="335" spans="1:42" ht="15.75" customHeight="1" x14ac:dyDescent="0.3">
      <c r="A335" s="5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</row>
    <row r="336" spans="1:42" ht="15.75" customHeight="1" x14ac:dyDescent="0.3">
      <c r="A336" s="5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</row>
    <row r="337" spans="1:42" ht="15.75" customHeight="1" x14ac:dyDescent="0.3">
      <c r="A337" s="5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</row>
    <row r="338" spans="1:42" ht="15.75" customHeight="1" x14ac:dyDescent="0.3">
      <c r="A338" s="5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</row>
    <row r="339" spans="1:42" ht="15.75" customHeight="1" x14ac:dyDescent="0.3">
      <c r="A339" s="5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</row>
    <row r="340" spans="1:42" ht="15.75" customHeight="1" x14ac:dyDescent="0.3">
      <c r="A340" s="5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</row>
    <row r="341" spans="1:42" ht="15.75" customHeight="1" x14ac:dyDescent="0.3">
      <c r="A341" s="5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</row>
    <row r="342" spans="1:42" ht="15.75" customHeight="1" x14ac:dyDescent="0.3">
      <c r="A342" s="5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</row>
    <row r="343" spans="1:42" ht="15.75" customHeight="1" x14ac:dyDescent="0.3">
      <c r="A343" s="5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</row>
    <row r="344" spans="1:42" ht="15.75" customHeight="1" x14ac:dyDescent="0.3">
      <c r="A344" s="5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</row>
    <row r="345" spans="1:42" ht="15.75" customHeight="1" x14ac:dyDescent="0.3">
      <c r="A345" s="5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</row>
    <row r="346" spans="1:42" ht="15.75" customHeight="1" x14ac:dyDescent="0.3">
      <c r="A346" s="5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</row>
    <row r="347" spans="1:42" ht="15.75" customHeight="1" x14ac:dyDescent="0.3">
      <c r="A347" s="5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</row>
    <row r="348" spans="1:42" ht="15.75" customHeight="1" x14ac:dyDescent="0.3">
      <c r="A348" s="5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</row>
    <row r="349" spans="1:42" ht="15.75" customHeight="1" x14ac:dyDescent="0.3">
      <c r="A349" s="5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</row>
    <row r="350" spans="1:42" ht="15.75" customHeight="1" x14ac:dyDescent="0.3">
      <c r="A350" s="5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</row>
    <row r="351" spans="1:42" ht="15.75" customHeight="1" x14ac:dyDescent="0.3">
      <c r="A351" s="5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</row>
    <row r="352" spans="1:42" ht="15.75" customHeight="1" x14ac:dyDescent="0.3">
      <c r="A352" s="5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</row>
    <row r="353" spans="1:42" ht="15.75" customHeight="1" x14ac:dyDescent="0.3">
      <c r="A353" s="5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</row>
    <row r="354" spans="1:42" ht="15.75" customHeight="1" x14ac:dyDescent="0.3">
      <c r="A354" s="5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</row>
    <row r="355" spans="1:42" ht="15.75" customHeight="1" x14ac:dyDescent="0.3">
      <c r="A355" s="5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</row>
    <row r="356" spans="1:42" ht="15.75" customHeight="1" x14ac:dyDescent="0.3">
      <c r="A356" s="5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</row>
    <row r="357" spans="1:42" ht="15.75" customHeight="1" x14ac:dyDescent="0.3">
      <c r="A357" s="5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</row>
    <row r="358" spans="1:42" ht="15.75" customHeight="1" x14ac:dyDescent="0.3">
      <c r="A358" s="5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</row>
    <row r="359" spans="1:42" ht="15.75" customHeight="1" x14ac:dyDescent="0.3">
      <c r="A359" s="5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</row>
    <row r="360" spans="1:42" ht="15.75" customHeight="1" x14ac:dyDescent="0.3">
      <c r="A360" s="5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</row>
    <row r="361" spans="1:42" ht="15.75" customHeight="1" x14ac:dyDescent="0.3">
      <c r="A361" s="5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</row>
    <row r="362" spans="1:42" ht="15.75" customHeight="1" x14ac:dyDescent="0.3">
      <c r="A362" s="5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</row>
    <row r="363" spans="1:42" ht="15.75" customHeight="1" x14ac:dyDescent="0.3">
      <c r="A363" s="5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</row>
    <row r="364" spans="1:42" ht="15.75" customHeight="1" x14ac:dyDescent="0.3">
      <c r="A364" s="5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</row>
    <row r="365" spans="1:42" ht="15.75" customHeight="1" x14ac:dyDescent="0.3">
      <c r="A365" s="5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</row>
    <row r="366" spans="1:42" ht="15.75" customHeight="1" x14ac:dyDescent="0.3">
      <c r="A366" s="5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</row>
    <row r="367" spans="1:42" ht="15.75" customHeight="1" x14ac:dyDescent="0.3">
      <c r="A367" s="5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</row>
    <row r="368" spans="1:42" ht="15.75" customHeight="1" x14ac:dyDescent="0.3">
      <c r="A368" s="5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</row>
    <row r="369" spans="1:42" ht="15.75" customHeight="1" x14ac:dyDescent="0.3">
      <c r="A369" s="5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</row>
    <row r="370" spans="1:42" ht="15.75" customHeight="1" x14ac:dyDescent="0.3">
      <c r="A370" s="5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</row>
    <row r="371" spans="1:42" ht="15.75" customHeight="1" x14ac:dyDescent="0.3">
      <c r="A371" s="5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</row>
    <row r="372" spans="1:42" ht="15.75" customHeight="1" x14ac:dyDescent="0.3">
      <c r="A372" s="5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</row>
    <row r="373" spans="1:42" ht="15.75" customHeight="1" x14ac:dyDescent="0.3">
      <c r="A373" s="5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</row>
    <row r="374" spans="1:42" ht="15.75" customHeight="1" x14ac:dyDescent="0.3">
      <c r="A374" s="5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</row>
    <row r="375" spans="1:42" ht="15.75" customHeight="1" x14ac:dyDescent="0.3">
      <c r="A375" s="5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</row>
    <row r="376" spans="1:42" ht="15.75" customHeight="1" x14ac:dyDescent="0.3">
      <c r="A376" s="5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</row>
    <row r="377" spans="1:42" ht="15.75" customHeight="1" x14ac:dyDescent="0.3">
      <c r="A377" s="5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</row>
    <row r="378" spans="1:42" ht="15.75" customHeight="1" x14ac:dyDescent="0.3">
      <c r="A378" s="5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</row>
    <row r="379" spans="1:42" ht="15.75" customHeight="1" x14ac:dyDescent="0.3">
      <c r="A379" s="5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</row>
    <row r="380" spans="1:42" ht="15.75" customHeight="1" x14ac:dyDescent="0.3">
      <c r="A380" s="5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</row>
    <row r="381" spans="1:42" ht="15.75" customHeight="1" x14ac:dyDescent="0.3">
      <c r="A381" s="5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</row>
    <row r="382" spans="1:42" ht="15.75" customHeight="1" x14ac:dyDescent="0.3">
      <c r="A382" s="5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</row>
    <row r="383" spans="1:42" ht="15.75" customHeight="1" x14ac:dyDescent="0.3">
      <c r="A383" s="5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</row>
    <row r="384" spans="1:42" ht="15.75" customHeight="1" x14ac:dyDescent="0.3">
      <c r="A384" s="5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</row>
    <row r="385" spans="1:42" ht="15.75" customHeight="1" x14ac:dyDescent="0.3">
      <c r="A385" s="5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</row>
    <row r="386" spans="1:42" ht="15.75" customHeight="1" x14ac:dyDescent="0.3">
      <c r="A386" s="5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</row>
    <row r="387" spans="1:42" ht="15.75" customHeight="1" x14ac:dyDescent="0.3">
      <c r="A387" s="5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</row>
    <row r="388" spans="1:42" ht="15.75" customHeight="1" x14ac:dyDescent="0.3">
      <c r="A388" s="5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</row>
    <row r="389" spans="1:42" ht="15.75" customHeight="1" x14ac:dyDescent="0.3">
      <c r="A389" s="5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</row>
    <row r="390" spans="1:42" ht="15.75" customHeight="1" x14ac:dyDescent="0.3">
      <c r="A390" s="5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</row>
    <row r="391" spans="1:42" ht="15.75" customHeight="1" x14ac:dyDescent="0.3">
      <c r="A391" s="5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</row>
    <row r="392" spans="1:42" ht="15.75" customHeight="1" x14ac:dyDescent="0.3">
      <c r="A392" s="5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</row>
    <row r="393" spans="1:42" ht="15.75" customHeight="1" x14ac:dyDescent="0.3">
      <c r="A393" s="5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</row>
    <row r="394" spans="1:42" ht="15.75" customHeight="1" x14ac:dyDescent="0.3">
      <c r="A394" s="5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</row>
    <row r="395" spans="1:42" ht="15.75" customHeight="1" x14ac:dyDescent="0.3">
      <c r="A395" s="5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</row>
    <row r="396" spans="1:42" ht="15.75" customHeight="1" x14ac:dyDescent="0.3">
      <c r="A396" s="5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</row>
    <row r="397" spans="1:42" ht="15.75" customHeight="1" x14ac:dyDescent="0.3">
      <c r="A397" s="5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</row>
    <row r="398" spans="1:42" ht="15.75" customHeight="1" x14ac:dyDescent="0.3">
      <c r="A398" s="5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</row>
    <row r="399" spans="1:42" ht="15.75" customHeight="1" x14ac:dyDescent="0.3">
      <c r="A399" s="5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</row>
    <row r="400" spans="1:42" ht="15.75" customHeight="1" x14ac:dyDescent="0.3">
      <c r="A400" s="5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</row>
    <row r="401" spans="1:42" ht="15.75" customHeight="1" x14ac:dyDescent="0.3">
      <c r="A401" s="5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</row>
    <row r="402" spans="1:42" ht="15.75" customHeight="1" x14ac:dyDescent="0.3">
      <c r="A402" s="5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</row>
    <row r="403" spans="1:42" ht="15.75" customHeight="1" x14ac:dyDescent="0.3">
      <c r="A403" s="5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</row>
    <row r="404" spans="1:42" ht="15.75" customHeight="1" x14ac:dyDescent="0.3">
      <c r="A404" s="5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</row>
    <row r="405" spans="1:42" ht="15.75" customHeight="1" x14ac:dyDescent="0.3">
      <c r="A405" s="5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</row>
    <row r="406" spans="1:42" ht="15.75" customHeight="1" x14ac:dyDescent="0.3">
      <c r="A406" s="5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</row>
    <row r="407" spans="1:42" ht="15.75" customHeight="1" x14ac:dyDescent="0.3">
      <c r="A407" s="5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</row>
    <row r="408" spans="1:42" ht="15.75" customHeight="1" x14ac:dyDescent="0.3">
      <c r="A408" s="5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</row>
    <row r="409" spans="1:42" ht="15.75" customHeight="1" x14ac:dyDescent="0.3">
      <c r="A409" s="5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</row>
    <row r="410" spans="1:42" ht="15.75" customHeight="1" x14ac:dyDescent="0.3">
      <c r="A410" s="5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</row>
    <row r="411" spans="1:42" ht="15.75" customHeight="1" x14ac:dyDescent="0.3">
      <c r="A411" s="5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</row>
    <row r="412" spans="1:42" ht="15.75" customHeight="1" x14ac:dyDescent="0.3">
      <c r="A412" s="5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</row>
    <row r="413" spans="1:42" ht="15.75" customHeight="1" x14ac:dyDescent="0.3">
      <c r="A413" s="5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</row>
    <row r="414" spans="1:42" ht="15.75" customHeight="1" x14ac:dyDescent="0.3">
      <c r="A414" s="5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</row>
    <row r="415" spans="1:42" ht="15.75" customHeight="1" x14ac:dyDescent="0.3">
      <c r="A415" s="5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</row>
    <row r="416" spans="1:42" ht="15.75" customHeight="1" x14ac:dyDescent="0.3">
      <c r="A416" s="5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</row>
    <row r="417" spans="1:42" ht="15.75" customHeight="1" x14ac:dyDescent="0.3">
      <c r="A417" s="5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</row>
    <row r="418" spans="1:42" ht="15.75" customHeight="1" x14ac:dyDescent="0.3">
      <c r="A418" s="5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</row>
    <row r="419" spans="1:42" ht="15.75" customHeight="1" x14ac:dyDescent="0.3">
      <c r="A419" s="5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</row>
    <row r="420" spans="1:42" ht="15.75" customHeight="1" x14ac:dyDescent="0.3">
      <c r="A420" s="5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</row>
    <row r="421" spans="1:42" ht="15.75" customHeight="1" x14ac:dyDescent="0.3">
      <c r="A421" s="5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</row>
    <row r="422" spans="1:42" ht="15.75" customHeight="1" x14ac:dyDescent="0.3">
      <c r="A422" s="5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</row>
    <row r="423" spans="1:42" ht="15.75" customHeight="1" x14ac:dyDescent="0.3">
      <c r="A423" s="5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</row>
    <row r="424" spans="1:42" ht="15.75" customHeight="1" x14ac:dyDescent="0.3">
      <c r="A424" s="5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</row>
    <row r="425" spans="1:42" ht="15.75" customHeight="1" x14ac:dyDescent="0.3">
      <c r="A425" s="5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</row>
    <row r="426" spans="1:42" ht="15.75" customHeight="1" x14ac:dyDescent="0.3">
      <c r="A426" s="5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</row>
    <row r="427" spans="1:42" ht="15.75" customHeight="1" x14ac:dyDescent="0.3">
      <c r="A427" s="5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</row>
    <row r="428" spans="1:42" ht="15.75" customHeight="1" x14ac:dyDescent="0.3">
      <c r="A428" s="5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</row>
    <row r="429" spans="1:42" ht="15.75" customHeight="1" x14ac:dyDescent="0.3">
      <c r="A429" s="5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</row>
    <row r="430" spans="1:42" ht="15.75" customHeight="1" x14ac:dyDescent="0.3">
      <c r="A430" s="5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</row>
    <row r="431" spans="1:42" ht="15.75" customHeight="1" x14ac:dyDescent="0.3">
      <c r="A431" s="5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</row>
    <row r="432" spans="1:42" ht="15.75" customHeight="1" x14ac:dyDescent="0.3">
      <c r="A432" s="5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</row>
    <row r="433" spans="1:42" ht="15.75" customHeight="1" x14ac:dyDescent="0.3">
      <c r="A433" s="5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</row>
    <row r="434" spans="1:42" ht="15.75" customHeight="1" x14ac:dyDescent="0.3">
      <c r="A434" s="5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</row>
    <row r="435" spans="1:42" ht="15.75" customHeight="1" x14ac:dyDescent="0.3">
      <c r="A435" s="5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</row>
    <row r="436" spans="1:42" ht="15.75" customHeight="1" x14ac:dyDescent="0.3">
      <c r="A436" s="5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</row>
    <row r="437" spans="1:42" ht="15.75" customHeight="1" x14ac:dyDescent="0.3">
      <c r="A437" s="5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</row>
    <row r="438" spans="1:42" ht="15.75" customHeight="1" x14ac:dyDescent="0.3">
      <c r="A438" s="5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</row>
    <row r="439" spans="1:42" ht="15.75" customHeight="1" x14ac:dyDescent="0.3">
      <c r="A439" s="5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</row>
    <row r="440" spans="1:42" ht="15.75" customHeight="1" x14ac:dyDescent="0.3">
      <c r="A440" s="5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</row>
    <row r="441" spans="1:42" ht="15.75" customHeight="1" x14ac:dyDescent="0.3">
      <c r="A441" s="5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</row>
    <row r="442" spans="1:42" ht="15.75" customHeight="1" x14ac:dyDescent="0.3">
      <c r="A442" s="5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</row>
    <row r="443" spans="1:42" ht="15.75" customHeight="1" x14ac:dyDescent="0.3">
      <c r="A443" s="5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</row>
    <row r="444" spans="1:42" ht="15.75" customHeight="1" x14ac:dyDescent="0.3">
      <c r="A444" s="5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</row>
    <row r="445" spans="1:42" ht="15.75" customHeight="1" x14ac:dyDescent="0.3">
      <c r="A445" s="5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</row>
    <row r="446" spans="1:42" ht="15.75" customHeight="1" x14ac:dyDescent="0.3">
      <c r="A446" s="5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</row>
    <row r="447" spans="1:42" ht="15.75" customHeight="1" x14ac:dyDescent="0.3">
      <c r="A447" s="5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</row>
    <row r="448" spans="1:42" ht="15.75" customHeight="1" x14ac:dyDescent="0.3">
      <c r="A448" s="5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</row>
    <row r="449" spans="1:42" ht="15.75" customHeight="1" x14ac:dyDescent="0.3">
      <c r="A449" s="5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</row>
    <row r="450" spans="1:42" ht="15.75" customHeight="1" x14ac:dyDescent="0.3">
      <c r="A450" s="5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</row>
    <row r="451" spans="1:42" ht="15.75" customHeight="1" x14ac:dyDescent="0.3">
      <c r="A451" s="5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</row>
    <row r="452" spans="1:42" ht="15.75" customHeight="1" x14ac:dyDescent="0.3">
      <c r="A452" s="5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</row>
    <row r="453" spans="1:42" ht="15.75" customHeight="1" x14ac:dyDescent="0.3">
      <c r="A453" s="5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</row>
    <row r="454" spans="1:42" ht="15.75" customHeight="1" x14ac:dyDescent="0.3">
      <c r="A454" s="5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</row>
    <row r="455" spans="1:42" ht="15.75" customHeight="1" x14ac:dyDescent="0.3">
      <c r="A455" s="5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</row>
    <row r="456" spans="1:42" ht="15.75" customHeight="1" x14ac:dyDescent="0.3">
      <c r="A456" s="5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</row>
    <row r="457" spans="1:42" ht="15.75" customHeight="1" x14ac:dyDescent="0.3">
      <c r="A457" s="5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</row>
    <row r="458" spans="1:42" ht="15.75" customHeight="1" x14ac:dyDescent="0.3">
      <c r="A458" s="5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</row>
    <row r="459" spans="1:42" ht="15.75" customHeight="1" x14ac:dyDescent="0.3">
      <c r="A459" s="5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</row>
    <row r="460" spans="1:42" ht="15.75" customHeight="1" x14ac:dyDescent="0.3">
      <c r="A460" s="5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</row>
    <row r="461" spans="1:42" ht="15.75" customHeight="1" x14ac:dyDescent="0.3">
      <c r="A461" s="5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</row>
    <row r="462" spans="1:42" ht="15.75" customHeight="1" x14ac:dyDescent="0.3">
      <c r="A462" s="5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</row>
    <row r="463" spans="1:42" ht="15.75" customHeight="1" x14ac:dyDescent="0.3">
      <c r="A463" s="5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</row>
    <row r="464" spans="1:42" ht="15.75" customHeight="1" x14ac:dyDescent="0.3">
      <c r="A464" s="5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</row>
    <row r="465" spans="1:42" ht="15.75" customHeight="1" x14ac:dyDescent="0.3">
      <c r="A465" s="5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</row>
    <row r="466" spans="1:42" ht="15.75" customHeight="1" x14ac:dyDescent="0.3">
      <c r="A466" s="5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</row>
    <row r="467" spans="1:42" ht="15.75" customHeight="1" x14ac:dyDescent="0.3">
      <c r="A467" s="5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</row>
    <row r="468" spans="1:42" ht="15.75" customHeight="1" x14ac:dyDescent="0.3">
      <c r="A468" s="5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</row>
    <row r="469" spans="1:42" ht="15.75" customHeight="1" x14ac:dyDescent="0.3">
      <c r="A469" s="5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</row>
    <row r="470" spans="1:42" ht="15.75" customHeight="1" x14ac:dyDescent="0.3">
      <c r="A470" s="5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</row>
    <row r="471" spans="1:42" ht="15.75" customHeight="1" x14ac:dyDescent="0.3">
      <c r="A471" s="5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</row>
    <row r="472" spans="1:42" ht="15.75" customHeight="1" x14ac:dyDescent="0.3">
      <c r="A472" s="5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</row>
    <row r="473" spans="1:42" ht="15.75" customHeight="1" x14ac:dyDescent="0.3">
      <c r="A473" s="5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</row>
    <row r="474" spans="1:42" ht="15.75" customHeight="1" x14ac:dyDescent="0.3">
      <c r="A474" s="5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</row>
    <row r="475" spans="1:42" ht="15.75" customHeight="1" x14ac:dyDescent="0.3">
      <c r="A475" s="5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</row>
    <row r="476" spans="1:42" ht="15.75" customHeight="1" x14ac:dyDescent="0.3">
      <c r="A476" s="5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</row>
    <row r="477" spans="1:42" ht="15.75" customHeight="1" x14ac:dyDescent="0.3">
      <c r="A477" s="5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</row>
    <row r="478" spans="1:42" ht="15.75" customHeight="1" x14ac:dyDescent="0.3">
      <c r="A478" s="5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</row>
    <row r="479" spans="1:42" ht="15.75" customHeight="1" x14ac:dyDescent="0.3">
      <c r="A479" s="5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</row>
    <row r="480" spans="1:42" ht="15.75" customHeight="1" x14ac:dyDescent="0.3">
      <c r="A480" s="5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</row>
    <row r="481" spans="1:42" ht="15.75" customHeight="1" x14ac:dyDescent="0.3">
      <c r="A481" s="5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</row>
    <row r="482" spans="1:42" ht="15.75" customHeight="1" x14ac:dyDescent="0.3">
      <c r="A482" s="5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</row>
    <row r="483" spans="1:42" ht="15.75" customHeight="1" x14ac:dyDescent="0.3">
      <c r="A483" s="5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</row>
    <row r="484" spans="1:42" ht="15.75" customHeight="1" x14ac:dyDescent="0.3">
      <c r="A484" s="5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</row>
    <row r="485" spans="1:42" ht="15.75" customHeight="1" x14ac:dyDescent="0.3">
      <c r="A485" s="5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</row>
    <row r="486" spans="1:42" ht="15.75" customHeight="1" x14ac:dyDescent="0.3">
      <c r="A486" s="5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</row>
    <row r="487" spans="1:42" ht="15.75" customHeight="1" x14ac:dyDescent="0.3">
      <c r="A487" s="5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</row>
    <row r="488" spans="1:42" ht="15.75" customHeight="1" x14ac:dyDescent="0.3">
      <c r="A488" s="5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</row>
    <row r="489" spans="1:42" ht="15.75" customHeight="1" x14ac:dyDescent="0.3">
      <c r="A489" s="5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</row>
    <row r="490" spans="1:42" ht="15.75" customHeight="1" x14ac:dyDescent="0.3">
      <c r="A490" s="5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</row>
    <row r="491" spans="1:42" ht="15.75" customHeight="1" x14ac:dyDescent="0.3">
      <c r="A491" s="5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</row>
    <row r="492" spans="1:42" ht="15.75" customHeight="1" x14ac:dyDescent="0.3">
      <c r="A492" s="5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</row>
    <row r="493" spans="1:42" ht="15.75" customHeight="1" x14ac:dyDescent="0.3">
      <c r="A493" s="5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</row>
    <row r="494" spans="1:42" ht="15.75" customHeight="1" x14ac:dyDescent="0.3">
      <c r="A494" s="5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</row>
    <row r="495" spans="1:42" ht="15.75" customHeight="1" x14ac:dyDescent="0.3">
      <c r="A495" s="5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</row>
    <row r="496" spans="1:42" ht="15.75" customHeight="1" x14ac:dyDescent="0.3">
      <c r="A496" s="5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</row>
    <row r="497" spans="1:42" ht="15.75" customHeight="1" x14ac:dyDescent="0.3">
      <c r="A497" s="5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</row>
    <row r="498" spans="1:42" ht="15.75" customHeight="1" x14ac:dyDescent="0.3">
      <c r="A498" s="5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</row>
    <row r="499" spans="1:42" ht="15.75" customHeight="1" x14ac:dyDescent="0.3">
      <c r="A499" s="5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</row>
    <row r="500" spans="1:42" ht="15.75" customHeight="1" x14ac:dyDescent="0.3">
      <c r="A500" s="5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</row>
    <row r="501" spans="1:42" ht="15.75" customHeight="1" x14ac:dyDescent="0.3">
      <c r="A501" s="5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</row>
    <row r="502" spans="1:42" ht="15.75" customHeight="1" x14ac:dyDescent="0.3">
      <c r="A502" s="5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</row>
    <row r="503" spans="1:42" ht="15.75" customHeight="1" x14ac:dyDescent="0.3">
      <c r="A503" s="5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</row>
    <row r="504" spans="1:42" ht="15.75" customHeight="1" x14ac:dyDescent="0.3">
      <c r="A504" s="5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</row>
    <row r="505" spans="1:42" ht="15.75" customHeight="1" x14ac:dyDescent="0.3">
      <c r="A505" s="5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</row>
    <row r="506" spans="1:42" ht="15.75" customHeight="1" x14ac:dyDescent="0.3">
      <c r="A506" s="5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</row>
    <row r="507" spans="1:42" ht="15.75" customHeight="1" x14ac:dyDescent="0.3">
      <c r="A507" s="5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</row>
    <row r="508" spans="1:42" ht="15.75" customHeight="1" x14ac:dyDescent="0.3">
      <c r="A508" s="5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</row>
    <row r="509" spans="1:42" ht="15.75" customHeight="1" x14ac:dyDescent="0.3">
      <c r="A509" s="5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</row>
    <row r="510" spans="1:42" ht="15.75" customHeight="1" x14ac:dyDescent="0.3">
      <c r="A510" s="5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</row>
    <row r="511" spans="1:42" ht="15.75" customHeight="1" x14ac:dyDescent="0.3">
      <c r="A511" s="5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</row>
    <row r="512" spans="1:42" ht="15.75" customHeight="1" x14ac:dyDescent="0.3">
      <c r="A512" s="5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</row>
    <row r="513" spans="1:42" ht="15.75" customHeight="1" x14ac:dyDescent="0.3">
      <c r="A513" s="5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</row>
    <row r="514" spans="1:42" ht="15.75" customHeight="1" x14ac:dyDescent="0.3">
      <c r="A514" s="5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</row>
    <row r="515" spans="1:42" ht="15.75" customHeight="1" x14ac:dyDescent="0.3">
      <c r="A515" s="5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</row>
    <row r="516" spans="1:42" ht="15.75" customHeight="1" x14ac:dyDescent="0.3">
      <c r="A516" s="5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</row>
    <row r="517" spans="1:42" ht="15.75" customHeight="1" x14ac:dyDescent="0.3">
      <c r="A517" s="5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</row>
    <row r="518" spans="1:42" ht="15.75" customHeight="1" x14ac:dyDescent="0.3">
      <c r="A518" s="5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</row>
    <row r="519" spans="1:42" ht="15.75" customHeight="1" x14ac:dyDescent="0.3">
      <c r="A519" s="5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</row>
    <row r="520" spans="1:42" ht="15.75" customHeight="1" x14ac:dyDescent="0.3">
      <c r="A520" s="5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</row>
    <row r="521" spans="1:42" ht="15.75" customHeight="1" x14ac:dyDescent="0.3">
      <c r="A521" s="5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</row>
    <row r="522" spans="1:42" ht="15.75" customHeight="1" x14ac:dyDescent="0.3">
      <c r="A522" s="5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</row>
    <row r="523" spans="1:42" ht="15.75" customHeight="1" x14ac:dyDescent="0.3">
      <c r="A523" s="5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</row>
    <row r="524" spans="1:42" ht="15.75" customHeight="1" x14ac:dyDescent="0.3">
      <c r="A524" s="5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</row>
    <row r="525" spans="1:42" ht="15.75" customHeight="1" x14ac:dyDescent="0.3">
      <c r="A525" s="5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</row>
    <row r="526" spans="1:42" ht="15.75" customHeight="1" x14ac:dyDescent="0.3">
      <c r="A526" s="5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</row>
    <row r="527" spans="1:42" ht="15.75" customHeight="1" x14ac:dyDescent="0.3">
      <c r="A527" s="5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</row>
    <row r="528" spans="1:42" ht="15.75" customHeight="1" x14ac:dyDescent="0.3">
      <c r="A528" s="5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</row>
    <row r="529" spans="1:42" ht="15.75" customHeight="1" x14ac:dyDescent="0.3">
      <c r="A529" s="5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</row>
    <row r="530" spans="1:42" ht="15.75" customHeight="1" x14ac:dyDescent="0.3">
      <c r="A530" s="5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</row>
    <row r="531" spans="1:42" ht="15.75" customHeight="1" x14ac:dyDescent="0.3">
      <c r="A531" s="5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</row>
    <row r="532" spans="1:42" ht="15.75" customHeight="1" x14ac:dyDescent="0.3">
      <c r="A532" s="5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</row>
    <row r="533" spans="1:42" ht="15.75" customHeight="1" x14ac:dyDescent="0.3">
      <c r="A533" s="5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</row>
    <row r="534" spans="1:42" ht="15.75" customHeight="1" x14ac:dyDescent="0.3">
      <c r="A534" s="5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</row>
    <row r="535" spans="1:42" ht="15.75" customHeight="1" x14ac:dyDescent="0.3">
      <c r="A535" s="5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</row>
    <row r="536" spans="1:42" ht="15.75" customHeight="1" x14ac:dyDescent="0.3">
      <c r="A536" s="5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</row>
    <row r="537" spans="1:42" ht="15.75" customHeight="1" x14ac:dyDescent="0.3">
      <c r="A537" s="5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</row>
    <row r="538" spans="1:42" ht="15.75" customHeight="1" x14ac:dyDescent="0.3">
      <c r="A538" s="5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</row>
    <row r="539" spans="1:42" ht="15.75" customHeight="1" x14ac:dyDescent="0.3">
      <c r="A539" s="5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</row>
    <row r="540" spans="1:42" ht="15.75" customHeight="1" x14ac:dyDescent="0.3">
      <c r="A540" s="5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</row>
    <row r="541" spans="1:42" ht="15.75" customHeight="1" x14ac:dyDescent="0.3">
      <c r="A541" s="5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</row>
    <row r="542" spans="1:42" ht="15.75" customHeight="1" x14ac:dyDescent="0.3">
      <c r="A542" s="5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</row>
    <row r="543" spans="1:42" ht="15.75" customHeight="1" x14ac:dyDescent="0.3">
      <c r="A543" s="5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</row>
    <row r="544" spans="1:42" ht="15.75" customHeight="1" x14ac:dyDescent="0.3">
      <c r="A544" s="5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</row>
    <row r="545" spans="1:42" ht="15.75" customHeight="1" x14ac:dyDescent="0.3">
      <c r="A545" s="5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</row>
    <row r="546" spans="1:42" ht="15.75" customHeight="1" x14ac:dyDescent="0.3">
      <c r="A546" s="5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</row>
    <row r="547" spans="1:42" ht="15.75" customHeight="1" x14ac:dyDescent="0.3">
      <c r="A547" s="5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</row>
    <row r="548" spans="1:42" ht="15.75" customHeight="1" x14ac:dyDescent="0.3">
      <c r="A548" s="5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</row>
    <row r="549" spans="1:42" ht="15.75" customHeight="1" x14ac:dyDescent="0.3">
      <c r="A549" s="5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</row>
    <row r="550" spans="1:42" ht="15.75" customHeight="1" x14ac:dyDescent="0.3">
      <c r="A550" s="5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</row>
    <row r="551" spans="1:42" ht="15.75" customHeight="1" x14ac:dyDescent="0.3">
      <c r="A551" s="5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</row>
    <row r="552" spans="1:42" ht="15.75" customHeight="1" x14ac:dyDescent="0.3">
      <c r="A552" s="5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</row>
    <row r="553" spans="1:42" ht="15.75" customHeight="1" x14ac:dyDescent="0.3">
      <c r="A553" s="5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</row>
    <row r="554" spans="1:42" ht="15.75" customHeight="1" x14ac:dyDescent="0.3">
      <c r="A554" s="5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</row>
    <row r="555" spans="1:42" ht="15.75" customHeight="1" x14ac:dyDescent="0.3">
      <c r="A555" s="5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</row>
    <row r="556" spans="1:42" ht="15.75" customHeight="1" x14ac:dyDescent="0.3">
      <c r="A556" s="5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</row>
    <row r="557" spans="1:42" ht="15.75" customHeight="1" x14ac:dyDescent="0.3">
      <c r="A557" s="5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</row>
    <row r="558" spans="1:42" ht="15.75" customHeight="1" x14ac:dyDescent="0.3">
      <c r="A558" s="5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</row>
    <row r="559" spans="1:42" ht="15.75" customHeight="1" x14ac:dyDescent="0.3">
      <c r="A559" s="5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</row>
    <row r="560" spans="1:42" ht="15.75" customHeight="1" x14ac:dyDescent="0.3">
      <c r="A560" s="5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</row>
    <row r="561" spans="1:42" ht="15.75" customHeight="1" x14ac:dyDescent="0.3">
      <c r="A561" s="5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</row>
    <row r="562" spans="1:42" ht="15.75" customHeight="1" x14ac:dyDescent="0.3">
      <c r="A562" s="5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</row>
    <row r="563" spans="1:42" ht="15.75" customHeight="1" x14ac:dyDescent="0.3">
      <c r="A563" s="5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</row>
    <row r="564" spans="1:42" ht="15.75" customHeight="1" x14ac:dyDescent="0.3">
      <c r="A564" s="5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</row>
    <row r="565" spans="1:42" ht="15.75" customHeight="1" x14ac:dyDescent="0.3">
      <c r="A565" s="5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</row>
    <row r="566" spans="1:42" ht="15.75" customHeight="1" x14ac:dyDescent="0.3">
      <c r="A566" s="5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</row>
    <row r="567" spans="1:42" ht="15.75" customHeight="1" x14ac:dyDescent="0.3">
      <c r="A567" s="5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</row>
    <row r="568" spans="1:42" ht="15.75" customHeight="1" x14ac:dyDescent="0.3">
      <c r="A568" s="5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</row>
    <row r="569" spans="1:42" ht="15.75" customHeight="1" x14ac:dyDescent="0.3">
      <c r="A569" s="5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</row>
    <row r="570" spans="1:42" ht="15.75" customHeight="1" x14ac:dyDescent="0.3">
      <c r="A570" s="5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</row>
    <row r="571" spans="1:42" ht="15.75" customHeight="1" x14ac:dyDescent="0.3">
      <c r="A571" s="5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</row>
    <row r="572" spans="1:42" ht="15.75" customHeight="1" x14ac:dyDescent="0.3">
      <c r="A572" s="5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</row>
    <row r="573" spans="1:42" ht="15.75" customHeight="1" x14ac:dyDescent="0.3">
      <c r="A573" s="5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</row>
    <row r="574" spans="1:42" ht="15.75" customHeight="1" x14ac:dyDescent="0.3">
      <c r="A574" s="5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</row>
    <row r="575" spans="1:42" ht="15.75" customHeight="1" x14ac:dyDescent="0.3">
      <c r="A575" s="5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</row>
    <row r="576" spans="1:42" ht="15.75" customHeight="1" x14ac:dyDescent="0.3">
      <c r="A576" s="5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</row>
    <row r="577" spans="1:42" ht="15.75" customHeight="1" x14ac:dyDescent="0.3">
      <c r="A577" s="5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</row>
    <row r="578" spans="1:42" ht="15.75" customHeight="1" x14ac:dyDescent="0.3">
      <c r="A578" s="5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</row>
    <row r="579" spans="1:42" ht="15.75" customHeight="1" x14ac:dyDescent="0.3">
      <c r="A579" s="5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</row>
    <row r="580" spans="1:42" ht="15.75" customHeight="1" x14ac:dyDescent="0.3">
      <c r="A580" s="5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</row>
    <row r="581" spans="1:42" ht="15.75" customHeight="1" x14ac:dyDescent="0.3">
      <c r="A581" s="5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</row>
    <row r="582" spans="1:42" ht="15.75" customHeight="1" x14ac:dyDescent="0.3">
      <c r="A582" s="5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</row>
    <row r="583" spans="1:42" ht="15.75" customHeight="1" x14ac:dyDescent="0.3">
      <c r="A583" s="5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</row>
    <row r="584" spans="1:42" ht="15.75" customHeight="1" x14ac:dyDescent="0.3">
      <c r="A584" s="5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</row>
    <row r="585" spans="1:42" ht="15.75" customHeight="1" x14ac:dyDescent="0.3">
      <c r="A585" s="5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</row>
    <row r="586" spans="1:42" ht="15.75" customHeight="1" x14ac:dyDescent="0.3">
      <c r="A586" s="5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</row>
    <row r="587" spans="1:42" ht="15.75" customHeight="1" x14ac:dyDescent="0.3">
      <c r="A587" s="5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</row>
    <row r="588" spans="1:42" ht="15.75" customHeight="1" x14ac:dyDescent="0.3">
      <c r="A588" s="5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</row>
    <row r="589" spans="1:42" ht="15.75" customHeight="1" x14ac:dyDescent="0.3">
      <c r="A589" s="5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</row>
    <row r="590" spans="1:42" ht="15.75" customHeight="1" x14ac:dyDescent="0.3">
      <c r="A590" s="5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</row>
    <row r="591" spans="1:42" ht="15.75" customHeight="1" x14ac:dyDescent="0.3">
      <c r="A591" s="5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</row>
    <row r="592" spans="1:42" ht="15.75" customHeight="1" x14ac:dyDescent="0.3">
      <c r="A592" s="5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</row>
    <row r="593" spans="1:42" ht="15.75" customHeight="1" x14ac:dyDescent="0.3">
      <c r="A593" s="5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</row>
    <row r="594" spans="1:42" ht="15.75" customHeight="1" x14ac:dyDescent="0.3">
      <c r="A594" s="5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</row>
    <row r="595" spans="1:42" ht="15.75" customHeight="1" x14ac:dyDescent="0.3">
      <c r="A595" s="5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</row>
    <row r="596" spans="1:42" ht="15.75" customHeight="1" x14ac:dyDescent="0.3">
      <c r="A596" s="5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</row>
    <row r="597" spans="1:42" ht="15.75" customHeight="1" x14ac:dyDescent="0.3">
      <c r="A597" s="5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</row>
    <row r="598" spans="1:42" ht="15.75" customHeight="1" x14ac:dyDescent="0.3">
      <c r="A598" s="5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</row>
    <row r="599" spans="1:42" ht="15.75" customHeight="1" x14ac:dyDescent="0.3">
      <c r="A599" s="5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</row>
    <row r="600" spans="1:42" ht="15.75" customHeight="1" x14ac:dyDescent="0.3">
      <c r="A600" s="5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</row>
    <row r="601" spans="1:42" ht="15.75" customHeight="1" x14ac:dyDescent="0.3">
      <c r="A601" s="5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</row>
    <row r="602" spans="1:42" ht="15.75" customHeight="1" x14ac:dyDescent="0.3">
      <c r="A602" s="5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</row>
    <row r="603" spans="1:42" ht="15.75" customHeight="1" x14ac:dyDescent="0.3">
      <c r="A603" s="5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</row>
    <row r="604" spans="1:42" ht="15.75" customHeight="1" x14ac:dyDescent="0.3">
      <c r="A604" s="5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</row>
    <row r="605" spans="1:42" ht="15.75" customHeight="1" x14ac:dyDescent="0.3">
      <c r="A605" s="5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</row>
    <row r="606" spans="1:42" ht="15.75" customHeight="1" x14ac:dyDescent="0.3">
      <c r="A606" s="5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</row>
    <row r="607" spans="1:42" ht="15.75" customHeight="1" x14ac:dyDescent="0.3">
      <c r="A607" s="5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</row>
    <row r="608" spans="1:42" ht="15.75" customHeight="1" x14ac:dyDescent="0.3">
      <c r="A608" s="5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</row>
    <row r="609" spans="1:42" ht="15.75" customHeight="1" x14ac:dyDescent="0.3">
      <c r="A609" s="5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</row>
    <row r="610" spans="1:42" ht="15.75" customHeight="1" x14ac:dyDescent="0.3">
      <c r="A610" s="5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</row>
    <row r="611" spans="1:42" ht="15.75" customHeight="1" x14ac:dyDescent="0.3">
      <c r="A611" s="5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</row>
    <row r="612" spans="1:42" ht="15.75" customHeight="1" x14ac:dyDescent="0.3">
      <c r="A612" s="5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</row>
    <row r="613" spans="1:42" ht="15.75" customHeight="1" x14ac:dyDescent="0.3">
      <c r="A613" s="5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</row>
    <row r="614" spans="1:42" ht="15.75" customHeight="1" x14ac:dyDescent="0.3">
      <c r="A614" s="5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</row>
    <row r="615" spans="1:42" ht="15.75" customHeight="1" x14ac:dyDescent="0.3">
      <c r="A615" s="5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</row>
    <row r="616" spans="1:42" ht="15.75" customHeight="1" x14ac:dyDescent="0.3">
      <c r="A616" s="5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</row>
    <row r="617" spans="1:42" ht="15.75" customHeight="1" x14ac:dyDescent="0.3">
      <c r="A617" s="5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</row>
    <row r="618" spans="1:42" ht="15.75" customHeight="1" x14ac:dyDescent="0.3">
      <c r="A618" s="5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</row>
    <row r="619" spans="1:42" ht="15.75" customHeight="1" x14ac:dyDescent="0.3">
      <c r="A619" s="5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</row>
    <row r="620" spans="1:42" ht="15.75" customHeight="1" x14ac:dyDescent="0.3">
      <c r="A620" s="5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</row>
    <row r="621" spans="1:42" ht="15.75" customHeight="1" x14ac:dyDescent="0.3">
      <c r="A621" s="5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</row>
    <row r="622" spans="1:42" ht="15.75" customHeight="1" x14ac:dyDescent="0.3">
      <c r="A622" s="5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</row>
    <row r="623" spans="1:42" ht="15.75" customHeight="1" x14ac:dyDescent="0.3">
      <c r="A623" s="5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</row>
    <row r="624" spans="1:42" ht="15.75" customHeight="1" x14ac:dyDescent="0.3">
      <c r="A624" s="5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</row>
    <row r="625" spans="1:42" ht="15.75" customHeight="1" x14ac:dyDescent="0.3">
      <c r="A625" s="5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</row>
    <row r="626" spans="1:42" ht="15.75" customHeight="1" x14ac:dyDescent="0.3">
      <c r="A626" s="5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</row>
    <row r="627" spans="1:42" ht="15.75" customHeight="1" x14ac:dyDescent="0.3">
      <c r="A627" s="5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</row>
    <row r="628" spans="1:42" ht="15.75" customHeight="1" x14ac:dyDescent="0.3">
      <c r="A628" s="5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</row>
    <row r="629" spans="1:42" ht="15.75" customHeight="1" x14ac:dyDescent="0.3">
      <c r="A629" s="5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</row>
    <row r="630" spans="1:42" ht="15.75" customHeight="1" x14ac:dyDescent="0.3">
      <c r="A630" s="5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</row>
    <row r="631" spans="1:42" ht="15.75" customHeight="1" x14ac:dyDescent="0.3">
      <c r="A631" s="5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</row>
    <row r="632" spans="1:42" ht="15.75" customHeight="1" x14ac:dyDescent="0.3">
      <c r="A632" s="5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</row>
    <row r="633" spans="1:42" ht="15.75" customHeight="1" x14ac:dyDescent="0.3">
      <c r="A633" s="5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</row>
    <row r="634" spans="1:42" ht="15.75" customHeight="1" x14ac:dyDescent="0.3">
      <c r="A634" s="5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</row>
    <row r="635" spans="1:42" ht="15.75" customHeight="1" x14ac:dyDescent="0.3">
      <c r="A635" s="5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</row>
    <row r="636" spans="1:42" ht="15.75" customHeight="1" x14ac:dyDescent="0.3">
      <c r="A636" s="5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</row>
    <row r="637" spans="1:42" ht="15.75" customHeight="1" x14ac:dyDescent="0.3">
      <c r="A637" s="5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</row>
    <row r="638" spans="1:42" ht="15.75" customHeight="1" x14ac:dyDescent="0.3">
      <c r="A638" s="5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</row>
    <row r="639" spans="1:42" ht="15.75" customHeight="1" x14ac:dyDescent="0.3">
      <c r="A639" s="5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</row>
    <row r="640" spans="1:42" ht="15.75" customHeight="1" x14ac:dyDescent="0.3">
      <c r="A640" s="5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</row>
    <row r="641" spans="1:42" ht="15.75" customHeight="1" x14ac:dyDescent="0.3">
      <c r="A641" s="5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</row>
    <row r="642" spans="1:42" ht="15.75" customHeight="1" x14ac:dyDescent="0.3">
      <c r="A642" s="5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</row>
    <row r="643" spans="1:42" ht="15.75" customHeight="1" x14ac:dyDescent="0.3">
      <c r="A643" s="5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</row>
    <row r="644" spans="1:42" ht="15.75" customHeight="1" x14ac:dyDescent="0.3">
      <c r="A644" s="5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</row>
    <row r="645" spans="1:42" ht="15.75" customHeight="1" x14ac:dyDescent="0.3">
      <c r="A645" s="5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</row>
    <row r="646" spans="1:42" ht="15.75" customHeight="1" x14ac:dyDescent="0.3">
      <c r="A646" s="5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</row>
    <row r="647" spans="1:42" ht="15.75" customHeight="1" x14ac:dyDescent="0.3">
      <c r="A647" s="5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</row>
    <row r="648" spans="1:42" ht="15.75" customHeight="1" x14ac:dyDescent="0.3">
      <c r="A648" s="5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</row>
    <row r="649" spans="1:42" ht="15.75" customHeight="1" x14ac:dyDescent="0.3">
      <c r="A649" s="5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</row>
    <row r="650" spans="1:42" ht="15.75" customHeight="1" x14ac:dyDescent="0.3">
      <c r="A650" s="5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</row>
    <row r="651" spans="1:42" ht="15.75" customHeight="1" x14ac:dyDescent="0.3">
      <c r="A651" s="5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</row>
    <row r="652" spans="1:42" ht="15.75" customHeight="1" x14ac:dyDescent="0.3">
      <c r="A652" s="5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</row>
    <row r="653" spans="1:42" ht="15.75" customHeight="1" x14ac:dyDescent="0.3">
      <c r="A653" s="5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</row>
    <row r="654" spans="1:42" ht="15.75" customHeight="1" x14ac:dyDescent="0.3">
      <c r="A654" s="5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</row>
    <row r="655" spans="1:42" ht="15.75" customHeight="1" x14ac:dyDescent="0.3">
      <c r="A655" s="5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</row>
    <row r="656" spans="1:42" ht="15.75" customHeight="1" x14ac:dyDescent="0.3">
      <c r="A656" s="5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</row>
    <row r="657" spans="1:42" ht="15.75" customHeight="1" x14ac:dyDescent="0.3">
      <c r="A657" s="5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</row>
    <row r="658" spans="1:42" ht="15.75" customHeight="1" x14ac:dyDescent="0.3">
      <c r="A658" s="5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</row>
    <row r="659" spans="1:42" ht="15.75" customHeight="1" x14ac:dyDescent="0.3">
      <c r="A659" s="5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</row>
    <row r="660" spans="1:42" ht="15.75" customHeight="1" x14ac:dyDescent="0.3">
      <c r="A660" s="5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</row>
    <row r="661" spans="1:42" ht="15.75" customHeight="1" x14ac:dyDescent="0.3">
      <c r="A661" s="5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</row>
    <row r="662" spans="1:42" ht="15.75" customHeight="1" x14ac:dyDescent="0.3">
      <c r="A662" s="5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</row>
    <row r="663" spans="1:42" ht="15.75" customHeight="1" x14ac:dyDescent="0.3">
      <c r="A663" s="5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</row>
    <row r="664" spans="1:42" ht="15.75" customHeight="1" x14ac:dyDescent="0.3">
      <c r="A664" s="5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</row>
    <row r="665" spans="1:42" ht="15.75" customHeight="1" x14ac:dyDescent="0.3">
      <c r="A665" s="5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</row>
    <row r="666" spans="1:42" ht="15.75" customHeight="1" x14ac:dyDescent="0.3">
      <c r="A666" s="5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</row>
    <row r="667" spans="1:42" ht="15.75" customHeight="1" x14ac:dyDescent="0.3">
      <c r="A667" s="5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</row>
    <row r="668" spans="1:42" ht="15.75" customHeight="1" x14ac:dyDescent="0.3">
      <c r="A668" s="5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</row>
    <row r="669" spans="1:42" ht="15.75" customHeight="1" x14ac:dyDescent="0.3">
      <c r="A669" s="5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</row>
    <row r="670" spans="1:42" ht="15.75" customHeight="1" x14ac:dyDescent="0.3">
      <c r="A670" s="5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</row>
    <row r="671" spans="1:42" ht="15.75" customHeight="1" x14ac:dyDescent="0.3">
      <c r="A671" s="5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</row>
    <row r="672" spans="1:42" ht="15.75" customHeight="1" x14ac:dyDescent="0.3">
      <c r="A672" s="5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</row>
    <row r="673" spans="1:42" ht="15.75" customHeight="1" x14ac:dyDescent="0.3">
      <c r="A673" s="5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</row>
    <row r="674" spans="1:42" ht="15.75" customHeight="1" x14ac:dyDescent="0.3">
      <c r="A674" s="5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</row>
    <row r="675" spans="1:42" ht="15.75" customHeight="1" x14ac:dyDescent="0.3">
      <c r="A675" s="5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</row>
    <row r="676" spans="1:42" ht="15.75" customHeight="1" x14ac:dyDescent="0.3">
      <c r="A676" s="5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</row>
    <row r="677" spans="1:42" ht="15.75" customHeight="1" x14ac:dyDescent="0.3">
      <c r="A677" s="5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</row>
    <row r="678" spans="1:42" ht="15.75" customHeight="1" x14ac:dyDescent="0.3">
      <c r="A678" s="5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</row>
    <row r="679" spans="1:42" ht="15.75" customHeight="1" x14ac:dyDescent="0.3">
      <c r="A679" s="5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</row>
    <row r="680" spans="1:42" ht="15.75" customHeight="1" x14ac:dyDescent="0.3">
      <c r="A680" s="5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</row>
    <row r="681" spans="1:42" ht="15.75" customHeight="1" x14ac:dyDescent="0.3">
      <c r="A681" s="5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</row>
    <row r="682" spans="1:42" ht="15.75" customHeight="1" x14ac:dyDescent="0.3">
      <c r="A682" s="5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</row>
    <row r="683" spans="1:42" ht="15.75" customHeight="1" x14ac:dyDescent="0.3">
      <c r="A683" s="5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</row>
    <row r="684" spans="1:42" ht="15.75" customHeight="1" x14ac:dyDescent="0.3">
      <c r="A684" s="5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</row>
    <row r="685" spans="1:42" ht="15.75" customHeight="1" x14ac:dyDescent="0.3">
      <c r="A685" s="5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</row>
    <row r="686" spans="1:42" ht="15.75" customHeight="1" x14ac:dyDescent="0.3">
      <c r="A686" s="5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</row>
    <row r="687" spans="1:42" ht="15.75" customHeight="1" x14ac:dyDescent="0.3">
      <c r="A687" s="5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</row>
    <row r="688" spans="1:42" ht="15.75" customHeight="1" x14ac:dyDescent="0.3">
      <c r="A688" s="5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</row>
    <row r="689" spans="1:42" ht="15.75" customHeight="1" x14ac:dyDescent="0.3">
      <c r="A689" s="5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</row>
    <row r="690" spans="1:42" ht="15.75" customHeight="1" x14ac:dyDescent="0.3">
      <c r="A690" s="5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</row>
    <row r="691" spans="1:42" ht="15.75" customHeight="1" x14ac:dyDescent="0.3">
      <c r="A691" s="5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</row>
    <row r="692" spans="1:42" ht="15.75" customHeight="1" x14ac:dyDescent="0.3">
      <c r="A692" s="5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</row>
    <row r="693" spans="1:42" ht="15.75" customHeight="1" x14ac:dyDescent="0.3">
      <c r="A693" s="5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</row>
    <row r="694" spans="1:42" ht="15.75" customHeight="1" x14ac:dyDescent="0.3">
      <c r="A694" s="5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</row>
    <row r="695" spans="1:42" ht="15.75" customHeight="1" x14ac:dyDescent="0.3">
      <c r="A695" s="5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</row>
    <row r="696" spans="1:42" ht="15.75" customHeight="1" x14ac:dyDescent="0.3">
      <c r="A696" s="5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</row>
    <row r="697" spans="1:42" ht="15.75" customHeight="1" x14ac:dyDescent="0.3">
      <c r="A697" s="5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</row>
    <row r="698" spans="1:42" ht="15.75" customHeight="1" x14ac:dyDescent="0.3">
      <c r="A698" s="5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</row>
    <row r="699" spans="1:42" ht="15.75" customHeight="1" x14ac:dyDescent="0.3">
      <c r="A699" s="5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</row>
    <row r="700" spans="1:42" ht="15.75" customHeight="1" x14ac:dyDescent="0.3">
      <c r="A700" s="5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</row>
    <row r="701" spans="1:42" ht="15.75" customHeight="1" x14ac:dyDescent="0.3">
      <c r="A701" s="5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</row>
    <row r="702" spans="1:42" ht="15.75" customHeight="1" x14ac:dyDescent="0.3">
      <c r="A702" s="5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</row>
    <row r="703" spans="1:42" ht="15.75" customHeight="1" x14ac:dyDescent="0.3">
      <c r="A703" s="5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</row>
    <row r="704" spans="1:42" ht="15.75" customHeight="1" x14ac:dyDescent="0.3">
      <c r="A704" s="5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</row>
    <row r="705" spans="1:42" ht="15.75" customHeight="1" x14ac:dyDescent="0.3">
      <c r="A705" s="5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</row>
    <row r="706" spans="1:42" ht="15.75" customHeight="1" x14ac:dyDescent="0.3">
      <c r="A706" s="5"/>
      <c r="B706" s="5"/>
      <c r="C706" s="7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</row>
    <row r="707" spans="1:42" ht="15.75" customHeight="1" x14ac:dyDescent="0.3">
      <c r="A707" s="5"/>
      <c r="B707" s="5"/>
      <c r="C707" s="7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</row>
    <row r="708" spans="1:42" ht="15.75" customHeight="1" x14ac:dyDescent="0.3">
      <c r="A708" s="5"/>
      <c r="B708" s="5"/>
      <c r="C708" s="7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</row>
    <row r="709" spans="1:42" ht="15.75" customHeight="1" x14ac:dyDescent="0.3">
      <c r="A709" s="5"/>
      <c r="B709" s="5"/>
      <c r="C709" s="7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</row>
    <row r="710" spans="1:42" ht="15.75" customHeight="1" x14ac:dyDescent="0.3">
      <c r="A710" s="5"/>
      <c r="B710" s="5"/>
      <c r="C710" s="7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</row>
    <row r="711" spans="1:42" ht="15.75" customHeight="1" x14ac:dyDescent="0.3">
      <c r="A711" s="5"/>
      <c r="B711" s="5"/>
      <c r="C711" s="7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</row>
    <row r="712" spans="1:42" ht="15.75" customHeight="1" x14ac:dyDescent="0.3">
      <c r="A712" s="5"/>
      <c r="B712" s="5"/>
      <c r="C712" s="7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</row>
    <row r="713" spans="1:42" ht="15.75" customHeight="1" x14ac:dyDescent="0.3">
      <c r="A713" s="5"/>
      <c r="B713" s="5"/>
      <c r="C713" s="7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</row>
    <row r="714" spans="1:42" ht="15.75" customHeight="1" x14ac:dyDescent="0.3">
      <c r="A714" s="5"/>
      <c r="B714" s="5"/>
      <c r="C714" s="7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</row>
    <row r="715" spans="1:42" ht="15.75" customHeight="1" x14ac:dyDescent="0.3">
      <c r="A715" s="5"/>
      <c r="B715" s="5"/>
      <c r="C715" s="7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</row>
    <row r="716" spans="1:42" ht="15.75" customHeight="1" x14ac:dyDescent="0.3">
      <c r="A716" s="5"/>
      <c r="B716" s="5"/>
      <c r="C716" s="7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</row>
    <row r="717" spans="1:42" ht="15.75" customHeight="1" x14ac:dyDescent="0.3">
      <c r="A717" s="5"/>
      <c r="B717" s="5"/>
      <c r="C717" s="7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</row>
    <row r="718" spans="1:42" ht="15.75" customHeight="1" x14ac:dyDescent="0.3">
      <c r="A718" s="5"/>
      <c r="B718" s="5"/>
      <c r="C718" s="7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</row>
    <row r="719" spans="1:42" ht="15.75" customHeight="1" x14ac:dyDescent="0.3">
      <c r="A719" s="5"/>
      <c r="B719" s="5"/>
      <c r="C719" s="7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</row>
    <row r="720" spans="1:42" ht="15.75" customHeight="1" x14ac:dyDescent="0.3">
      <c r="A720" s="5"/>
      <c r="B720" s="5"/>
      <c r="C720" s="7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</row>
    <row r="721" spans="1:42" ht="15.75" customHeight="1" x14ac:dyDescent="0.3">
      <c r="A721" s="5"/>
      <c r="B721" s="5"/>
      <c r="C721" s="7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</row>
    <row r="722" spans="1:42" ht="15.75" customHeight="1" x14ac:dyDescent="0.3">
      <c r="A722" s="5"/>
      <c r="B722" s="5"/>
      <c r="C722" s="7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</row>
    <row r="723" spans="1:42" ht="15.75" customHeight="1" x14ac:dyDescent="0.3">
      <c r="A723" s="5"/>
      <c r="B723" s="5"/>
      <c r="C723" s="7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</row>
    <row r="724" spans="1:42" ht="15.75" customHeight="1" x14ac:dyDescent="0.3">
      <c r="A724" s="5"/>
      <c r="B724" s="5"/>
      <c r="C724" s="7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</row>
    <row r="725" spans="1:42" ht="15.75" customHeight="1" x14ac:dyDescent="0.3">
      <c r="A725" s="5"/>
      <c r="B725" s="5"/>
      <c r="C725" s="7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</row>
    <row r="726" spans="1:42" ht="15.75" customHeight="1" x14ac:dyDescent="0.3">
      <c r="A726" s="5"/>
      <c r="B726" s="5"/>
      <c r="C726" s="7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</row>
    <row r="727" spans="1:42" ht="15.75" customHeight="1" x14ac:dyDescent="0.3">
      <c r="A727" s="5"/>
      <c r="B727" s="5"/>
      <c r="C727" s="7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</row>
    <row r="728" spans="1:42" ht="15.75" customHeight="1" x14ac:dyDescent="0.3">
      <c r="A728" s="5"/>
      <c r="B728" s="5"/>
      <c r="C728" s="7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</row>
    <row r="729" spans="1:42" ht="15.75" customHeight="1" x14ac:dyDescent="0.3">
      <c r="A729" s="5"/>
      <c r="B729" s="5"/>
      <c r="C729" s="7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</row>
    <row r="730" spans="1:42" ht="15.75" customHeight="1" x14ac:dyDescent="0.3">
      <c r="A730" s="5"/>
      <c r="B730" s="5"/>
      <c r="C730" s="7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</row>
    <row r="731" spans="1:42" ht="15.75" customHeight="1" x14ac:dyDescent="0.3">
      <c r="A731" s="5"/>
      <c r="B731" s="5"/>
      <c r="C731" s="7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</row>
    <row r="732" spans="1:42" ht="15.75" customHeight="1" x14ac:dyDescent="0.3">
      <c r="A732" s="5"/>
      <c r="B732" s="5"/>
      <c r="C732" s="7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</row>
    <row r="733" spans="1:42" ht="15.75" customHeight="1" x14ac:dyDescent="0.3">
      <c r="A733" s="5"/>
      <c r="B733" s="5"/>
      <c r="C733" s="7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</row>
    <row r="734" spans="1:42" ht="15.75" customHeight="1" x14ac:dyDescent="0.3">
      <c r="A734" s="5"/>
      <c r="B734" s="5"/>
      <c r="C734" s="7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</row>
    <row r="735" spans="1:42" ht="15.75" customHeight="1" x14ac:dyDescent="0.3">
      <c r="A735" s="5"/>
      <c r="B735" s="5"/>
      <c r="C735" s="7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</row>
    <row r="736" spans="1:42" ht="15.75" customHeight="1" x14ac:dyDescent="0.3">
      <c r="A736" s="5"/>
      <c r="B736" s="5"/>
      <c r="C736" s="7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</row>
    <row r="737" spans="1:42" ht="15.75" customHeight="1" x14ac:dyDescent="0.3">
      <c r="A737" s="5"/>
      <c r="B737" s="5"/>
      <c r="C737" s="7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</row>
    <row r="738" spans="1:42" ht="15.75" customHeight="1" x14ac:dyDescent="0.3">
      <c r="A738" s="5"/>
      <c r="B738" s="5"/>
      <c r="C738" s="7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</row>
    <row r="739" spans="1:42" ht="15.75" customHeight="1" x14ac:dyDescent="0.3">
      <c r="A739" s="5"/>
      <c r="B739" s="5"/>
      <c r="C739" s="7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</row>
    <row r="740" spans="1:42" ht="15.75" customHeight="1" x14ac:dyDescent="0.3">
      <c r="A740" s="5"/>
      <c r="B740" s="5"/>
      <c r="C740" s="7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</row>
    <row r="741" spans="1:42" ht="15.75" customHeight="1" x14ac:dyDescent="0.3">
      <c r="A741" s="5"/>
      <c r="B741" s="5"/>
      <c r="C741" s="7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</row>
    <row r="742" spans="1:42" ht="15.75" customHeight="1" x14ac:dyDescent="0.3">
      <c r="A742" s="5"/>
      <c r="B742" s="5"/>
      <c r="C742" s="7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</row>
    <row r="743" spans="1:42" ht="15.75" customHeight="1" x14ac:dyDescent="0.3">
      <c r="A743" s="5"/>
      <c r="B743" s="5"/>
      <c r="C743" s="7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</row>
    <row r="744" spans="1:42" ht="15.75" customHeight="1" x14ac:dyDescent="0.3">
      <c r="A744" s="5"/>
      <c r="B744" s="5"/>
      <c r="C744" s="7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</row>
    <row r="745" spans="1:42" ht="15.75" customHeight="1" x14ac:dyDescent="0.3">
      <c r="A745" s="5"/>
      <c r="B745" s="5"/>
      <c r="C745" s="7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</row>
    <row r="746" spans="1:42" ht="15.75" customHeight="1" x14ac:dyDescent="0.3">
      <c r="A746" s="5"/>
      <c r="B746" s="5"/>
      <c r="C746" s="7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</row>
    <row r="747" spans="1:42" ht="15.75" customHeight="1" x14ac:dyDescent="0.3">
      <c r="A747" s="5"/>
      <c r="B747" s="5"/>
      <c r="C747" s="7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</row>
    <row r="748" spans="1:42" ht="15.75" customHeight="1" x14ac:dyDescent="0.3">
      <c r="A748" s="5"/>
      <c r="B748" s="5"/>
      <c r="C748" s="7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</row>
    <row r="749" spans="1:42" ht="15.75" customHeight="1" x14ac:dyDescent="0.3">
      <c r="A749" s="5"/>
      <c r="B749" s="5"/>
      <c r="C749" s="7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</row>
    <row r="750" spans="1:42" ht="15.75" customHeight="1" x14ac:dyDescent="0.3">
      <c r="A750" s="5"/>
      <c r="B750" s="5"/>
      <c r="C750" s="7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</row>
    <row r="751" spans="1:42" ht="15.75" customHeight="1" x14ac:dyDescent="0.3">
      <c r="A751" s="5"/>
      <c r="B751" s="5"/>
      <c r="C751" s="7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</row>
    <row r="752" spans="1:42" ht="15.75" customHeight="1" x14ac:dyDescent="0.3">
      <c r="A752" s="5"/>
      <c r="B752" s="5"/>
      <c r="C752" s="7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</row>
    <row r="753" spans="1:42" ht="15.75" customHeight="1" x14ac:dyDescent="0.3">
      <c r="A753" s="5"/>
      <c r="B753" s="5"/>
      <c r="C753" s="7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</row>
    <row r="754" spans="1:42" ht="15.75" customHeight="1" x14ac:dyDescent="0.3">
      <c r="A754" s="5"/>
      <c r="B754" s="5"/>
      <c r="C754" s="7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</row>
    <row r="755" spans="1:42" ht="15.75" customHeight="1" x14ac:dyDescent="0.3">
      <c r="A755" s="5"/>
      <c r="B755" s="5"/>
      <c r="C755" s="7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</row>
    <row r="756" spans="1:42" ht="15.75" customHeight="1" x14ac:dyDescent="0.3">
      <c r="A756" s="5"/>
      <c r="B756" s="5"/>
      <c r="C756" s="7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</row>
    <row r="757" spans="1:42" ht="15.75" customHeight="1" x14ac:dyDescent="0.3">
      <c r="A757" s="5"/>
      <c r="B757" s="5"/>
      <c r="C757" s="7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</row>
    <row r="758" spans="1:42" ht="15.75" customHeight="1" x14ac:dyDescent="0.3">
      <c r="A758" s="5"/>
      <c r="B758" s="5"/>
      <c r="C758" s="7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</row>
    <row r="759" spans="1:42" ht="15.75" customHeight="1" x14ac:dyDescent="0.3">
      <c r="A759" s="5"/>
      <c r="B759" s="5"/>
      <c r="C759" s="7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</row>
    <row r="760" spans="1:42" ht="15.75" customHeight="1" x14ac:dyDescent="0.3">
      <c r="A760" s="5"/>
      <c r="B760" s="5"/>
      <c r="C760" s="7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</row>
    <row r="761" spans="1:42" ht="15.75" customHeight="1" x14ac:dyDescent="0.3">
      <c r="A761" s="5"/>
      <c r="B761" s="5"/>
      <c r="C761" s="7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</row>
    <row r="762" spans="1:42" ht="15.75" customHeight="1" x14ac:dyDescent="0.3">
      <c r="A762" s="5"/>
      <c r="B762" s="5"/>
      <c r="C762" s="7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</row>
    <row r="763" spans="1:42" ht="15.75" customHeight="1" x14ac:dyDescent="0.3">
      <c r="A763" s="5"/>
      <c r="B763" s="5"/>
      <c r="C763" s="7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</row>
    <row r="764" spans="1:42" ht="15.75" customHeight="1" x14ac:dyDescent="0.3">
      <c r="A764" s="5"/>
      <c r="B764" s="5"/>
      <c r="C764" s="7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</row>
    <row r="765" spans="1:42" ht="15.75" customHeight="1" x14ac:dyDescent="0.3">
      <c r="A765" s="5"/>
      <c r="B765" s="5"/>
      <c r="C765" s="7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</row>
    <row r="766" spans="1:42" ht="15.75" customHeight="1" x14ac:dyDescent="0.3">
      <c r="A766" s="5"/>
      <c r="B766" s="5"/>
      <c r="C766" s="7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</row>
    <row r="767" spans="1:42" ht="15.75" customHeight="1" x14ac:dyDescent="0.3">
      <c r="A767" s="5"/>
      <c r="B767" s="5"/>
      <c r="C767" s="7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</row>
    <row r="768" spans="1:42" ht="15.75" customHeight="1" x14ac:dyDescent="0.3">
      <c r="A768" s="5"/>
      <c r="B768" s="5"/>
      <c r="C768" s="7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</row>
    <row r="769" spans="1:42" ht="15.75" customHeight="1" x14ac:dyDescent="0.3">
      <c r="A769" s="5"/>
      <c r="B769" s="5"/>
      <c r="C769" s="7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</row>
    <row r="770" spans="1:42" ht="15.75" customHeight="1" x14ac:dyDescent="0.3">
      <c r="A770" s="5"/>
      <c r="B770" s="5"/>
      <c r="C770" s="7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</row>
    <row r="771" spans="1:42" ht="15.75" customHeight="1" x14ac:dyDescent="0.3">
      <c r="A771" s="5"/>
      <c r="B771" s="5"/>
      <c r="C771" s="7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</row>
    <row r="772" spans="1:42" ht="15.75" customHeight="1" x14ac:dyDescent="0.3">
      <c r="A772" s="5"/>
      <c r="B772" s="5"/>
      <c r="C772" s="7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</row>
    <row r="773" spans="1:42" ht="15.75" customHeight="1" x14ac:dyDescent="0.3">
      <c r="A773" s="5"/>
      <c r="B773" s="5"/>
      <c r="C773" s="7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</row>
    <row r="774" spans="1:42" ht="15.75" customHeight="1" x14ac:dyDescent="0.3">
      <c r="A774" s="5"/>
      <c r="B774" s="5"/>
      <c r="C774" s="7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</row>
    <row r="775" spans="1:42" ht="15.75" customHeight="1" x14ac:dyDescent="0.3">
      <c r="A775" s="5"/>
      <c r="B775" s="5"/>
      <c r="C775" s="7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</row>
    <row r="776" spans="1:42" ht="15.75" customHeight="1" x14ac:dyDescent="0.3">
      <c r="A776" s="5"/>
      <c r="B776" s="5"/>
      <c r="C776" s="7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</row>
    <row r="777" spans="1:42" ht="15.75" customHeight="1" x14ac:dyDescent="0.3">
      <c r="A777" s="5"/>
      <c r="B777" s="5"/>
      <c r="C777" s="7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</row>
    <row r="778" spans="1:42" ht="15.75" customHeight="1" x14ac:dyDescent="0.3">
      <c r="A778" s="5"/>
      <c r="B778" s="5"/>
      <c r="C778" s="7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</row>
    <row r="779" spans="1:42" ht="15.75" customHeight="1" x14ac:dyDescent="0.3">
      <c r="A779" s="5"/>
      <c r="B779" s="5"/>
      <c r="C779" s="7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</row>
    <row r="780" spans="1:42" ht="15.75" customHeight="1" x14ac:dyDescent="0.3">
      <c r="A780" s="5"/>
      <c r="B780" s="5"/>
      <c r="C780" s="7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</row>
    <row r="781" spans="1:42" ht="15.75" customHeight="1" x14ac:dyDescent="0.3">
      <c r="A781" s="5"/>
      <c r="B781" s="5"/>
      <c r="C781" s="7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</row>
    <row r="782" spans="1:42" ht="15.75" customHeight="1" x14ac:dyDescent="0.3">
      <c r="A782" s="5"/>
      <c r="B782" s="5"/>
      <c r="C782" s="7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</row>
    <row r="783" spans="1:42" ht="15.75" customHeight="1" x14ac:dyDescent="0.3">
      <c r="A783" s="5"/>
      <c r="B783" s="5"/>
      <c r="C783" s="7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</row>
    <row r="784" spans="1:42" ht="15.75" customHeight="1" x14ac:dyDescent="0.3">
      <c r="A784" s="5"/>
      <c r="B784" s="5"/>
      <c r="C784" s="7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</row>
    <row r="785" spans="1:42" ht="15.75" customHeight="1" x14ac:dyDescent="0.3">
      <c r="A785" s="5"/>
      <c r="B785" s="5"/>
      <c r="C785" s="7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</row>
    <row r="786" spans="1:42" ht="15.75" customHeight="1" x14ac:dyDescent="0.3">
      <c r="A786" s="5"/>
      <c r="B786" s="5"/>
      <c r="C786" s="7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</row>
    <row r="787" spans="1:42" ht="15.75" customHeight="1" x14ac:dyDescent="0.3">
      <c r="A787" s="5"/>
      <c r="B787" s="5"/>
      <c r="C787" s="7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</row>
    <row r="788" spans="1:42" ht="15.75" customHeight="1" x14ac:dyDescent="0.3">
      <c r="A788" s="5"/>
      <c r="B788" s="5"/>
      <c r="C788" s="7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</row>
    <row r="789" spans="1:42" ht="15.75" customHeight="1" x14ac:dyDescent="0.3">
      <c r="A789" s="5"/>
      <c r="B789" s="5"/>
      <c r="C789" s="7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</row>
    <row r="790" spans="1:42" ht="15.75" customHeight="1" x14ac:dyDescent="0.3">
      <c r="A790" s="5"/>
      <c r="B790" s="5"/>
      <c r="C790" s="7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</row>
    <row r="791" spans="1:42" ht="15.75" customHeight="1" x14ac:dyDescent="0.3">
      <c r="A791" s="5"/>
      <c r="B791" s="5"/>
      <c r="C791" s="7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</row>
    <row r="792" spans="1:42" ht="15.75" customHeight="1" x14ac:dyDescent="0.3">
      <c r="A792" s="5"/>
      <c r="B792" s="5"/>
      <c r="C792" s="7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</row>
    <row r="793" spans="1:42" ht="15.75" customHeight="1" x14ac:dyDescent="0.3">
      <c r="A793" s="5"/>
      <c r="B793" s="5"/>
      <c r="C793" s="7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</row>
    <row r="794" spans="1:42" ht="15.75" customHeight="1" x14ac:dyDescent="0.3">
      <c r="A794" s="5"/>
      <c r="B794" s="5"/>
      <c r="C794" s="7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</row>
    <row r="795" spans="1:42" ht="15.75" customHeight="1" x14ac:dyDescent="0.3">
      <c r="A795" s="5"/>
      <c r="B795" s="5"/>
      <c r="C795" s="7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</row>
    <row r="796" spans="1:42" ht="15.75" customHeight="1" x14ac:dyDescent="0.3">
      <c r="A796" s="5"/>
      <c r="B796" s="5"/>
      <c r="C796" s="7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</row>
    <row r="797" spans="1:42" ht="15.75" customHeight="1" x14ac:dyDescent="0.3">
      <c r="A797" s="5"/>
      <c r="B797" s="5"/>
      <c r="C797" s="7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</row>
    <row r="798" spans="1:42" ht="15.75" customHeight="1" x14ac:dyDescent="0.3">
      <c r="A798" s="5"/>
      <c r="B798" s="5"/>
      <c r="C798" s="7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</row>
    <row r="799" spans="1:42" ht="15.75" customHeight="1" x14ac:dyDescent="0.3">
      <c r="A799" s="5"/>
      <c r="B799" s="5"/>
      <c r="C799" s="7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</row>
    <row r="800" spans="1:42" ht="15.75" customHeight="1" x14ac:dyDescent="0.3">
      <c r="A800" s="5"/>
      <c r="B800" s="5"/>
      <c r="C800" s="7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</row>
    <row r="801" spans="1:42" ht="15.75" customHeight="1" x14ac:dyDescent="0.3">
      <c r="A801" s="5"/>
      <c r="B801" s="5"/>
      <c r="C801" s="7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</row>
    <row r="802" spans="1:42" ht="15.75" customHeight="1" x14ac:dyDescent="0.3">
      <c r="A802" s="5"/>
      <c r="B802" s="5"/>
      <c r="C802" s="7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</row>
    <row r="803" spans="1:42" ht="15.75" customHeight="1" x14ac:dyDescent="0.3">
      <c r="A803" s="5"/>
      <c r="B803" s="5"/>
      <c r="C803" s="7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</row>
    <row r="804" spans="1:42" ht="15.75" customHeight="1" x14ac:dyDescent="0.3">
      <c r="A804" s="5"/>
      <c r="B804" s="5"/>
      <c r="C804" s="7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</row>
    <row r="805" spans="1:42" ht="15.75" customHeight="1" x14ac:dyDescent="0.3">
      <c r="A805" s="5"/>
      <c r="B805" s="5"/>
      <c r="C805" s="7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</row>
    <row r="806" spans="1:42" ht="15.75" customHeight="1" x14ac:dyDescent="0.3">
      <c r="A806" s="5"/>
      <c r="B806" s="5"/>
      <c r="C806" s="7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</row>
    <row r="807" spans="1:42" ht="15.75" customHeight="1" x14ac:dyDescent="0.3">
      <c r="A807" s="5"/>
      <c r="B807" s="5"/>
      <c r="C807" s="7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</row>
    <row r="808" spans="1:42" ht="15.75" customHeight="1" x14ac:dyDescent="0.3">
      <c r="A808" s="5"/>
      <c r="B808" s="5"/>
      <c r="C808" s="7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</row>
    <row r="809" spans="1:42" ht="15.75" customHeight="1" x14ac:dyDescent="0.3">
      <c r="A809" s="5"/>
      <c r="B809" s="5"/>
      <c r="C809" s="7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</row>
    <row r="810" spans="1:42" ht="15.75" customHeight="1" x14ac:dyDescent="0.3">
      <c r="A810" s="5"/>
      <c r="B810" s="5"/>
      <c r="C810" s="7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</row>
    <row r="811" spans="1:42" ht="15.75" customHeight="1" x14ac:dyDescent="0.3">
      <c r="A811" s="5"/>
      <c r="B811" s="5"/>
      <c r="C811" s="7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</row>
    <row r="812" spans="1:42" ht="15.75" customHeight="1" x14ac:dyDescent="0.3">
      <c r="A812" s="5"/>
      <c r="B812" s="5"/>
      <c r="C812" s="7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</row>
    <row r="813" spans="1:42" ht="15.75" customHeight="1" x14ac:dyDescent="0.3">
      <c r="A813" s="5"/>
      <c r="B813" s="5"/>
      <c r="C813" s="7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</row>
    <row r="814" spans="1:42" ht="15.75" customHeight="1" x14ac:dyDescent="0.3">
      <c r="A814" s="5"/>
      <c r="B814" s="5"/>
      <c r="C814" s="7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</row>
    <row r="815" spans="1:42" ht="15.75" customHeight="1" x14ac:dyDescent="0.3">
      <c r="A815" s="5"/>
      <c r="B815" s="5"/>
      <c r="C815" s="7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</row>
    <row r="816" spans="1:42" ht="15.75" customHeight="1" x14ac:dyDescent="0.3">
      <c r="A816" s="5"/>
      <c r="B816" s="5"/>
      <c r="C816" s="7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</row>
    <row r="817" spans="1:42" ht="15.75" customHeight="1" x14ac:dyDescent="0.3">
      <c r="A817" s="5"/>
      <c r="B817" s="5"/>
      <c r="C817" s="7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</row>
    <row r="818" spans="1:42" ht="15.75" customHeight="1" x14ac:dyDescent="0.3">
      <c r="A818" s="5"/>
      <c r="B818" s="5"/>
      <c r="C818" s="7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</row>
    <row r="819" spans="1:42" ht="15.75" customHeight="1" x14ac:dyDescent="0.3">
      <c r="A819" s="5"/>
      <c r="B819" s="5"/>
      <c r="C819" s="7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</row>
    <row r="820" spans="1:42" ht="15.75" customHeight="1" x14ac:dyDescent="0.3">
      <c r="A820" s="5"/>
      <c r="B820" s="5"/>
      <c r="C820" s="7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</row>
    <row r="821" spans="1:42" ht="15.75" customHeight="1" x14ac:dyDescent="0.3">
      <c r="A821" s="5"/>
      <c r="B821" s="5"/>
      <c r="C821" s="7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</row>
    <row r="822" spans="1:42" ht="15.75" customHeight="1" x14ac:dyDescent="0.3">
      <c r="A822" s="5"/>
      <c r="B822" s="5"/>
      <c r="C822" s="7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</row>
    <row r="823" spans="1:42" ht="15.75" customHeight="1" x14ac:dyDescent="0.3">
      <c r="A823" s="5"/>
      <c r="B823" s="5"/>
      <c r="C823" s="7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</row>
    <row r="824" spans="1:42" ht="15.75" customHeight="1" x14ac:dyDescent="0.3">
      <c r="A824" s="5"/>
      <c r="B824" s="5"/>
      <c r="C824" s="7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</row>
    <row r="825" spans="1:42" ht="15.75" customHeight="1" x14ac:dyDescent="0.3">
      <c r="A825" s="5"/>
      <c r="B825" s="5"/>
      <c r="C825" s="7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</row>
    <row r="826" spans="1:42" ht="15.75" customHeight="1" x14ac:dyDescent="0.3">
      <c r="A826" s="5"/>
      <c r="B826" s="5"/>
      <c r="C826" s="7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</row>
    <row r="827" spans="1:42" ht="15.75" customHeight="1" x14ac:dyDescent="0.3">
      <c r="A827" s="5"/>
      <c r="B827" s="5"/>
      <c r="C827" s="7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</row>
    <row r="828" spans="1:42" ht="15.75" customHeight="1" x14ac:dyDescent="0.3">
      <c r="A828" s="5"/>
      <c r="B828" s="5"/>
      <c r="C828" s="7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</row>
    <row r="829" spans="1:42" ht="15.75" customHeight="1" x14ac:dyDescent="0.3">
      <c r="A829" s="5"/>
      <c r="B829" s="5"/>
      <c r="C829" s="7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</row>
    <row r="830" spans="1:42" ht="15.75" customHeight="1" x14ac:dyDescent="0.3">
      <c r="A830" s="5"/>
      <c r="B830" s="5"/>
      <c r="C830" s="7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</row>
    <row r="831" spans="1:42" ht="15.75" customHeight="1" x14ac:dyDescent="0.3">
      <c r="A831" s="5"/>
      <c r="B831" s="5"/>
      <c r="C831" s="7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</row>
    <row r="832" spans="1:42" ht="15.75" customHeight="1" x14ac:dyDescent="0.3">
      <c r="A832" s="5"/>
      <c r="B832" s="5"/>
      <c r="C832" s="7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</row>
    <row r="833" spans="1:42" ht="15.75" customHeight="1" x14ac:dyDescent="0.3">
      <c r="A833" s="5"/>
      <c r="B833" s="5"/>
      <c r="C833" s="7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</row>
    <row r="834" spans="1:42" ht="15.75" customHeight="1" x14ac:dyDescent="0.3">
      <c r="A834" s="5"/>
      <c r="B834" s="5"/>
      <c r="C834" s="7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</row>
    <row r="835" spans="1:42" ht="15.75" customHeight="1" x14ac:dyDescent="0.3">
      <c r="A835" s="5"/>
      <c r="B835" s="5"/>
      <c r="C835" s="7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</row>
    <row r="836" spans="1:42" ht="15.75" customHeight="1" x14ac:dyDescent="0.3">
      <c r="A836" s="5"/>
      <c r="B836" s="5"/>
      <c r="C836" s="7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</row>
    <row r="837" spans="1:42" ht="15.75" customHeight="1" x14ac:dyDescent="0.3">
      <c r="A837" s="5"/>
      <c r="B837" s="5"/>
      <c r="C837" s="7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</row>
    <row r="838" spans="1:42" ht="15.75" customHeight="1" x14ac:dyDescent="0.3">
      <c r="A838" s="5"/>
      <c r="B838" s="5"/>
      <c r="C838" s="7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</row>
    <row r="839" spans="1:42" ht="15.75" customHeight="1" x14ac:dyDescent="0.3">
      <c r="A839" s="5"/>
      <c r="B839" s="5"/>
      <c r="C839" s="7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</row>
    <row r="840" spans="1:42" ht="15.75" customHeight="1" x14ac:dyDescent="0.3">
      <c r="A840" s="5"/>
      <c r="B840" s="5"/>
      <c r="C840" s="7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</row>
    <row r="841" spans="1:42" ht="15.75" customHeight="1" x14ac:dyDescent="0.3">
      <c r="A841" s="5"/>
      <c r="B841" s="5"/>
      <c r="C841" s="7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</row>
    <row r="842" spans="1:42" ht="15.75" customHeight="1" x14ac:dyDescent="0.3">
      <c r="A842" s="5"/>
      <c r="B842" s="5"/>
      <c r="C842" s="7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</row>
    <row r="843" spans="1:42" ht="15.75" customHeight="1" x14ac:dyDescent="0.3">
      <c r="A843" s="5"/>
      <c r="B843" s="5"/>
      <c r="C843" s="7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</row>
    <row r="844" spans="1:42" ht="15.75" customHeight="1" x14ac:dyDescent="0.3">
      <c r="A844" s="5"/>
      <c r="B844" s="5"/>
      <c r="C844" s="7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</row>
    <row r="845" spans="1:42" ht="15.75" customHeight="1" x14ac:dyDescent="0.3">
      <c r="A845" s="5"/>
      <c r="B845" s="5"/>
      <c r="C845" s="7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</row>
    <row r="846" spans="1:42" ht="15.75" customHeight="1" x14ac:dyDescent="0.3">
      <c r="A846" s="5"/>
      <c r="B846" s="5"/>
      <c r="C846" s="7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</row>
    <row r="847" spans="1:42" ht="15.75" customHeight="1" x14ac:dyDescent="0.3">
      <c r="A847" s="5"/>
      <c r="B847" s="5"/>
      <c r="C847" s="7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</row>
    <row r="848" spans="1:42" ht="15.75" customHeight="1" x14ac:dyDescent="0.3">
      <c r="A848" s="5"/>
      <c r="B848" s="5"/>
      <c r="C848" s="7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</row>
    <row r="849" spans="1:42" ht="15.75" customHeight="1" x14ac:dyDescent="0.3">
      <c r="A849" s="5"/>
      <c r="B849" s="5"/>
      <c r="C849" s="7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</row>
    <row r="850" spans="1:42" ht="15.75" customHeight="1" x14ac:dyDescent="0.3">
      <c r="A850" s="5"/>
      <c r="B850" s="5"/>
      <c r="C850" s="7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</row>
    <row r="851" spans="1:42" ht="15.75" customHeight="1" x14ac:dyDescent="0.3">
      <c r="A851" s="5"/>
      <c r="B851" s="5"/>
      <c r="C851" s="7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</row>
    <row r="852" spans="1:42" ht="15.75" customHeight="1" x14ac:dyDescent="0.3">
      <c r="A852" s="5"/>
      <c r="B852" s="5"/>
      <c r="C852" s="7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</row>
    <row r="853" spans="1:42" ht="15.75" customHeight="1" x14ac:dyDescent="0.3">
      <c r="A853" s="5"/>
      <c r="B853" s="5"/>
      <c r="C853" s="7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</row>
    <row r="854" spans="1:42" ht="15.75" customHeight="1" x14ac:dyDescent="0.3">
      <c r="A854" s="5"/>
      <c r="B854" s="5"/>
      <c r="C854" s="7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</row>
    <row r="855" spans="1:42" ht="15.75" customHeight="1" x14ac:dyDescent="0.3">
      <c r="A855" s="5"/>
      <c r="B855" s="5"/>
      <c r="C855" s="7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</row>
    <row r="856" spans="1:42" ht="15.75" customHeight="1" x14ac:dyDescent="0.3">
      <c r="A856" s="5"/>
      <c r="B856" s="5"/>
      <c r="C856" s="7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</row>
    <row r="857" spans="1:42" ht="15.75" customHeight="1" x14ac:dyDescent="0.3">
      <c r="A857" s="5"/>
      <c r="B857" s="5"/>
      <c r="C857" s="7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</row>
    <row r="858" spans="1:42" ht="15.75" customHeight="1" x14ac:dyDescent="0.3">
      <c r="A858" s="5"/>
      <c r="B858" s="5"/>
      <c r="C858" s="7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</row>
    <row r="859" spans="1:42" ht="15.75" customHeight="1" x14ac:dyDescent="0.3">
      <c r="A859" s="5"/>
      <c r="B859" s="5"/>
      <c r="C859" s="7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</row>
    <row r="860" spans="1:42" ht="15.75" customHeight="1" x14ac:dyDescent="0.3">
      <c r="A860" s="5"/>
      <c r="B860" s="5"/>
      <c r="C860" s="7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</row>
    <row r="861" spans="1:42" ht="15.75" customHeight="1" x14ac:dyDescent="0.3">
      <c r="A861" s="5"/>
      <c r="B861" s="5"/>
      <c r="C861" s="7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</row>
    <row r="862" spans="1:42" ht="15.75" customHeight="1" x14ac:dyDescent="0.3">
      <c r="A862" s="5"/>
      <c r="B862" s="5"/>
      <c r="C862" s="7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</row>
    <row r="863" spans="1:42" ht="15.75" customHeight="1" x14ac:dyDescent="0.3">
      <c r="A863" s="5"/>
      <c r="B863" s="5"/>
      <c r="C863" s="7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</row>
    <row r="864" spans="1:42" ht="15.75" customHeight="1" x14ac:dyDescent="0.3">
      <c r="A864" s="5"/>
      <c r="B864" s="5"/>
      <c r="C864" s="7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</row>
    <row r="865" spans="1:42" ht="15.75" customHeight="1" x14ac:dyDescent="0.3">
      <c r="A865" s="5"/>
      <c r="B865" s="5"/>
      <c r="C865" s="7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</row>
    <row r="866" spans="1:42" ht="15.75" customHeight="1" x14ac:dyDescent="0.3">
      <c r="A866" s="5"/>
      <c r="B866" s="5"/>
      <c r="C866" s="7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</row>
    <row r="867" spans="1:42" ht="15.75" customHeight="1" x14ac:dyDescent="0.3">
      <c r="A867" s="5"/>
      <c r="B867" s="5"/>
      <c r="C867" s="7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</row>
    <row r="868" spans="1:42" ht="15.75" customHeight="1" x14ac:dyDescent="0.3">
      <c r="A868" s="5"/>
      <c r="B868" s="5"/>
      <c r="C868" s="7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</row>
    <row r="869" spans="1:42" ht="15.75" customHeight="1" x14ac:dyDescent="0.3">
      <c r="A869" s="5"/>
      <c r="B869" s="5"/>
      <c r="C869" s="7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</row>
    <row r="870" spans="1:42" ht="15.75" customHeight="1" x14ac:dyDescent="0.3">
      <c r="A870" s="5"/>
      <c r="B870" s="5"/>
      <c r="C870" s="7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</row>
    <row r="871" spans="1:42" ht="15.75" customHeight="1" x14ac:dyDescent="0.3">
      <c r="A871" s="5"/>
      <c r="B871" s="5"/>
      <c r="C871" s="7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</row>
    <row r="872" spans="1:42" ht="15.75" customHeight="1" x14ac:dyDescent="0.3">
      <c r="A872" s="5"/>
      <c r="B872" s="5"/>
      <c r="C872" s="7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</row>
    <row r="873" spans="1:42" ht="15.75" customHeight="1" x14ac:dyDescent="0.3">
      <c r="A873" s="5"/>
      <c r="B873" s="5"/>
      <c r="C873" s="7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</row>
    <row r="874" spans="1:42" ht="15.75" customHeight="1" x14ac:dyDescent="0.3">
      <c r="A874" s="5"/>
      <c r="B874" s="5"/>
      <c r="C874" s="7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</row>
    <row r="875" spans="1:42" ht="15.75" customHeight="1" x14ac:dyDescent="0.3">
      <c r="A875" s="5"/>
      <c r="B875" s="5"/>
      <c r="C875" s="7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</row>
    <row r="876" spans="1:42" ht="15.75" customHeight="1" x14ac:dyDescent="0.3">
      <c r="A876" s="5"/>
      <c r="B876" s="5"/>
      <c r="C876" s="7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</row>
    <row r="877" spans="1:42" ht="15.75" customHeight="1" x14ac:dyDescent="0.3">
      <c r="A877" s="5"/>
      <c r="B877" s="5"/>
      <c r="C877" s="7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</row>
    <row r="878" spans="1:42" ht="15.75" customHeight="1" x14ac:dyDescent="0.3">
      <c r="A878" s="5"/>
      <c r="B878" s="5"/>
      <c r="C878" s="7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</row>
    <row r="879" spans="1:42" ht="15.75" customHeight="1" x14ac:dyDescent="0.3">
      <c r="A879" s="5"/>
      <c r="B879" s="5"/>
      <c r="C879" s="7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</row>
    <row r="880" spans="1:42" ht="15.75" customHeight="1" x14ac:dyDescent="0.3">
      <c r="A880" s="5"/>
      <c r="B880" s="5"/>
      <c r="C880" s="7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</row>
    <row r="881" spans="1:42" ht="15.75" customHeight="1" x14ac:dyDescent="0.3">
      <c r="A881" s="5"/>
      <c r="B881" s="5"/>
      <c r="C881" s="7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</row>
    <row r="882" spans="1:42" ht="15.75" customHeight="1" x14ac:dyDescent="0.3">
      <c r="A882" s="5"/>
      <c r="B882" s="5"/>
      <c r="C882" s="7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</row>
    <row r="883" spans="1:42" ht="15.75" customHeight="1" x14ac:dyDescent="0.3">
      <c r="A883" s="5"/>
      <c r="B883" s="5"/>
      <c r="C883" s="7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</row>
    <row r="884" spans="1:42" ht="15.75" customHeight="1" x14ac:dyDescent="0.3">
      <c r="A884" s="5"/>
      <c r="B884" s="5"/>
      <c r="C884" s="7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</row>
    <row r="885" spans="1:42" ht="15.75" customHeight="1" x14ac:dyDescent="0.3">
      <c r="A885" s="5"/>
      <c r="B885" s="5"/>
      <c r="C885" s="7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</row>
    <row r="886" spans="1:42" ht="15.75" customHeight="1" x14ac:dyDescent="0.3">
      <c r="A886" s="5"/>
      <c r="B886" s="5"/>
      <c r="C886" s="7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</row>
    <row r="887" spans="1:42" ht="15.75" customHeight="1" x14ac:dyDescent="0.3">
      <c r="A887" s="5"/>
      <c r="B887" s="5"/>
      <c r="C887" s="7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</row>
    <row r="888" spans="1:42" ht="15.75" customHeight="1" x14ac:dyDescent="0.3">
      <c r="A888" s="5"/>
      <c r="B888" s="5"/>
      <c r="C888" s="7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</row>
    <row r="889" spans="1:42" ht="15.75" customHeight="1" x14ac:dyDescent="0.3">
      <c r="A889" s="5"/>
      <c r="B889" s="5"/>
      <c r="C889" s="7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</row>
    <row r="890" spans="1:42" ht="15.75" customHeight="1" x14ac:dyDescent="0.3">
      <c r="A890" s="5"/>
      <c r="B890" s="5"/>
      <c r="C890" s="7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</row>
    <row r="891" spans="1:42" ht="15.75" customHeight="1" x14ac:dyDescent="0.3">
      <c r="A891" s="5"/>
      <c r="B891" s="5"/>
      <c r="C891" s="7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</row>
    <row r="892" spans="1:42" ht="15.75" customHeight="1" x14ac:dyDescent="0.3">
      <c r="A892" s="5"/>
      <c r="B892" s="5"/>
      <c r="C892" s="7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</row>
    <row r="893" spans="1:42" ht="15.75" customHeight="1" x14ac:dyDescent="0.3">
      <c r="A893" s="5"/>
      <c r="B893" s="5"/>
      <c r="C893" s="7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</row>
    <row r="894" spans="1:42" ht="15.75" customHeight="1" x14ac:dyDescent="0.3">
      <c r="A894" s="5"/>
      <c r="B894" s="5"/>
      <c r="C894" s="7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</row>
    <row r="895" spans="1:42" ht="15.75" customHeight="1" x14ac:dyDescent="0.3">
      <c r="A895" s="5"/>
      <c r="B895" s="5"/>
      <c r="C895" s="7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</row>
    <row r="896" spans="1:42" ht="15.75" customHeight="1" x14ac:dyDescent="0.3">
      <c r="A896" s="5"/>
      <c r="B896" s="5"/>
      <c r="C896" s="7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</row>
    <row r="897" spans="1:42" ht="15.75" customHeight="1" x14ac:dyDescent="0.3">
      <c r="A897" s="5"/>
      <c r="B897" s="5"/>
      <c r="C897" s="7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</row>
    <row r="898" spans="1:42" ht="15.75" customHeight="1" x14ac:dyDescent="0.3">
      <c r="A898" s="5"/>
      <c r="B898" s="5"/>
      <c r="C898" s="7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</row>
    <row r="899" spans="1:42" ht="15.75" customHeight="1" x14ac:dyDescent="0.3">
      <c r="A899" s="5"/>
      <c r="B899" s="5"/>
      <c r="C899" s="7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</row>
    <row r="900" spans="1:42" ht="15.75" customHeight="1" x14ac:dyDescent="0.3">
      <c r="A900" s="5"/>
      <c r="B900" s="5"/>
      <c r="C900" s="7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</row>
    <row r="901" spans="1:42" ht="15.75" customHeight="1" x14ac:dyDescent="0.3">
      <c r="A901" s="5"/>
      <c r="B901" s="5"/>
      <c r="C901" s="7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</row>
    <row r="902" spans="1:42" ht="15.75" customHeight="1" x14ac:dyDescent="0.3">
      <c r="A902" s="5"/>
      <c r="B902" s="5"/>
      <c r="C902" s="7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</row>
    <row r="903" spans="1:42" ht="15.75" customHeight="1" x14ac:dyDescent="0.3">
      <c r="A903" s="5"/>
      <c r="B903" s="5"/>
      <c r="C903" s="7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</row>
    <row r="904" spans="1:42" ht="15.75" customHeight="1" x14ac:dyDescent="0.3">
      <c r="A904" s="5"/>
      <c r="B904" s="5"/>
      <c r="C904" s="7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</row>
    <row r="905" spans="1:42" ht="15.75" customHeight="1" x14ac:dyDescent="0.3">
      <c r="A905" s="5"/>
      <c r="B905" s="5"/>
      <c r="C905" s="7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</row>
    <row r="906" spans="1:42" ht="15.75" customHeight="1" x14ac:dyDescent="0.3">
      <c r="A906" s="5"/>
      <c r="B906" s="5"/>
      <c r="C906" s="7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</row>
    <row r="907" spans="1:42" ht="15.75" customHeight="1" x14ac:dyDescent="0.3">
      <c r="A907" s="5"/>
      <c r="B907" s="5"/>
      <c r="C907" s="7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</row>
    <row r="908" spans="1:42" ht="15.75" customHeight="1" x14ac:dyDescent="0.3">
      <c r="A908" s="5"/>
      <c r="B908" s="5"/>
      <c r="C908" s="7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</row>
    <row r="909" spans="1:42" ht="15.75" customHeight="1" x14ac:dyDescent="0.3">
      <c r="A909" s="5"/>
      <c r="B909" s="5"/>
      <c r="C909" s="7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</row>
    <row r="910" spans="1:42" ht="15.75" customHeight="1" x14ac:dyDescent="0.3">
      <c r="A910" s="5"/>
      <c r="B910" s="5"/>
      <c r="C910" s="7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</row>
    <row r="911" spans="1:42" ht="15.75" customHeight="1" x14ac:dyDescent="0.3">
      <c r="A911" s="5"/>
      <c r="B911" s="5"/>
      <c r="C911" s="7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</row>
    <row r="912" spans="1:42" ht="15.75" customHeight="1" x14ac:dyDescent="0.3">
      <c r="A912" s="5"/>
      <c r="B912" s="5"/>
      <c r="C912" s="7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</row>
    <row r="913" spans="1:42" ht="15.75" customHeight="1" x14ac:dyDescent="0.3">
      <c r="A913" s="5"/>
      <c r="B913" s="5"/>
      <c r="C913" s="7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</row>
    <row r="914" spans="1:42" ht="15.75" customHeight="1" x14ac:dyDescent="0.3">
      <c r="A914" s="5"/>
      <c r="B914" s="5"/>
      <c r="C914" s="7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</row>
    <row r="915" spans="1:42" ht="15.75" customHeight="1" x14ac:dyDescent="0.3">
      <c r="A915" s="5"/>
      <c r="B915" s="5"/>
      <c r="C915" s="7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</row>
    <row r="916" spans="1:42" ht="15.75" customHeight="1" x14ac:dyDescent="0.3">
      <c r="A916" s="5"/>
      <c r="B916" s="5"/>
      <c r="C916" s="7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</row>
    <row r="917" spans="1:42" ht="15.75" customHeight="1" x14ac:dyDescent="0.3">
      <c r="A917" s="5"/>
      <c r="B917" s="5"/>
      <c r="C917" s="7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</row>
    <row r="918" spans="1:42" ht="15.75" customHeight="1" x14ac:dyDescent="0.3">
      <c r="A918" s="5"/>
      <c r="B918" s="5"/>
      <c r="C918" s="7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</row>
    <row r="919" spans="1:42" ht="15.75" customHeight="1" x14ac:dyDescent="0.3">
      <c r="A919" s="5"/>
      <c r="B919" s="5"/>
      <c r="C919" s="7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</row>
    <row r="920" spans="1:42" ht="15.75" customHeight="1" x14ac:dyDescent="0.3">
      <c r="A920" s="5"/>
      <c r="B920" s="5"/>
      <c r="C920" s="7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</row>
    <row r="921" spans="1:42" ht="15.75" customHeight="1" x14ac:dyDescent="0.3">
      <c r="A921" s="5"/>
      <c r="B921" s="5"/>
      <c r="C921" s="7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</row>
    <row r="922" spans="1:42" ht="15.75" customHeight="1" x14ac:dyDescent="0.3">
      <c r="A922" s="5"/>
      <c r="B922" s="5"/>
      <c r="C922" s="7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</row>
    <row r="923" spans="1:42" ht="15.75" customHeight="1" x14ac:dyDescent="0.3">
      <c r="A923" s="5"/>
      <c r="B923" s="5"/>
      <c r="C923" s="7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</row>
    <row r="924" spans="1:42" ht="15.75" customHeight="1" x14ac:dyDescent="0.3">
      <c r="A924" s="5"/>
      <c r="B924" s="5"/>
      <c r="C924" s="7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</row>
    <row r="925" spans="1:42" ht="15.75" customHeight="1" x14ac:dyDescent="0.3">
      <c r="A925" s="5"/>
      <c r="B925" s="5"/>
      <c r="C925" s="7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</row>
    <row r="926" spans="1:42" ht="15.75" customHeight="1" x14ac:dyDescent="0.3">
      <c r="A926" s="5"/>
      <c r="B926" s="5"/>
      <c r="C926" s="7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</row>
    <row r="927" spans="1:42" ht="15.75" customHeight="1" x14ac:dyDescent="0.3">
      <c r="A927" s="5"/>
      <c r="B927" s="5"/>
      <c r="C927" s="7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</row>
    <row r="928" spans="1:42" ht="15.75" customHeight="1" x14ac:dyDescent="0.3">
      <c r="A928" s="5"/>
      <c r="B928" s="5"/>
      <c r="C928" s="7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</row>
    <row r="929" spans="1:42" ht="15.75" customHeight="1" x14ac:dyDescent="0.3">
      <c r="A929" s="5"/>
      <c r="B929" s="5"/>
      <c r="C929" s="7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</row>
    <row r="930" spans="1:42" ht="15.75" customHeight="1" x14ac:dyDescent="0.3">
      <c r="A930" s="5"/>
      <c r="B930" s="5"/>
      <c r="C930" s="7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</row>
    <row r="931" spans="1:42" ht="15.75" customHeight="1" x14ac:dyDescent="0.3">
      <c r="A931" s="5"/>
      <c r="B931" s="5"/>
      <c r="C931" s="7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</row>
    <row r="932" spans="1:42" ht="15.75" customHeight="1" x14ac:dyDescent="0.3">
      <c r="A932" s="5"/>
      <c r="B932" s="5"/>
      <c r="C932" s="7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</row>
    <row r="933" spans="1:42" ht="15.75" customHeight="1" x14ac:dyDescent="0.3">
      <c r="A933" s="5"/>
      <c r="B933" s="5"/>
      <c r="C933" s="7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</row>
    <row r="934" spans="1:42" ht="15.75" customHeight="1" x14ac:dyDescent="0.3">
      <c r="A934" s="5"/>
      <c r="B934" s="5"/>
      <c r="C934" s="7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</row>
    <row r="935" spans="1:42" ht="15.75" customHeight="1" x14ac:dyDescent="0.3">
      <c r="A935" s="5"/>
      <c r="B935" s="5"/>
      <c r="C935" s="7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</row>
    <row r="936" spans="1:42" ht="15.75" customHeight="1" x14ac:dyDescent="0.3">
      <c r="A936" s="5"/>
      <c r="B936" s="5"/>
      <c r="C936" s="7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</row>
    <row r="937" spans="1:42" ht="15.75" customHeight="1" x14ac:dyDescent="0.3">
      <c r="A937" s="5"/>
      <c r="B937" s="5"/>
      <c r="C937" s="7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</row>
    <row r="938" spans="1:42" ht="15.75" customHeight="1" x14ac:dyDescent="0.3">
      <c r="A938" s="5"/>
      <c r="B938" s="5"/>
      <c r="C938" s="7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</row>
    <row r="939" spans="1:42" ht="15.75" customHeight="1" x14ac:dyDescent="0.3">
      <c r="A939" s="5"/>
      <c r="B939" s="5"/>
      <c r="C939" s="7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</row>
    <row r="940" spans="1:42" ht="15.75" customHeight="1" x14ac:dyDescent="0.3">
      <c r="A940" s="5"/>
      <c r="B940" s="5"/>
      <c r="C940" s="7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</row>
    <row r="941" spans="1:42" ht="15.75" customHeight="1" x14ac:dyDescent="0.3">
      <c r="A941" s="5"/>
      <c r="B941" s="5"/>
      <c r="C941" s="7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</row>
    <row r="942" spans="1:42" ht="15.75" customHeight="1" x14ac:dyDescent="0.3">
      <c r="A942" s="5"/>
      <c r="B942" s="5"/>
      <c r="C942" s="7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</row>
    <row r="943" spans="1:42" ht="15.75" customHeight="1" x14ac:dyDescent="0.3">
      <c r="A943" s="5"/>
      <c r="B943" s="5"/>
      <c r="C943" s="7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</row>
    <row r="944" spans="1:42" ht="15.75" customHeight="1" x14ac:dyDescent="0.3">
      <c r="A944" s="5"/>
      <c r="B944" s="5"/>
      <c r="C944" s="7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</row>
    <row r="945" spans="1:42" ht="15.75" customHeight="1" x14ac:dyDescent="0.3">
      <c r="A945" s="5"/>
      <c r="B945" s="5"/>
      <c r="C945" s="7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</row>
    <row r="946" spans="1:42" ht="15.75" customHeight="1" x14ac:dyDescent="0.3">
      <c r="A946" s="5"/>
      <c r="B946" s="5"/>
      <c r="C946" s="7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</row>
    <row r="947" spans="1:42" ht="15.75" customHeight="1" x14ac:dyDescent="0.3">
      <c r="A947" s="5"/>
      <c r="B947" s="5"/>
      <c r="C947" s="7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</row>
    <row r="948" spans="1:42" ht="15.75" customHeight="1" x14ac:dyDescent="0.3">
      <c r="A948" s="5"/>
      <c r="B948" s="5"/>
      <c r="C948" s="7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</row>
    <row r="949" spans="1:42" ht="15.75" customHeight="1" x14ac:dyDescent="0.3">
      <c r="A949" s="5"/>
      <c r="B949" s="5"/>
      <c r="C949" s="7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</row>
    <row r="950" spans="1:42" ht="15.75" customHeight="1" x14ac:dyDescent="0.3">
      <c r="A950" s="5"/>
      <c r="B950" s="5"/>
      <c r="C950" s="7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</row>
    <row r="951" spans="1:42" ht="15.75" customHeight="1" x14ac:dyDescent="0.3">
      <c r="A951" s="5"/>
      <c r="B951" s="5"/>
      <c r="C951" s="7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</row>
    <row r="952" spans="1:42" ht="15.75" customHeight="1" x14ac:dyDescent="0.3">
      <c r="A952" s="5"/>
      <c r="B952" s="5"/>
      <c r="C952" s="7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</row>
    <row r="953" spans="1:42" ht="15.75" customHeight="1" x14ac:dyDescent="0.3">
      <c r="A953" s="5"/>
      <c r="B953" s="5"/>
      <c r="C953" s="7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</row>
    <row r="954" spans="1:42" ht="15.75" customHeight="1" x14ac:dyDescent="0.3">
      <c r="A954" s="5"/>
      <c r="B954" s="5"/>
      <c r="C954" s="7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</row>
    <row r="955" spans="1:42" ht="15.75" customHeight="1" x14ac:dyDescent="0.3">
      <c r="A955" s="5"/>
      <c r="B955" s="5"/>
      <c r="C955" s="7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</row>
    <row r="956" spans="1:42" ht="15.75" customHeight="1" x14ac:dyDescent="0.3">
      <c r="A956" s="5"/>
      <c r="B956" s="5"/>
      <c r="C956" s="7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</row>
    <row r="957" spans="1:42" ht="15.75" customHeight="1" x14ac:dyDescent="0.3">
      <c r="A957" s="5"/>
      <c r="B957" s="5"/>
      <c r="C957" s="7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</row>
    <row r="958" spans="1:42" ht="15.75" customHeight="1" x14ac:dyDescent="0.3">
      <c r="A958" s="5"/>
      <c r="B958" s="5"/>
      <c r="C958" s="7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</row>
    <row r="959" spans="1:42" ht="15.75" customHeight="1" x14ac:dyDescent="0.3">
      <c r="A959" s="5"/>
      <c r="B959" s="5"/>
      <c r="C959" s="7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</row>
    <row r="960" spans="1:42" ht="15.75" customHeight="1" x14ac:dyDescent="0.3">
      <c r="A960" s="5"/>
      <c r="B960" s="5"/>
      <c r="C960" s="7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</row>
    <row r="961" spans="1:42" ht="15.75" customHeight="1" x14ac:dyDescent="0.3">
      <c r="A961" s="5"/>
      <c r="B961" s="5"/>
      <c r="C961" s="7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</row>
    <row r="962" spans="1:42" ht="15.75" customHeight="1" x14ac:dyDescent="0.3">
      <c r="A962" s="5"/>
      <c r="B962" s="5"/>
      <c r="C962" s="7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</row>
    <row r="963" spans="1:42" ht="15.75" customHeight="1" x14ac:dyDescent="0.3">
      <c r="A963" s="5"/>
      <c r="B963" s="5"/>
      <c r="C963" s="7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</row>
    <row r="964" spans="1:42" ht="15.75" customHeight="1" x14ac:dyDescent="0.3">
      <c r="A964" s="5"/>
      <c r="B964" s="5"/>
      <c r="C964" s="7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</row>
    <row r="965" spans="1:42" ht="15.75" customHeight="1" x14ac:dyDescent="0.3">
      <c r="A965" s="5"/>
      <c r="B965" s="5"/>
      <c r="C965" s="7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</row>
    <row r="966" spans="1:42" ht="15.75" customHeight="1" x14ac:dyDescent="0.3">
      <c r="A966" s="5"/>
      <c r="B966" s="5"/>
      <c r="C966" s="7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</row>
    <row r="967" spans="1:42" ht="15.75" customHeight="1" x14ac:dyDescent="0.3">
      <c r="A967" s="5"/>
      <c r="B967" s="5"/>
      <c r="C967" s="7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</row>
    <row r="968" spans="1:42" ht="15.75" customHeight="1" x14ac:dyDescent="0.3">
      <c r="A968" s="5"/>
      <c r="B968" s="5"/>
      <c r="C968" s="7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</row>
    <row r="969" spans="1:42" ht="15.75" customHeight="1" x14ac:dyDescent="0.3">
      <c r="A969" s="5"/>
      <c r="B969" s="5"/>
      <c r="C969" s="7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</row>
    <row r="970" spans="1:42" ht="15.75" customHeight="1" x14ac:dyDescent="0.3">
      <c r="A970" s="5"/>
      <c r="B970" s="5"/>
      <c r="C970" s="7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</row>
    <row r="971" spans="1:42" ht="15.75" customHeight="1" x14ac:dyDescent="0.3">
      <c r="A971" s="5"/>
      <c r="B971" s="5"/>
      <c r="C971" s="7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</row>
    <row r="972" spans="1:42" ht="15.75" customHeight="1" x14ac:dyDescent="0.3">
      <c r="A972" s="5"/>
      <c r="B972" s="5"/>
      <c r="C972" s="7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</row>
    <row r="973" spans="1:42" ht="15.75" customHeight="1" x14ac:dyDescent="0.3">
      <c r="A973" s="5"/>
      <c r="B973" s="5"/>
      <c r="C973" s="7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</row>
    <row r="974" spans="1:42" ht="15.75" customHeight="1" x14ac:dyDescent="0.3">
      <c r="A974" s="5"/>
      <c r="B974" s="5"/>
      <c r="C974" s="7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</row>
    <row r="975" spans="1:42" ht="15.75" customHeight="1" x14ac:dyDescent="0.3">
      <c r="A975" s="5"/>
      <c r="B975" s="5"/>
      <c r="C975" s="7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</row>
    <row r="976" spans="1:42" ht="15.75" customHeight="1" x14ac:dyDescent="0.3">
      <c r="A976" s="5"/>
      <c r="B976" s="5"/>
      <c r="C976" s="7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</row>
    <row r="977" spans="1:42" ht="15.75" customHeight="1" x14ac:dyDescent="0.3">
      <c r="A977" s="5"/>
      <c r="B977" s="5"/>
      <c r="C977" s="7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</row>
    <row r="978" spans="1:42" ht="15.75" customHeight="1" x14ac:dyDescent="0.3">
      <c r="A978" s="5"/>
      <c r="B978" s="5"/>
      <c r="C978" s="7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</row>
    <row r="979" spans="1:42" ht="15.75" customHeight="1" x14ac:dyDescent="0.3">
      <c r="A979" s="5"/>
      <c r="B979" s="5"/>
      <c r="C979" s="7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</row>
    <row r="980" spans="1:42" ht="15.75" customHeight="1" x14ac:dyDescent="0.3">
      <c r="A980" s="5"/>
      <c r="B980" s="5"/>
      <c r="C980" s="7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</row>
    <row r="981" spans="1:42" ht="15.75" customHeight="1" x14ac:dyDescent="0.3">
      <c r="A981" s="5"/>
      <c r="B981" s="5"/>
      <c r="C981" s="7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</row>
    <row r="982" spans="1:42" ht="15.75" customHeight="1" x14ac:dyDescent="0.3">
      <c r="A982" s="5"/>
      <c r="B982" s="5"/>
      <c r="C982" s="7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</row>
    <row r="983" spans="1:42" ht="15.75" customHeight="1" x14ac:dyDescent="0.3">
      <c r="A983" s="5"/>
      <c r="B983" s="5"/>
      <c r="C983" s="7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</row>
    <row r="984" spans="1:42" ht="15.75" customHeight="1" x14ac:dyDescent="0.3">
      <c r="A984" s="5"/>
      <c r="B984" s="5"/>
      <c r="C984" s="7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</row>
    <row r="985" spans="1:42" ht="15.75" customHeight="1" x14ac:dyDescent="0.3">
      <c r="A985" s="5"/>
      <c r="B985" s="5"/>
      <c r="C985" s="7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</row>
    <row r="986" spans="1:42" ht="15.75" customHeight="1" x14ac:dyDescent="0.3">
      <c r="A986" s="5"/>
      <c r="B986" s="5"/>
      <c r="C986" s="7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</row>
    <row r="987" spans="1:42" ht="15.75" customHeight="1" x14ac:dyDescent="0.3">
      <c r="A987" s="5"/>
      <c r="B987" s="5"/>
      <c r="C987" s="7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</row>
    <row r="988" spans="1:42" ht="15.75" customHeight="1" x14ac:dyDescent="0.3">
      <c r="A988" s="5"/>
      <c r="B988" s="5"/>
      <c r="C988" s="7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</row>
    <row r="989" spans="1:42" ht="15.75" customHeight="1" x14ac:dyDescent="0.3">
      <c r="A989" s="5"/>
      <c r="B989" s="5"/>
      <c r="C989" s="7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</row>
    <row r="990" spans="1:42" ht="15.75" customHeight="1" x14ac:dyDescent="0.3">
      <c r="A990" s="5"/>
      <c r="B990" s="5"/>
      <c r="C990" s="7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</row>
    <row r="991" spans="1:42" ht="15.75" customHeight="1" x14ac:dyDescent="0.3">
      <c r="A991" s="5"/>
      <c r="B991" s="5"/>
      <c r="C991" s="7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</row>
    <row r="992" spans="1:42" ht="15.75" customHeight="1" x14ac:dyDescent="0.3">
      <c r="A992" s="5"/>
      <c r="B992" s="5"/>
      <c r="C992" s="7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</row>
    <row r="993" spans="1:42" ht="15.75" customHeight="1" x14ac:dyDescent="0.3">
      <c r="A993" s="5"/>
      <c r="B993" s="5"/>
      <c r="C993" s="7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</row>
    <row r="994" spans="1:42" ht="15.75" customHeight="1" x14ac:dyDescent="0.3">
      <c r="A994" s="5"/>
      <c r="B994" s="5"/>
      <c r="C994" s="7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</row>
    <row r="995" spans="1:42" ht="15.75" customHeight="1" x14ac:dyDescent="0.3">
      <c r="A995" s="5"/>
      <c r="B995" s="5"/>
      <c r="C995" s="7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</row>
    <row r="996" spans="1:42" ht="15.75" customHeight="1" x14ac:dyDescent="0.3">
      <c r="A996" s="5"/>
      <c r="B996" s="5"/>
      <c r="C996" s="7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</row>
    <row r="997" spans="1:42" ht="15.75" customHeight="1" x14ac:dyDescent="0.3">
      <c r="A997" s="5"/>
      <c r="B997" s="5"/>
      <c r="C997" s="7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</row>
    <row r="998" spans="1:42" ht="15.75" customHeight="1" x14ac:dyDescent="0.3">
      <c r="A998" s="5"/>
      <c r="B998" s="5"/>
      <c r="C998" s="7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</row>
    <row r="999" spans="1:42" ht="15.75" customHeight="1" x14ac:dyDescent="0.3">
      <c r="A999" s="5"/>
      <c r="B999" s="5"/>
      <c r="C999" s="7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</row>
    <row r="1000" spans="1:42" ht="15.75" customHeight="1" x14ac:dyDescent="0.3">
      <c r="A1000" s="5"/>
      <c r="B1000" s="5"/>
      <c r="C1000" s="7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</row>
    <row r="1001" spans="1:42" ht="15.75" customHeight="1" x14ac:dyDescent="0.3">
      <c r="A1001" s="5"/>
      <c r="B1001" s="5"/>
      <c r="C1001" s="7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</row>
    <row r="1002" spans="1:42" ht="15.75" customHeight="1" x14ac:dyDescent="0.3">
      <c r="A1002" s="5"/>
      <c r="B1002" s="5"/>
      <c r="C1002" s="7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</row>
    <row r="1003" spans="1:42" ht="15.75" customHeight="1" x14ac:dyDescent="0.3">
      <c r="A1003" s="5"/>
      <c r="B1003" s="5"/>
      <c r="C1003" s="7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</row>
    <row r="1004" spans="1:42" ht="15.75" customHeight="1" x14ac:dyDescent="0.3">
      <c r="A1004" s="5"/>
      <c r="B1004" s="5"/>
      <c r="C1004" s="7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</row>
    <row r="1005" spans="1:42" ht="15.75" customHeight="1" x14ac:dyDescent="0.3">
      <c r="A1005" s="5"/>
      <c r="B1005" s="5"/>
      <c r="C1005" s="7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</row>
    <row r="1006" spans="1:42" ht="15.75" customHeight="1" x14ac:dyDescent="0.3">
      <c r="A1006" s="5"/>
      <c r="B1006" s="5"/>
      <c r="C1006" s="7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</row>
    <row r="1007" spans="1:42" ht="15.75" customHeight="1" x14ac:dyDescent="0.3">
      <c r="A1007" s="5"/>
      <c r="B1007" s="5"/>
      <c r="C1007" s="7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</row>
    <row r="1008" spans="1:42" ht="15.75" customHeight="1" x14ac:dyDescent="0.3">
      <c r="A1008" s="5"/>
      <c r="B1008" s="5"/>
      <c r="C1008" s="7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</row>
    <row r="1009" spans="1:42" ht="15.75" customHeight="1" x14ac:dyDescent="0.3">
      <c r="A1009" s="5"/>
      <c r="B1009" s="5"/>
      <c r="C1009" s="7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</row>
    <row r="1010" spans="1:42" ht="15.75" customHeight="1" x14ac:dyDescent="0.3">
      <c r="A1010" s="5"/>
      <c r="B1010" s="5"/>
      <c r="C1010" s="7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</row>
    <row r="1011" spans="1:42" ht="15.75" customHeight="1" x14ac:dyDescent="0.3">
      <c r="A1011" s="5"/>
      <c r="B1011" s="5"/>
      <c r="C1011" s="7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</row>
    <row r="1012" spans="1:42" ht="15.75" customHeight="1" x14ac:dyDescent="0.3">
      <c r="A1012" s="5"/>
      <c r="B1012" s="5"/>
      <c r="C1012" s="7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</row>
    <row r="1013" spans="1:42" ht="15.75" customHeight="1" x14ac:dyDescent="0.3">
      <c r="A1013" s="5"/>
      <c r="B1013" s="5"/>
      <c r="C1013" s="7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</row>
    <row r="1014" spans="1:42" ht="15.75" customHeight="1" x14ac:dyDescent="0.3">
      <c r="A1014" s="5"/>
      <c r="B1014" s="5"/>
      <c r="C1014" s="7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</row>
    <row r="1015" spans="1:42" ht="15.75" customHeight="1" x14ac:dyDescent="0.3">
      <c r="A1015" s="5"/>
      <c r="B1015" s="5"/>
      <c r="C1015" s="7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</row>
    <row r="1016" spans="1:42" ht="15.75" customHeight="1" x14ac:dyDescent="0.3">
      <c r="A1016" s="5"/>
      <c r="B1016" s="5"/>
      <c r="C1016" s="7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</row>
    <row r="1017" spans="1:42" ht="15.75" customHeight="1" x14ac:dyDescent="0.3">
      <c r="A1017" s="5"/>
      <c r="B1017" s="5"/>
      <c r="C1017" s="7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</row>
    <row r="1018" spans="1:42" ht="15.75" customHeight="1" x14ac:dyDescent="0.3">
      <c r="A1018" s="5"/>
      <c r="B1018" s="5"/>
      <c r="C1018" s="7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</row>
    <row r="1019" spans="1:42" ht="15.75" customHeight="1" x14ac:dyDescent="0.3">
      <c r="A1019" s="5"/>
      <c r="B1019" s="5"/>
      <c r="C1019" s="7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</row>
    <row r="1020" spans="1:42" ht="15.75" customHeight="1" x14ac:dyDescent="0.3">
      <c r="A1020" s="5"/>
      <c r="B1020" s="5"/>
      <c r="C1020" s="7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</row>
    <row r="1021" spans="1:42" ht="15.75" customHeight="1" x14ac:dyDescent="0.3">
      <c r="A1021" s="5"/>
      <c r="B1021" s="5"/>
      <c r="C1021" s="7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</row>
    <row r="1022" spans="1:42" ht="15.75" customHeight="1" x14ac:dyDescent="0.3">
      <c r="A1022" s="5"/>
      <c r="B1022" s="5"/>
      <c r="C1022" s="7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</row>
    <row r="1023" spans="1:42" ht="15.75" customHeight="1" x14ac:dyDescent="0.3">
      <c r="A1023" s="5"/>
      <c r="B1023" s="5"/>
      <c r="C1023" s="7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</row>
    <row r="1024" spans="1:42" ht="15.75" customHeight="1" x14ac:dyDescent="0.3">
      <c r="A1024" s="5"/>
      <c r="B1024" s="5"/>
      <c r="C1024" s="7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</row>
    <row r="1025" spans="1:42" ht="15.75" customHeight="1" x14ac:dyDescent="0.3">
      <c r="A1025" s="5"/>
      <c r="B1025" s="5"/>
      <c r="C1025" s="7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</row>
    <row r="1026" spans="1:42" ht="15.75" customHeight="1" x14ac:dyDescent="0.3">
      <c r="A1026" s="5"/>
      <c r="B1026" s="5"/>
      <c r="C1026" s="7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</row>
    <row r="1027" spans="1:42" ht="15.75" customHeight="1" x14ac:dyDescent="0.3">
      <c r="A1027" s="5"/>
      <c r="B1027" s="5"/>
      <c r="C1027" s="7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</row>
    <row r="1028" spans="1:42" ht="15.75" customHeight="1" x14ac:dyDescent="0.3">
      <c r="A1028" s="5"/>
      <c r="B1028" s="5"/>
      <c r="C1028" s="7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</row>
    <row r="1029" spans="1:42" ht="15.75" customHeight="1" x14ac:dyDescent="0.3">
      <c r="A1029" s="5"/>
      <c r="B1029" s="5"/>
      <c r="C1029" s="7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</row>
    <row r="1030" spans="1:42" ht="15.75" customHeight="1" x14ac:dyDescent="0.3">
      <c r="A1030" s="5"/>
      <c r="B1030" s="5"/>
      <c r="C1030" s="7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</row>
    <row r="1031" spans="1:42" ht="15.75" customHeight="1" x14ac:dyDescent="0.3">
      <c r="A1031" s="5"/>
      <c r="B1031" s="5"/>
      <c r="C1031" s="7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</row>
    <row r="1032" spans="1:42" ht="15.75" customHeight="1" x14ac:dyDescent="0.3">
      <c r="A1032" s="5"/>
      <c r="B1032" s="5"/>
      <c r="C1032" s="7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</row>
  </sheetData>
  <mergeCells count="2">
    <mergeCell ref="B1:Q3"/>
    <mergeCell ref="O53:O55"/>
  </mergeCells>
  <conditionalFormatting sqref="D18:D33">
    <cfRule type="colorScale" priority="24">
      <colorScale>
        <cfvo type="min"/>
        <cfvo type="max"/>
        <color rgb="FFFFFFFF"/>
        <color rgb="FF57BB8A"/>
      </colorScale>
    </cfRule>
  </conditionalFormatting>
  <conditionalFormatting sqref="D45:G46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12:E33">
    <cfRule type="colorScale" priority="1">
      <colorScale>
        <cfvo type="min"/>
        <cfvo type="max"/>
        <color rgb="FFFFFFFF"/>
        <color rgb="FF57BB8A"/>
      </colorScale>
    </cfRule>
  </conditionalFormatting>
  <conditionalFormatting sqref="F12:F35">
    <cfRule type="colorScale" priority="2">
      <colorScale>
        <cfvo type="min"/>
        <cfvo type="max"/>
        <color rgb="FFFFFFFF"/>
        <color rgb="FF57BB8A"/>
      </colorScale>
    </cfRule>
  </conditionalFormatting>
  <conditionalFormatting sqref="G12:G33">
    <cfRule type="colorScale" priority="3">
      <colorScale>
        <cfvo type="min"/>
        <cfvo type="max"/>
        <color rgb="FFFFFFFF"/>
        <color rgb="FF57BB8A"/>
      </colorScale>
    </cfRule>
  </conditionalFormatting>
  <conditionalFormatting sqref="H12:H35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36:H41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45:H46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36:J41 N36:N41 G39 G41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2:J35">
    <cfRule type="colorScale" priority="5">
      <colorScale>
        <cfvo type="min"/>
        <cfvo type="max"/>
        <color rgb="FFFFFFFF"/>
        <color rgb="FF57BB8A"/>
      </colorScale>
    </cfRule>
  </conditionalFormatting>
  <conditionalFormatting sqref="K36:L41">
    <cfRule type="colorScale" priority="1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45:N46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47:N47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50:N50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53:N53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55:N55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36:M41">
    <cfRule type="colorScale" priority="19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12:N35">
    <cfRule type="colorScale" priority="6">
      <colorScale>
        <cfvo type="min"/>
        <cfvo type="max"/>
        <color rgb="FFFFFFFF"/>
        <color rgb="FF57BB8A"/>
      </colorScale>
    </cfRule>
  </conditionalFormatting>
  <conditionalFormatting sqref="T42:T49 AF42:AF49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52:T64">
    <cfRule type="colorScale" priority="7">
      <colorScale>
        <cfvo type="min"/>
        <cfvo type="max"/>
        <color rgb="FFFFFFFF"/>
        <color rgb="FF57BB8A"/>
      </colorScale>
    </cfRule>
  </conditionalFormatting>
  <conditionalFormatting sqref="U52:U64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Z51:Z59">
    <cfRule type="colorScale" priority="9">
      <colorScale>
        <cfvo type="min"/>
        <cfvo type="max"/>
        <color rgb="FFFFFFFF"/>
        <color rgb="FF57BB8A"/>
      </colorScale>
    </cfRule>
  </conditionalFormatting>
  <conditionalFormatting sqref="AA51:AA59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P20">
    <cfRule type="colorScale" priority="11">
      <colorScale>
        <cfvo type="min"/>
        <cfvo type="max"/>
        <color rgb="FFE67C73"/>
        <color rgb="FFFFFFFF"/>
      </colorScale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D0A27-A849-4D8B-A542-CCD2919DBE5A}">
  <sheetPr>
    <outlinePr summaryBelow="0" summaryRight="0"/>
  </sheetPr>
  <dimension ref="A1:U1000"/>
  <sheetViews>
    <sheetView workbookViewId="0"/>
  </sheetViews>
  <sheetFormatPr defaultColWidth="14" defaultRowHeight="15" customHeight="1" x14ac:dyDescent="0.3"/>
  <cols>
    <col min="1" max="6" width="14" customWidth="1"/>
  </cols>
  <sheetData>
    <row r="1" spans="1:14" ht="15.75" customHeight="1" x14ac:dyDescent="0.3"/>
    <row r="2" spans="1:14" ht="15.75" customHeight="1" x14ac:dyDescent="0.3">
      <c r="B2" s="98" t="s">
        <v>141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ht="15.75" customHeight="1" x14ac:dyDescent="0.3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 ht="15.75" customHeight="1" x14ac:dyDescent="0.3"/>
    <row r="5" spans="1:14" ht="15.75" customHeight="1" x14ac:dyDescent="0.3"/>
    <row r="6" spans="1:14" ht="15.75" customHeight="1" x14ac:dyDescent="0.3">
      <c r="A6" s="102" t="s">
        <v>142</v>
      </c>
    </row>
    <row r="7" spans="1:14" ht="15.75" customHeight="1" x14ac:dyDescent="0.3">
      <c r="B7" s="103" t="s">
        <v>93</v>
      </c>
      <c r="C7" s="103" t="s">
        <v>143</v>
      </c>
      <c r="D7" s="103" t="s">
        <v>144</v>
      </c>
      <c r="E7" s="103" t="s">
        <v>131</v>
      </c>
      <c r="H7" s="103" t="s">
        <v>93</v>
      </c>
      <c r="I7" s="103" t="s">
        <v>145</v>
      </c>
      <c r="J7" s="104"/>
    </row>
    <row r="8" spans="1:14" ht="15.75" customHeight="1" x14ac:dyDescent="0.3">
      <c r="B8" s="104" t="s">
        <v>146</v>
      </c>
      <c r="C8" s="104">
        <v>25</v>
      </c>
      <c r="D8" s="104">
        <v>33</v>
      </c>
      <c r="E8" s="104">
        <f t="shared" ref="E8:E20" si="0">SUM(C8:D8)</f>
        <v>58</v>
      </c>
      <c r="H8" s="104" t="s">
        <v>119</v>
      </c>
      <c r="I8" s="105">
        <v>0.33</v>
      </c>
    </row>
    <row r="9" spans="1:14" ht="15.75" customHeight="1" x14ac:dyDescent="0.3">
      <c r="B9" s="104" t="s">
        <v>147</v>
      </c>
      <c r="C9" s="104">
        <v>29</v>
      </c>
      <c r="D9" s="104">
        <v>38</v>
      </c>
      <c r="E9" s="104">
        <f t="shared" si="0"/>
        <v>67</v>
      </c>
      <c r="H9" s="104" t="s">
        <v>148</v>
      </c>
      <c r="I9" s="105">
        <v>0.21</v>
      </c>
    </row>
    <row r="10" spans="1:14" ht="15.75" customHeight="1" x14ac:dyDescent="0.3">
      <c r="B10" s="104" t="s">
        <v>149</v>
      </c>
      <c r="C10" s="104">
        <v>33</v>
      </c>
      <c r="D10" s="104">
        <v>41</v>
      </c>
      <c r="E10" s="104">
        <f t="shared" si="0"/>
        <v>74</v>
      </c>
      <c r="H10" s="104" t="s">
        <v>150</v>
      </c>
      <c r="I10" s="105">
        <v>0.04</v>
      </c>
      <c r="N10" s="90"/>
    </row>
    <row r="11" spans="1:14" ht="15.75" customHeight="1" x14ac:dyDescent="0.3">
      <c r="B11" s="104" t="s">
        <v>151</v>
      </c>
      <c r="C11" s="104">
        <v>37</v>
      </c>
      <c r="D11" s="104">
        <v>43</v>
      </c>
      <c r="E11" s="104">
        <f t="shared" si="0"/>
        <v>80</v>
      </c>
      <c r="H11" s="104" t="s">
        <v>152</v>
      </c>
      <c r="I11" s="105">
        <v>0.16</v>
      </c>
    </row>
    <row r="12" spans="1:14" ht="15.75" customHeight="1" x14ac:dyDescent="0.3">
      <c r="B12" s="104" t="s">
        <v>153</v>
      </c>
      <c r="C12" s="104">
        <v>41</v>
      </c>
      <c r="D12" s="104">
        <v>42</v>
      </c>
      <c r="E12" s="104">
        <f t="shared" si="0"/>
        <v>83</v>
      </c>
      <c r="H12" s="104" t="s">
        <v>154</v>
      </c>
      <c r="I12" s="105">
        <v>0.11</v>
      </c>
    </row>
    <row r="13" spans="1:14" ht="15.75" customHeight="1" x14ac:dyDescent="0.3">
      <c r="B13" s="104" t="s">
        <v>155</v>
      </c>
      <c r="C13" s="104">
        <v>49</v>
      </c>
      <c r="D13" s="104">
        <v>45</v>
      </c>
      <c r="E13" s="104">
        <f t="shared" si="0"/>
        <v>94</v>
      </c>
      <c r="H13" s="104" t="s">
        <v>156</v>
      </c>
      <c r="I13" s="105">
        <v>0.08</v>
      </c>
    </row>
    <row r="14" spans="1:14" ht="15.75" customHeight="1" x14ac:dyDescent="0.3">
      <c r="B14" s="104" t="s">
        <v>157</v>
      </c>
      <c r="C14" s="104">
        <v>56</v>
      </c>
      <c r="D14" s="104">
        <v>49</v>
      </c>
      <c r="E14" s="104">
        <f t="shared" si="0"/>
        <v>105</v>
      </c>
      <c r="H14" s="104" t="s">
        <v>158</v>
      </c>
      <c r="I14" s="105">
        <v>0.03</v>
      </c>
    </row>
    <row r="15" spans="1:14" ht="15.75" customHeight="1" x14ac:dyDescent="0.3">
      <c r="B15" s="104" t="s">
        <v>159</v>
      </c>
      <c r="C15" s="104">
        <v>64</v>
      </c>
      <c r="D15" s="104">
        <v>47</v>
      </c>
      <c r="E15" s="104">
        <f t="shared" si="0"/>
        <v>111</v>
      </c>
      <c r="H15" s="104" t="s">
        <v>160</v>
      </c>
      <c r="I15" s="105">
        <v>0.02</v>
      </c>
    </row>
    <row r="16" spans="1:14" ht="15.75" customHeight="1" thickBot="1" x14ac:dyDescent="0.35">
      <c r="B16" s="104" t="s">
        <v>161</v>
      </c>
      <c r="C16" s="104">
        <v>78</v>
      </c>
      <c r="D16" s="104">
        <v>41</v>
      </c>
      <c r="E16" s="104">
        <f t="shared" si="0"/>
        <v>119</v>
      </c>
      <c r="H16" s="106" t="s">
        <v>162</v>
      </c>
      <c r="I16" s="107">
        <v>0.02</v>
      </c>
    </row>
    <row r="17" spans="2:9" ht="15.75" customHeight="1" thickTop="1" x14ac:dyDescent="0.3">
      <c r="B17" s="104" t="s">
        <v>163</v>
      </c>
      <c r="C17" s="104">
        <v>84</v>
      </c>
      <c r="D17" s="104">
        <v>43</v>
      </c>
      <c r="E17" s="104">
        <f t="shared" si="0"/>
        <v>127</v>
      </c>
    </row>
    <row r="18" spans="2:9" ht="15.75" customHeight="1" x14ac:dyDescent="0.3">
      <c r="B18" s="104" t="s">
        <v>145</v>
      </c>
      <c r="C18" s="104">
        <v>99</v>
      </c>
      <c r="D18" s="104">
        <v>47</v>
      </c>
      <c r="E18" s="104">
        <f t="shared" si="0"/>
        <v>146</v>
      </c>
    </row>
    <row r="19" spans="2:9" ht="15.75" customHeight="1" x14ac:dyDescent="0.3">
      <c r="B19" s="104" t="s">
        <v>164</v>
      </c>
      <c r="C19" s="104">
        <v>116</v>
      </c>
      <c r="D19" s="104">
        <v>49</v>
      </c>
      <c r="E19" s="104">
        <f t="shared" si="0"/>
        <v>165</v>
      </c>
      <c r="F19" s="90"/>
    </row>
    <row r="20" spans="2:9" ht="15.75" customHeight="1" thickBot="1" x14ac:dyDescent="0.35">
      <c r="B20" s="106" t="s">
        <v>165</v>
      </c>
      <c r="C20" s="106">
        <v>204</v>
      </c>
      <c r="D20" s="106">
        <v>64</v>
      </c>
      <c r="E20" s="106">
        <f t="shared" si="0"/>
        <v>268</v>
      </c>
    </row>
    <row r="21" spans="2:9" ht="15.75" customHeight="1" thickTop="1" thickBot="1" x14ac:dyDescent="0.35"/>
    <row r="22" spans="2:9" ht="15.75" customHeight="1" thickTop="1" x14ac:dyDescent="0.3">
      <c r="B22" s="108" t="s">
        <v>166</v>
      </c>
      <c r="C22" s="109">
        <f t="shared" ref="C22:E22" si="1">(C20/C18)^(1/5)-1</f>
        <v>0.15557728012426564</v>
      </c>
      <c r="D22" s="109">
        <f t="shared" si="1"/>
        <v>6.3693298769017082E-2</v>
      </c>
      <c r="E22" s="109">
        <f t="shared" si="1"/>
        <v>0.12916234673483573</v>
      </c>
      <c r="H22" s="108" t="s">
        <v>166</v>
      </c>
      <c r="I22" s="110">
        <v>1</v>
      </c>
    </row>
    <row r="23" spans="2:9" ht="15.75" customHeight="1" x14ac:dyDescent="0.3"/>
    <row r="24" spans="2:9" ht="15.75" customHeight="1" x14ac:dyDescent="0.3"/>
    <row r="25" spans="2:9" ht="15.75" customHeight="1" x14ac:dyDescent="0.3"/>
    <row r="26" spans="2:9" ht="15.75" customHeight="1" x14ac:dyDescent="0.3"/>
    <row r="27" spans="2:9" ht="15.75" customHeight="1" x14ac:dyDescent="0.3"/>
    <row r="28" spans="2:9" ht="15.75" customHeight="1" x14ac:dyDescent="0.3"/>
    <row r="29" spans="2:9" ht="15.75" customHeight="1" x14ac:dyDescent="0.3"/>
    <row r="30" spans="2:9" ht="15.75" customHeight="1" x14ac:dyDescent="0.3"/>
    <row r="31" spans="2:9" ht="15.75" customHeight="1" x14ac:dyDescent="0.3"/>
    <row r="32" spans="2:9" ht="15.75" customHeight="1" x14ac:dyDescent="0.3"/>
    <row r="33" spans="1:11" ht="15.75" customHeight="1" x14ac:dyDescent="0.3"/>
    <row r="34" spans="1:11" ht="15.75" customHeight="1" x14ac:dyDescent="0.3"/>
    <row r="35" spans="1:11" ht="15.75" customHeight="1" x14ac:dyDescent="0.3"/>
    <row r="36" spans="1:11" ht="15.75" customHeight="1" x14ac:dyDescent="0.3"/>
    <row r="37" spans="1:11" ht="15.75" customHeight="1" x14ac:dyDescent="0.3"/>
    <row r="38" spans="1:11" ht="15.75" customHeight="1" x14ac:dyDescent="0.3"/>
    <row r="39" spans="1:11" ht="15.75" customHeight="1" x14ac:dyDescent="0.3"/>
    <row r="40" spans="1:11" ht="15.75" customHeight="1" x14ac:dyDescent="0.3">
      <c r="A40" s="102" t="s">
        <v>142</v>
      </c>
      <c r="B40" s="103" t="s">
        <v>167</v>
      </c>
      <c r="C40" s="103" t="s">
        <v>5</v>
      </c>
      <c r="F40" s="103" t="s">
        <v>167</v>
      </c>
      <c r="G40" s="111" t="s">
        <v>168</v>
      </c>
      <c r="J40" s="103" t="s">
        <v>167</v>
      </c>
      <c r="K40" s="111" t="s">
        <v>169</v>
      </c>
    </row>
    <row r="41" spans="1:11" ht="15.75" customHeight="1" x14ac:dyDescent="0.3">
      <c r="B41" s="112" t="s">
        <v>4</v>
      </c>
      <c r="C41" s="113">
        <v>406700.25807819999</v>
      </c>
      <c r="F41" s="112" t="s">
        <v>4</v>
      </c>
      <c r="G41" s="114">
        <v>35687</v>
      </c>
      <c r="J41" s="112" t="s">
        <v>4</v>
      </c>
      <c r="K41" s="114">
        <v>10290</v>
      </c>
    </row>
    <row r="42" spans="1:11" ht="15.75" customHeight="1" x14ac:dyDescent="0.3">
      <c r="B42" s="112" t="s">
        <v>170</v>
      </c>
      <c r="C42" s="113">
        <v>210484.2580345</v>
      </c>
      <c r="F42" s="112" t="s">
        <v>170</v>
      </c>
      <c r="G42" s="114">
        <v>45</v>
      </c>
      <c r="J42" s="112" t="s">
        <v>170</v>
      </c>
      <c r="K42" s="114">
        <v>31</v>
      </c>
    </row>
    <row r="43" spans="1:11" ht="15.75" customHeight="1" x14ac:dyDescent="0.3">
      <c r="B43" s="112" t="s">
        <v>171</v>
      </c>
      <c r="C43" s="113">
        <v>93953.900374999997</v>
      </c>
      <c r="F43" s="112" t="s">
        <v>171</v>
      </c>
      <c r="G43" s="114">
        <v>30508</v>
      </c>
      <c r="J43" s="112" t="s">
        <v>171</v>
      </c>
      <c r="K43" s="114">
        <v>6011</v>
      </c>
    </row>
    <row r="44" spans="1:11" ht="15.75" customHeight="1" x14ac:dyDescent="0.3">
      <c r="B44" s="112" t="s">
        <v>172</v>
      </c>
      <c r="C44" s="113">
        <v>92458.396403899998</v>
      </c>
      <c r="F44" s="112" t="s">
        <v>172</v>
      </c>
      <c r="G44" s="114">
        <v>12978</v>
      </c>
      <c r="J44" s="112" t="s">
        <v>172</v>
      </c>
      <c r="K44" s="114">
        <v>2666</v>
      </c>
    </row>
    <row r="45" spans="1:11" ht="15.75" customHeight="1" x14ac:dyDescent="0.3">
      <c r="B45" s="112" t="s">
        <v>173</v>
      </c>
      <c r="C45" s="113">
        <v>69596.964240000001</v>
      </c>
      <c r="F45" s="112" t="s">
        <v>173</v>
      </c>
      <c r="G45" s="114">
        <v>14286</v>
      </c>
      <c r="J45" s="112" t="s">
        <v>173</v>
      </c>
      <c r="K45" s="114">
        <v>2258</v>
      </c>
    </row>
    <row r="46" spans="1:11" ht="15.75" customHeight="1" x14ac:dyDescent="0.3">
      <c r="B46" s="112" t="s">
        <v>174</v>
      </c>
      <c r="C46" s="113">
        <v>52817.954315100003</v>
      </c>
      <c r="F46" s="112" t="s">
        <v>174</v>
      </c>
      <c r="G46" s="114">
        <v>10544</v>
      </c>
      <c r="J46" s="112" t="s">
        <v>174</v>
      </c>
      <c r="K46" s="114">
        <v>3473</v>
      </c>
    </row>
    <row r="47" spans="1:11" ht="15.75" customHeight="1" x14ac:dyDescent="0.3">
      <c r="B47" s="112" t="s">
        <v>175</v>
      </c>
      <c r="C47" s="113">
        <v>46268.148223099997</v>
      </c>
      <c r="F47" s="112" t="s">
        <v>175</v>
      </c>
      <c r="G47" s="114">
        <v>4046</v>
      </c>
      <c r="J47" s="112" t="s">
        <v>175</v>
      </c>
      <c r="K47" s="114">
        <v>1088</v>
      </c>
    </row>
    <row r="48" spans="1:11" ht="15.75" customHeight="1" x14ac:dyDescent="0.3">
      <c r="B48" s="112" t="s">
        <v>176</v>
      </c>
      <c r="C48" s="113">
        <v>36724.4234</v>
      </c>
      <c r="F48" s="112" t="s">
        <v>176</v>
      </c>
      <c r="G48" s="114">
        <v>2008</v>
      </c>
      <c r="J48" s="112" t="s">
        <v>176</v>
      </c>
      <c r="K48" s="114">
        <v>570</v>
      </c>
    </row>
    <row r="49" spans="2:11" ht="15.75" customHeight="1" x14ac:dyDescent="0.3">
      <c r="B49" s="112" t="s">
        <v>177</v>
      </c>
      <c r="C49" s="113">
        <v>35757.411776699999</v>
      </c>
      <c r="F49" s="112" t="s">
        <v>177</v>
      </c>
      <c r="G49" s="114">
        <v>12832</v>
      </c>
      <c r="J49" s="112" t="s">
        <v>177</v>
      </c>
      <c r="K49" s="114">
        <v>2804</v>
      </c>
    </row>
    <row r="50" spans="2:11" ht="15.75" customHeight="1" thickBot="1" x14ac:dyDescent="0.35">
      <c r="B50" s="112" t="s">
        <v>178</v>
      </c>
      <c r="C50" s="113">
        <v>23405.888999300001</v>
      </c>
      <c r="F50" s="115" t="s">
        <v>178</v>
      </c>
      <c r="G50" s="116">
        <v>8447</v>
      </c>
      <c r="J50" s="115" t="s">
        <v>178</v>
      </c>
      <c r="K50" s="116">
        <v>1607</v>
      </c>
    </row>
    <row r="51" spans="2:11" ht="15.75" customHeight="1" thickTop="1" thickBot="1" x14ac:dyDescent="0.35">
      <c r="B51" s="115" t="s">
        <v>179</v>
      </c>
      <c r="C51" s="117">
        <v>184206</v>
      </c>
    </row>
    <row r="52" spans="2:11" ht="15.75" customHeight="1" thickTop="1" x14ac:dyDescent="0.3">
      <c r="C52" s="118"/>
    </row>
    <row r="53" spans="2:11" ht="15.75" customHeight="1" x14ac:dyDescent="0.3">
      <c r="C53" s="118"/>
    </row>
    <row r="54" spans="2:11" ht="15.75" customHeight="1" x14ac:dyDescent="0.3">
      <c r="C54" s="118"/>
    </row>
    <row r="55" spans="2:11" ht="15.75" customHeight="1" x14ac:dyDescent="0.3">
      <c r="B55" s="119" t="s">
        <v>142</v>
      </c>
      <c r="C55" s="120">
        <f>SUM(C41:C51)</f>
        <v>1252373.6038458</v>
      </c>
      <c r="D55" s="118"/>
      <c r="F55" s="119" t="s">
        <v>142</v>
      </c>
      <c r="G55" s="119">
        <f>SUM(G41:G51)</f>
        <v>131381</v>
      </c>
      <c r="J55" s="119" t="s">
        <v>142</v>
      </c>
      <c r="K55" s="119">
        <f>SUM(K41:K51)</f>
        <v>30798</v>
      </c>
    </row>
    <row r="56" spans="2:11" ht="15.75" customHeight="1" x14ac:dyDescent="0.3">
      <c r="C56" s="118"/>
    </row>
    <row r="57" spans="2:11" ht="15.75" customHeight="1" x14ac:dyDescent="0.3">
      <c r="C57" s="118"/>
    </row>
    <row r="58" spans="2:11" ht="15.75" customHeight="1" x14ac:dyDescent="0.3">
      <c r="C58" s="118"/>
    </row>
    <row r="59" spans="2:11" ht="15.75" customHeight="1" x14ac:dyDescent="0.3">
      <c r="C59" s="118"/>
    </row>
    <row r="60" spans="2:11" ht="15.75" customHeight="1" x14ac:dyDescent="0.3">
      <c r="C60" s="118"/>
    </row>
    <row r="61" spans="2:11" ht="15.75" customHeight="1" x14ac:dyDescent="0.3">
      <c r="C61" s="118"/>
    </row>
    <row r="62" spans="2:11" ht="15.75" customHeight="1" x14ac:dyDescent="0.3">
      <c r="C62" s="118"/>
    </row>
    <row r="63" spans="2:11" ht="15.75" customHeight="1" x14ac:dyDescent="0.3">
      <c r="C63" s="118"/>
    </row>
    <row r="64" spans="2:11" ht="15.75" customHeight="1" x14ac:dyDescent="0.3">
      <c r="C64" s="118"/>
    </row>
    <row r="65" spans="1:12" ht="15.75" customHeight="1" x14ac:dyDescent="0.3">
      <c r="C65" s="118"/>
    </row>
    <row r="66" spans="1:12" ht="15.75" customHeight="1" x14ac:dyDescent="0.3">
      <c r="C66" s="118"/>
    </row>
    <row r="67" spans="1:12" ht="15.75" customHeight="1" x14ac:dyDescent="0.3">
      <c r="C67" s="118"/>
    </row>
    <row r="68" spans="1:12" ht="15.75" customHeight="1" x14ac:dyDescent="0.3">
      <c r="C68" s="118"/>
    </row>
    <row r="69" spans="1:12" ht="15.75" customHeight="1" x14ac:dyDescent="0.3">
      <c r="C69" s="118"/>
    </row>
    <row r="70" spans="1:12" ht="15.75" customHeight="1" x14ac:dyDescent="0.3">
      <c r="C70" s="118"/>
    </row>
    <row r="71" spans="1:12" ht="15.75" customHeight="1" x14ac:dyDescent="0.3">
      <c r="C71" s="118"/>
    </row>
    <row r="72" spans="1:12" ht="15.75" customHeight="1" x14ac:dyDescent="0.3">
      <c r="C72" s="118"/>
    </row>
    <row r="73" spans="1:12" ht="15.75" customHeight="1" x14ac:dyDescent="0.3">
      <c r="A73" s="102" t="s">
        <v>78</v>
      </c>
      <c r="B73" s="103" t="s">
        <v>167</v>
      </c>
      <c r="C73" s="103" t="s">
        <v>180</v>
      </c>
      <c r="F73" s="121" t="s">
        <v>167</v>
      </c>
      <c r="G73" s="121" t="s">
        <v>181</v>
      </c>
      <c r="J73" s="121" t="s">
        <v>167</v>
      </c>
      <c r="K73" s="121" t="s">
        <v>182</v>
      </c>
      <c r="L73" s="121" t="s">
        <v>183</v>
      </c>
    </row>
    <row r="74" spans="1:12" ht="15.75" customHeight="1" x14ac:dyDescent="0.3">
      <c r="B74" s="112" t="s">
        <v>4</v>
      </c>
      <c r="C74" s="122">
        <v>0.21521825856334043</v>
      </c>
      <c r="F74" s="123" t="s">
        <v>4</v>
      </c>
      <c r="G74" s="124">
        <v>0.31619685767097971</v>
      </c>
      <c r="J74" s="123" t="s">
        <v>4</v>
      </c>
      <c r="K74" s="124">
        <v>0.28834029198307509</v>
      </c>
      <c r="L74" s="124">
        <v>0.35589956869993838</v>
      </c>
    </row>
    <row r="75" spans="1:12" ht="15.75" customHeight="1" x14ac:dyDescent="0.3">
      <c r="B75" s="112" t="s">
        <v>170</v>
      </c>
      <c r="C75" s="122" t="e">
        <v>#DIV/0!</v>
      </c>
      <c r="F75" s="123" t="s">
        <v>170</v>
      </c>
      <c r="G75" s="125" t="e">
        <v>#DIV/0!</v>
      </c>
      <c r="J75" s="123" t="s">
        <v>170</v>
      </c>
      <c r="K75" s="126" t="s">
        <v>184</v>
      </c>
      <c r="L75" s="127" t="s">
        <v>184</v>
      </c>
    </row>
    <row r="76" spans="1:12" ht="15.75" customHeight="1" x14ac:dyDescent="0.3">
      <c r="B76" s="112" t="s">
        <v>171</v>
      </c>
      <c r="C76" s="122">
        <v>0.19845798334021447</v>
      </c>
      <c r="F76" s="123" t="s">
        <v>171</v>
      </c>
      <c r="G76" s="124">
        <v>0.17630083466524593</v>
      </c>
      <c r="J76" s="123" t="s">
        <v>171</v>
      </c>
      <c r="K76" s="124">
        <v>0.19703028713779991</v>
      </c>
      <c r="L76" s="124">
        <v>0.23854555141182737</v>
      </c>
    </row>
    <row r="77" spans="1:12" ht="15.75" customHeight="1" x14ac:dyDescent="0.3">
      <c r="B77" s="112" t="s">
        <v>172</v>
      </c>
      <c r="C77" s="122">
        <v>0.18728019929173856</v>
      </c>
      <c r="F77" s="123" t="s">
        <v>172</v>
      </c>
      <c r="G77" s="124">
        <v>0.49433797909407673</v>
      </c>
      <c r="J77" s="123" t="s">
        <v>172</v>
      </c>
      <c r="K77" s="124">
        <v>0.20542456464786563</v>
      </c>
      <c r="L77" s="124">
        <v>0.25751306620209058</v>
      </c>
    </row>
    <row r="78" spans="1:12" ht="15.75" customHeight="1" x14ac:dyDescent="0.3">
      <c r="B78" s="112" t="s">
        <v>173</v>
      </c>
      <c r="C78" s="122">
        <v>0.21349109179280235</v>
      </c>
      <c r="F78" s="123" t="s">
        <v>173</v>
      </c>
      <c r="G78" s="124">
        <v>0.2542421905129193</v>
      </c>
      <c r="J78" s="123" t="s">
        <v>173</v>
      </c>
      <c r="K78" s="124">
        <v>0.1651792245793709</v>
      </c>
      <c r="L78" s="124">
        <v>0.16824141920555341</v>
      </c>
    </row>
    <row r="79" spans="1:12" ht="15.75" customHeight="1" x14ac:dyDescent="0.3">
      <c r="B79" s="112" t="s">
        <v>174</v>
      </c>
      <c r="C79" s="122">
        <v>9.4766055180346642E-2</v>
      </c>
      <c r="F79" s="123" t="s">
        <v>174</v>
      </c>
      <c r="G79" s="124">
        <v>0.20781249999999996</v>
      </c>
      <c r="J79" s="123" t="s">
        <v>174</v>
      </c>
      <c r="K79" s="124">
        <v>0.32938163884673749</v>
      </c>
      <c r="L79" s="124">
        <v>0.38971354166666666</v>
      </c>
    </row>
    <row r="80" spans="1:12" ht="15.75" customHeight="1" x14ac:dyDescent="0.3">
      <c r="B80" s="112" t="s">
        <v>175</v>
      </c>
      <c r="C80" s="122">
        <v>-2.7714371817118555E-2</v>
      </c>
      <c r="F80" s="123" t="s">
        <v>175</v>
      </c>
      <c r="G80" s="124">
        <v>0.30582362728785362</v>
      </c>
      <c r="J80" s="123" t="s">
        <v>175</v>
      </c>
      <c r="K80" s="124">
        <v>0.19778222141428831</v>
      </c>
      <c r="L80" s="124">
        <v>0.31547420965058237</v>
      </c>
    </row>
    <row r="81" spans="2:12" ht="15.75" customHeight="1" x14ac:dyDescent="0.3">
      <c r="B81" s="112" t="s">
        <v>176</v>
      </c>
      <c r="C81" s="122">
        <v>-2.6703980049760823E-2</v>
      </c>
      <c r="F81" s="123" t="s">
        <v>176</v>
      </c>
      <c r="G81" s="124">
        <v>0.55991590749824804</v>
      </c>
      <c r="J81" s="123" t="s">
        <v>176</v>
      </c>
      <c r="K81" s="124">
        <v>0.28386454183266935</v>
      </c>
      <c r="L81" s="124">
        <v>0.92501751927119835</v>
      </c>
    </row>
    <row r="82" spans="2:12" ht="15.75" customHeight="1" x14ac:dyDescent="0.3">
      <c r="B82" s="112" t="s">
        <v>177</v>
      </c>
      <c r="C82" s="122">
        <v>8.4007546040834935E-2</v>
      </c>
      <c r="F82" s="123" t="s">
        <v>177</v>
      </c>
      <c r="G82" s="124">
        <v>0.25182874354561102</v>
      </c>
      <c r="J82" s="123" t="s">
        <v>177</v>
      </c>
      <c r="K82" s="124">
        <v>0.21851620947630923</v>
      </c>
      <c r="L82" s="124">
        <v>0.18201376936316696</v>
      </c>
    </row>
    <row r="83" spans="2:12" ht="15.75" customHeight="1" x14ac:dyDescent="0.3">
      <c r="B83" s="112" t="s">
        <v>178</v>
      </c>
      <c r="C83" s="122">
        <v>0.16992536450157614</v>
      </c>
      <c r="F83" s="123" t="s">
        <v>178</v>
      </c>
      <c r="G83" s="124">
        <v>0.22962242748339001</v>
      </c>
      <c r="J83" s="123" t="s">
        <v>178</v>
      </c>
      <c r="K83" s="124">
        <v>0.19024505741683437</v>
      </c>
      <c r="L83" s="124">
        <v>0.25020256036298816</v>
      </c>
    </row>
    <row r="84" spans="2:12" ht="15.75" customHeight="1" thickBot="1" x14ac:dyDescent="0.35">
      <c r="B84" s="115" t="s">
        <v>179</v>
      </c>
      <c r="C84" s="128"/>
    </row>
    <row r="85" spans="2:12" ht="15.75" customHeight="1" thickTop="1" x14ac:dyDescent="0.3">
      <c r="C85" s="118"/>
    </row>
    <row r="86" spans="2:12" ht="15.75" customHeight="1" x14ac:dyDescent="0.3">
      <c r="C86" s="118"/>
    </row>
    <row r="87" spans="2:12" ht="15.75" customHeight="1" x14ac:dyDescent="0.3">
      <c r="C87" s="118"/>
    </row>
    <row r="88" spans="2:12" ht="15.75" customHeight="1" x14ac:dyDescent="0.3">
      <c r="B88" s="119" t="s">
        <v>142</v>
      </c>
      <c r="C88" s="129">
        <v>0.16200000000000001</v>
      </c>
      <c r="F88" s="130" t="s">
        <v>142</v>
      </c>
      <c r="G88" s="130">
        <v>0.28000000000000003</v>
      </c>
      <c r="H88" s="122"/>
      <c r="I88" s="122"/>
      <c r="J88" s="130" t="s">
        <v>142</v>
      </c>
      <c r="K88" s="130">
        <v>0.32</v>
      </c>
      <c r="L88" s="130">
        <v>0.29299999999999998</v>
      </c>
    </row>
    <row r="89" spans="2:12" ht="15.75" customHeight="1" x14ac:dyDescent="0.3">
      <c r="C89" s="118"/>
    </row>
    <row r="90" spans="2:12" ht="15.75" customHeight="1" x14ac:dyDescent="0.3">
      <c r="C90" s="118"/>
    </row>
    <row r="91" spans="2:12" ht="15.75" customHeight="1" x14ac:dyDescent="0.3">
      <c r="C91" s="118"/>
    </row>
    <row r="92" spans="2:12" ht="15.75" customHeight="1" x14ac:dyDescent="0.3">
      <c r="C92" s="118"/>
    </row>
    <row r="93" spans="2:12" ht="15.75" customHeight="1" x14ac:dyDescent="0.3">
      <c r="C93" s="118"/>
    </row>
    <row r="94" spans="2:12" ht="15.75" customHeight="1" x14ac:dyDescent="0.3">
      <c r="C94" s="118"/>
    </row>
    <row r="95" spans="2:12" ht="15.75" customHeight="1" x14ac:dyDescent="0.3">
      <c r="C95" s="118"/>
    </row>
    <row r="96" spans="2:12" ht="15.75" customHeight="1" x14ac:dyDescent="0.3">
      <c r="C96" s="118"/>
    </row>
    <row r="97" spans="1:12" ht="15.75" customHeight="1" x14ac:dyDescent="0.3">
      <c r="C97" s="118"/>
    </row>
    <row r="98" spans="1:12" ht="15.75" customHeight="1" x14ac:dyDescent="0.3">
      <c r="C98" s="118"/>
    </row>
    <row r="99" spans="1:12" ht="15.75" customHeight="1" x14ac:dyDescent="0.3">
      <c r="C99" s="118"/>
    </row>
    <row r="100" spans="1:12" ht="15.75" customHeight="1" x14ac:dyDescent="0.3">
      <c r="C100" s="118"/>
    </row>
    <row r="101" spans="1:12" ht="15.75" customHeight="1" x14ac:dyDescent="0.3">
      <c r="C101" s="118"/>
    </row>
    <row r="102" spans="1:12" ht="15.75" customHeight="1" x14ac:dyDescent="0.3">
      <c r="C102" s="118"/>
    </row>
    <row r="103" spans="1:12" ht="15.75" customHeight="1" x14ac:dyDescent="0.3">
      <c r="C103" s="118"/>
    </row>
    <row r="104" spans="1:12" ht="15.75" customHeight="1" x14ac:dyDescent="0.3">
      <c r="C104" s="118"/>
    </row>
    <row r="105" spans="1:12" ht="15.75" customHeight="1" x14ac:dyDescent="0.3">
      <c r="C105" s="118"/>
    </row>
    <row r="106" spans="1:12" ht="15.75" customHeight="1" x14ac:dyDescent="0.3">
      <c r="A106" s="103" t="s">
        <v>185</v>
      </c>
      <c r="C106" s="118"/>
      <c r="F106" s="103" t="s">
        <v>186</v>
      </c>
    </row>
    <row r="107" spans="1:12" ht="15.75" customHeight="1" x14ac:dyDescent="0.3">
      <c r="B107" s="103" t="s">
        <v>167</v>
      </c>
      <c r="C107" s="103" t="s">
        <v>187</v>
      </c>
      <c r="G107" s="131" t="s">
        <v>167</v>
      </c>
      <c r="H107" s="103" t="s">
        <v>188</v>
      </c>
      <c r="K107" s="131" t="s">
        <v>167</v>
      </c>
      <c r="L107" s="131" t="s">
        <v>189</v>
      </c>
    </row>
    <row r="108" spans="1:12" ht="15.75" customHeight="1" x14ac:dyDescent="0.3">
      <c r="B108" s="112" t="s">
        <v>4</v>
      </c>
      <c r="C108" s="132">
        <v>0.23499999999999999</v>
      </c>
      <c r="G108" s="133" t="s">
        <v>4</v>
      </c>
      <c r="H108" s="114">
        <v>29.12</v>
      </c>
      <c r="K108" s="133" t="s">
        <v>4</v>
      </c>
      <c r="L108" s="134">
        <v>3.4366813221860262E-2</v>
      </c>
    </row>
    <row r="109" spans="1:12" ht="15.75" customHeight="1" x14ac:dyDescent="0.3">
      <c r="B109" s="112" t="s">
        <v>170</v>
      </c>
      <c r="C109" s="118" t="s">
        <v>184</v>
      </c>
      <c r="G109" s="133" t="s">
        <v>170</v>
      </c>
      <c r="H109" s="104"/>
      <c r="K109" s="133" t="s">
        <v>170</v>
      </c>
      <c r="L109" s="134"/>
    </row>
    <row r="110" spans="1:12" ht="15.75" customHeight="1" x14ac:dyDescent="0.3">
      <c r="B110" s="112" t="s">
        <v>171</v>
      </c>
      <c r="C110" s="132">
        <v>0.20399999999999999</v>
      </c>
      <c r="G110" s="133" t="s">
        <v>171</v>
      </c>
      <c r="H110" s="114">
        <v>28.73</v>
      </c>
      <c r="K110" s="133" t="s">
        <v>171</v>
      </c>
      <c r="L110" s="134">
        <v>3.4886338059869459E-2</v>
      </c>
    </row>
    <row r="111" spans="1:12" ht="15.75" customHeight="1" x14ac:dyDescent="0.3">
      <c r="B111" s="112" t="s">
        <v>172</v>
      </c>
      <c r="C111" s="134">
        <v>0.17299999999999999</v>
      </c>
      <c r="G111" s="133" t="s">
        <v>172</v>
      </c>
      <c r="H111" s="114">
        <v>13.82</v>
      </c>
      <c r="K111" s="133" t="s">
        <v>172</v>
      </c>
      <c r="L111" s="134">
        <v>7.2031716189152745E-2</v>
      </c>
    </row>
    <row r="112" spans="1:12" ht="15.75" customHeight="1" x14ac:dyDescent="0.3">
      <c r="B112" s="112" t="s">
        <v>173</v>
      </c>
      <c r="C112" s="134">
        <v>0.25700000000000001</v>
      </c>
      <c r="G112" s="133" t="s">
        <v>173</v>
      </c>
      <c r="H112" s="114">
        <v>29.73</v>
      </c>
      <c r="K112" s="133" t="s">
        <v>173</v>
      </c>
      <c r="L112" s="134">
        <v>3.3635805417206795E-2</v>
      </c>
    </row>
    <row r="113" spans="2:12" ht="15.75" customHeight="1" x14ac:dyDescent="0.3">
      <c r="B113" s="112" t="s">
        <v>174</v>
      </c>
      <c r="C113" s="134">
        <v>0.17599999999999999</v>
      </c>
      <c r="G113" s="133" t="s">
        <v>174</v>
      </c>
      <c r="H113" s="114">
        <v>12.59</v>
      </c>
      <c r="K113" s="133" t="s">
        <v>174</v>
      </c>
      <c r="L113" s="134">
        <v>7.9498100610107064E-2</v>
      </c>
    </row>
    <row r="114" spans="2:12" ht="15.75" customHeight="1" x14ac:dyDescent="0.3">
      <c r="B114" s="112" t="s">
        <v>175</v>
      </c>
      <c r="C114" s="134">
        <v>0.14099999999999999</v>
      </c>
      <c r="G114" s="133" t="s">
        <v>175</v>
      </c>
      <c r="H114" s="114">
        <v>28.83</v>
      </c>
      <c r="K114" s="133" t="s">
        <v>175</v>
      </c>
      <c r="L114" s="134">
        <v>3.4634221909744148E-2</v>
      </c>
    </row>
    <row r="115" spans="2:12" ht="15.75" customHeight="1" x14ac:dyDescent="0.3">
      <c r="B115" s="112" t="s">
        <v>176</v>
      </c>
      <c r="C115" s="134">
        <v>7.6899999999999996E-2</v>
      </c>
      <c r="G115" s="133" t="s">
        <v>176</v>
      </c>
      <c r="H115" s="114">
        <v>23.96</v>
      </c>
      <c r="K115" s="133" t="s">
        <v>176</v>
      </c>
      <c r="L115" s="134">
        <v>4.1642350979574826E-2</v>
      </c>
    </row>
    <row r="116" spans="2:12" ht="15.75" customHeight="1" x14ac:dyDescent="0.3">
      <c r="B116" s="112" t="s">
        <v>177</v>
      </c>
      <c r="C116" s="134">
        <v>0.11899999999999999</v>
      </c>
      <c r="G116" s="133" t="s">
        <v>177</v>
      </c>
      <c r="H116" s="114">
        <v>18.43</v>
      </c>
      <c r="K116" s="133" t="s">
        <v>177</v>
      </c>
      <c r="L116" s="134">
        <v>5.4344446363793403E-2</v>
      </c>
    </row>
    <row r="117" spans="2:12" ht="15.75" customHeight="1" thickBot="1" x14ac:dyDescent="0.35">
      <c r="B117" s="115" t="s">
        <v>178</v>
      </c>
      <c r="C117" s="135">
        <v>0.19400000000000001</v>
      </c>
      <c r="G117" s="136" t="s">
        <v>178</v>
      </c>
      <c r="H117" s="116">
        <v>13.13</v>
      </c>
      <c r="K117" s="136" t="s">
        <v>178</v>
      </c>
      <c r="L117" s="135">
        <v>7.6099146688338073E-2</v>
      </c>
    </row>
    <row r="118" spans="2:12" ht="15.75" customHeight="1" thickTop="1" x14ac:dyDescent="0.3">
      <c r="C118" s="118"/>
      <c r="G118" s="122"/>
      <c r="K118" s="122"/>
      <c r="L118" s="122"/>
    </row>
    <row r="119" spans="2:12" ht="15.75" customHeight="1" x14ac:dyDescent="0.3">
      <c r="C119" s="118"/>
      <c r="G119" s="122"/>
      <c r="K119" s="122"/>
      <c r="L119" s="122"/>
    </row>
    <row r="120" spans="2:12" ht="15.75" customHeight="1" x14ac:dyDescent="0.3">
      <c r="B120" s="119" t="s">
        <v>142</v>
      </c>
      <c r="C120" s="129">
        <v>0.17599999999999999</v>
      </c>
      <c r="G120" s="130" t="s">
        <v>142</v>
      </c>
      <c r="H120" s="119">
        <f>MEDIAN(H108:H117)</f>
        <v>23.96</v>
      </c>
      <c r="K120" s="130" t="s">
        <v>142</v>
      </c>
      <c r="L120" s="130">
        <f>MEDIAN(L108:L117)</f>
        <v>4.1642350979574826E-2</v>
      </c>
    </row>
    <row r="121" spans="2:12" ht="15.75" customHeight="1" x14ac:dyDescent="0.3">
      <c r="C121" s="118"/>
    </row>
    <row r="122" spans="2:12" ht="15.75" customHeight="1" x14ac:dyDescent="0.3">
      <c r="C122" s="118"/>
    </row>
    <row r="123" spans="2:12" ht="15.75" customHeight="1" x14ac:dyDescent="0.3">
      <c r="C123" s="118"/>
    </row>
    <row r="124" spans="2:12" ht="15.75" customHeight="1" x14ac:dyDescent="0.3">
      <c r="C124" s="118"/>
    </row>
    <row r="125" spans="2:12" ht="15.75" customHeight="1" x14ac:dyDescent="0.3">
      <c r="C125" s="118"/>
    </row>
    <row r="126" spans="2:12" ht="15.75" customHeight="1" x14ac:dyDescent="0.3">
      <c r="C126" s="118"/>
    </row>
    <row r="127" spans="2:12" ht="15.75" customHeight="1" x14ac:dyDescent="0.3">
      <c r="C127" s="118"/>
    </row>
    <row r="128" spans="2:12" ht="15.75" customHeight="1" x14ac:dyDescent="0.3">
      <c r="C128" s="118"/>
    </row>
    <row r="129" spans="1:21" ht="15.75" customHeight="1" x14ac:dyDescent="0.3">
      <c r="C129" s="118"/>
    </row>
    <row r="130" spans="1:21" ht="15.75" customHeight="1" x14ac:dyDescent="0.3">
      <c r="C130" s="118"/>
    </row>
    <row r="131" spans="1:21" ht="15.75" customHeight="1" x14ac:dyDescent="0.3">
      <c r="C131" s="118"/>
    </row>
    <row r="132" spans="1:21" ht="15.75" customHeight="1" x14ac:dyDescent="0.3">
      <c r="C132" s="118"/>
    </row>
    <row r="133" spans="1:21" ht="15.75" customHeight="1" x14ac:dyDescent="0.3">
      <c r="C133" s="118"/>
    </row>
    <row r="134" spans="1:21" ht="15.75" customHeight="1" x14ac:dyDescent="0.3">
      <c r="C134" s="118"/>
    </row>
    <row r="135" spans="1:21" ht="15.75" customHeight="1" x14ac:dyDescent="0.3">
      <c r="C135" s="118"/>
    </row>
    <row r="136" spans="1:21" ht="15.75" customHeight="1" x14ac:dyDescent="0.3">
      <c r="C136" s="118"/>
    </row>
    <row r="137" spans="1:21" ht="15.75" customHeight="1" x14ac:dyDescent="0.3">
      <c r="C137" s="118"/>
    </row>
    <row r="138" spans="1:21" ht="15.75" customHeight="1" x14ac:dyDescent="0.3">
      <c r="A138" s="102" t="s">
        <v>190</v>
      </c>
      <c r="C138" s="118"/>
    </row>
    <row r="139" spans="1:21" ht="15.75" customHeight="1" x14ac:dyDescent="0.3">
      <c r="C139" s="118"/>
    </row>
    <row r="140" spans="1:21" ht="15.75" customHeight="1" x14ac:dyDescent="0.3">
      <c r="A140" s="137" t="s">
        <v>191</v>
      </c>
      <c r="B140" s="137" t="s">
        <v>167</v>
      </c>
      <c r="C140" s="137" t="s">
        <v>192</v>
      </c>
      <c r="D140" s="137" t="s">
        <v>5</v>
      </c>
      <c r="E140" s="137" t="s">
        <v>193</v>
      </c>
      <c r="F140" s="137" t="s">
        <v>194</v>
      </c>
      <c r="G140" s="137" t="s">
        <v>168</v>
      </c>
      <c r="H140" s="137" t="s">
        <v>169</v>
      </c>
      <c r="I140" s="137" t="s">
        <v>195</v>
      </c>
      <c r="J140" s="137" t="s">
        <v>196</v>
      </c>
      <c r="K140" s="137" t="s">
        <v>197</v>
      </c>
      <c r="L140" s="137" t="s">
        <v>198</v>
      </c>
      <c r="M140" s="138" t="s">
        <v>181</v>
      </c>
      <c r="N140" s="138" t="s">
        <v>199</v>
      </c>
      <c r="O140" s="138" t="s">
        <v>180</v>
      </c>
      <c r="P140" s="138" t="s">
        <v>182</v>
      </c>
      <c r="Q140" s="138" t="s">
        <v>183</v>
      </c>
      <c r="R140" s="138" t="s">
        <v>187</v>
      </c>
      <c r="S140" s="139" t="s">
        <v>200</v>
      </c>
      <c r="T140" s="139" t="s">
        <v>188</v>
      </c>
      <c r="U140" s="139" t="s">
        <v>189</v>
      </c>
    </row>
    <row r="141" spans="1:21" ht="15.75" customHeight="1" x14ac:dyDescent="0.3">
      <c r="A141" s="140">
        <v>500034</v>
      </c>
      <c r="B141" s="141" t="s">
        <v>4</v>
      </c>
      <c r="C141" s="142">
        <f ca="1">IFERROR(__xludf.DUMMYFUNCTION("GOOGLEFINANCE(""bom:""&amp;A141,""price"")"),6610.2)</f>
        <v>6610.2</v>
      </c>
      <c r="D141" s="143">
        <f ca="1">IFERROR(__xludf.DUMMYFUNCTION("GOOGLEFINANCE(""bom:""&amp;A141,""marketcap"")/10000000"),408970.0876144)</f>
        <v>408970.08761440002</v>
      </c>
      <c r="E141" s="144">
        <f t="shared" ref="E141:E326" ca="1" si="2">D141/$D$329</f>
        <v>0.31458851462757764</v>
      </c>
      <c r="F141" s="142">
        <v>13466</v>
      </c>
      <c r="G141" s="142">
        <v>35687</v>
      </c>
      <c r="H141" s="142">
        <v>10290</v>
      </c>
      <c r="I141" s="142">
        <v>34179</v>
      </c>
      <c r="J141" s="142">
        <v>25968</v>
      </c>
      <c r="K141" s="142">
        <v>9242</v>
      </c>
      <c r="L141" s="142">
        <v>7452</v>
      </c>
      <c r="M141" s="145">
        <f t="shared" ref="M141:M150" si="3">(I141/J141)-1</f>
        <v>0.31619685767097971</v>
      </c>
      <c r="N141" s="145">
        <f t="shared" ref="N141:N150" si="4">(K141/L141)-1</f>
        <v>0.24020397208803002</v>
      </c>
      <c r="O141" s="145">
        <f t="shared" ref="O141:O150" si="5">(G141/F141)^(1/5)-1</f>
        <v>0.21521825856334043</v>
      </c>
      <c r="P141" s="145">
        <f t="shared" ref="P141:P150" si="6">H141/G141</f>
        <v>0.28834029198307509</v>
      </c>
      <c r="Q141" s="145">
        <f t="shared" ref="Q141:Q150" si="7">K141/J141</f>
        <v>0.35589956869993838</v>
      </c>
      <c r="R141" s="146">
        <v>0.23499999999999999</v>
      </c>
      <c r="S141" s="142">
        <f ca="1">IFERROR(__xludf.DUMMYFUNCTION("GOOGLEFINANCE(""bom:""&amp;A141,""EPS"")"),242.48)</f>
        <v>242.48</v>
      </c>
      <c r="T141" s="142">
        <f ca="1">IFERROR(__xludf.DUMMYFUNCTION("GOOGLEFINANCE(""bom:""&amp;A141,""PE"")"),27.27)</f>
        <v>27.27</v>
      </c>
      <c r="U141" s="146">
        <f t="shared" ref="U141:U150" ca="1" si="8">S141/C141</f>
        <v>3.6682702490091069E-2</v>
      </c>
    </row>
    <row r="142" spans="1:21" ht="15.75" customHeight="1" x14ac:dyDescent="0.3">
      <c r="A142" s="140">
        <v>543940</v>
      </c>
      <c r="B142" s="141" t="s">
        <v>170</v>
      </c>
      <c r="C142" s="142">
        <f ca="1">IFERROR(__xludf.DUMMYFUNCTION("GOOGLEFINANCE(""bom:""&amp;A142,""price"")"),328.95)</f>
        <v>328.95</v>
      </c>
      <c r="D142" s="143">
        <f ca="1">IFERROR(__xludf.DUMMYFUNCTION("GOOGLEFINANCE(""bom:""&amp;A142,""marketcap"")/10000000"),208387.6824)</f>
        <v>208387.68239999999</v>
      </c>
      <c r="E142" s="144">
        <f t="shared" ca="1" si="2"/>
        <v>0.16029625016172241</v>
      </c>
      <c r="F142" s="142"/>
      <c r="G142" s="142">
        <v>45</v>
      </c>
      <c r="H142" s="142">
        <v>31</v>
      </c>
      <c r="I142" s="142">
        <v>1436</v>
      </c>
      <c r="J142" s="142"/>
      <c r="K142" s="142">
        <v>1294</v>
      </c>
      <c r="L142" s="142"/>
      <c r="M142" s="145" t="e">
        <f t="shared" si="3"/>
        <v>#DIV/0!</v>
      </c>
      <c r="N142" s="145" t="e">
        <f t="shared" si="4"/>
        <v>#DIV/0!</v>
      </c>
      <c r="O142" s="145" t="e">
        <f t="shared" si="5"/>
        <v>#DIV/0!</v>
      </c>
      <c r="P142" s="145">
        <f t="shared" si="6"/>
        <v>0.68888888888888888</v>
      </c>
      <c r="Q142" s="145" t="e">
        <f t="shared" si="7"/>
        <v>#DIV/0!</v>
      </c>
      <c r="R142" s="104" t="s">
        <v>184</v>
      </c>
      <c r="S142" s="142"/>
      <c r="T142" s="142"/>
      <c r="U142" s="146">
        <f t="shared" ca="1" si="8"/>
        <v>0</v>
      </c>
    </row>
    <row r="143" spans="1:21" ht="15.75" customHeight="1" x14ac:dyDescent="0.3">
      <c r="A143" s="140">
        <v>511243</v>
      </c>
      <c r="B143" s="141" t="s">
        <v>171</v>
      </c>
      <c r="C143" s="142">
        <f ca="1">IFERROR(__xludf.DUMMYFUNCTION("GOOGLEFINANCE(""bom:""&amp;A143,""price"")"),1346.9)</f>
        <v>1346.9</v>
      </c>
      <c r="D143" s="143">
        <f ca="1">IFERROR(__xludf.DUMMYFUNCTION("GOOGLEFINANCE(""bom:""&amp;A143,""marketcap"")/10000000"),113444.5365)</f>
        <v>113444.5365</v>
      </c>
      <c r="E143" s="144">
        <f t="shared" ca="1" si="2"/>
        <v>8.7263957220749103E-2</v>
      </c>
      <c r="F143" s="143">
        <v>12339.56</v>
      </c>
      <c r="G143" s="142">
        <v>30508</v>
      </c>
      <c r="H143" s="142">
        <v>6011</v>
      </c>
      <c r="I143" s="142">
        <v>26495</v>
      </c>
      <c r="J143" s="142">
        <v>22524</v>
      </c>
      <c r="K143" s="142">
        <v>5373</v>
      </c>
      <c r="L143" s="142">
        <v>4726</v>
      </c>
      <c r="M143" s="145">
        <f t="shared" si="3"/>
        <v>0.17630083466524593</v>
      </c>
      <c r="N143" s="145">
        <f t="shared" si="4"/>
        <v>0.13690224291155317</v>
      </c>
      <c r="O143" s="145">
        <f t="shared" si="5"/>
        <v>0.19845798334021447</v>
      </c>
      <c r="P143" s="145">
        <f t="shared" si="6"/>
        <v>0.19703028713779991</v>
      </c>
      <c r="Q143" s="145">
        <f t="shared" si="7"/>
        <v>0.23854555141182737</v>
      </c>
      <c r="R143" s="146">
        <v>0.20399999999999999</v>
      </c>
      <c r="S143" s="142">
        <f ca="1">IFERROR(__xludf.DUMMYFUNCTION("GOOGLEFINANCE(""bom:""&amp;A143,""EPS"")"),43.67)</f>
        <v>43.67</v>
      </c>
      <c r="T143" s="142">
        <f ca="1">IFERROR(__xludf.DUMMYFUNCTION("GOOGLEFINANCE(""bom:""&amp;A143,""PE"")"),30.92)</f>
        <v>30.92</v>
      </c>
      <c r="U143" s="146">
        <f t="shared" ca="1" si="8"/>
        <v>3.2422600044546737E-2</v>
      </c>
    </row>
    <row r="144" spans="1:21" ht="15.75" customHeight="1" x14ac:dyDescent="0.3">
      <c r="A144" s="140">
        <v>511218</v>
      </c>
      <c r="B144" s="141" t="s">
        <v>172</v>
      </c>
      <c r="C144" s="142">
        <f ca="1">IFERROR(__xludf.DUMMYFUNCTION("GOOGLEFINANCE(""bom:""&amp;A144,""price"")"),2978)</f>
        <v>2978</v>
      </c>
      <c r="D144" s="143">
        <f ca="1">IFERROR(__xludf.DUMMYFUNCTION("GOOGLEFINANCE(""bom:""&amp;A144,""marketcap"")/10000000"),112089.0684965)</f>
        <v>112089.0684965</v>
      </c>
      <c r="E144" s="144">
        <f t="shared" ca="1" si="2"/>
        <v>8.6221302320647161E-2</v>
      </c>
      <c r="F144" s="142">
        <v>5501</v>
      </c>
      <c r="G144" s="142">
        <v>12978</v>
      </c>
      <c r="H144" s="142">
        <v>2666</v>
      </c>
      <c r="I144" s="142">
        <v>13724</v>
      </c>
      <c r="J144" s="142">
        <v>9184</v>
      </c>
      <c r="K144" s="142">
        <v>2365</v>
      </c>
      <c r="L144" s="142">
        <v>1813</v>
      </c>
      <c r="M144" s="145">
        <f t="shared" si="3"/>
        <v>0.49433797909407673</v>
      </c>
      <c r="N144" s="145">
        <f t="shared" si="4"/>
        <v>0.30446773303916164</v>
      </c>
      <c r="O144" s="145">
        <f t="shared" si="5"/>
        <v>0.18728019929173856</v>
      </c>
      <c r="P144" s="145">
        <f t="shared" si="6"/>
        <v>0.20542456464786563</v>
      </c>
      <c r="Q144" s="145">
        <f t="shared" si="7"/>
        <v>0.25751306620209058</v>
      </c>
      <c r="R144" s="122">
        <v>0.17299999999999999</v>
      </c>
      <c r="S144" s="142">
        <f ca="1">IFERROR(__xludf.DUMMYFUNCTION("GOOGLEFINANCE(""bom:""&amp;A144,""EPS"")"),204.12)</f>
        <v>204.12</v>
      </c>
      <c r="T144" s="142">
        <f ca="1">IFERROR(__xludf.DUMMYFUNCTION("GOOGLEFINANCE(""bom:""&amp;A144,""PE"")"),14.58)</f>
        <v>14.58</v>
      </c>
      <c r="U144" s="146">
        <f t="shared" ca="1" si="8"/>
        <v>6.854264607118872E-2</v>
      </c>
    </row>
    <row r="145" spans="1:21" ht="15.75" customHeight="1" x14ac:dyDescent="0.3">
      <c r="A145" s="140">
        <v>543066</v>
      </c>
      <c r="B145" s="141" t="s">
        <v>173</v>
      </c>
      <c r="C145" s="142">
        <f ca="1">IFERROR(__xludf.DUMMYFUNCTION("GOOGLEFINANCE(""bom:""&amp;A145,""price"")"),700.35)</f>
        <v>700.35</v>
      </c>
      <c r="D145" s="143">
        <f ca="1">IFERROR(__xludf.DUMMYFUNCTION("GOOGLEFINANCE(""bom:""&amp;A145,""marketcap"")/10000000"),66575.67)</f>
        <v>66575.67</v>
      </c>
      <c r="E145" s="144">
        <f t="shared" ca="1" si="2"/>
        <v>5.1211425407187497E-2</v>
      </c>
      <c r="F145" s="142">
        <v>5195</v>
      </c>
      <c r="G145" s="142">
        <v>13670</v>
      </c>
      <c r="H145" s="142">
        <v>2258</v>
      </c>
      <c r="I145" s="142">
        <v>13009</v>
      </c>
      <c r="J145" s="142">
        <v>10372</v>
      </c>
      <c r="K145" s="142">
        <v>1745</v>
      </c>
      <c r="L145" s="142">
        <v>1662</v>
      </c>
      <c r="M145" s="145">
        <f t="shared" si="3"/>
        <v>0.2542421905129193</v>
      </c>
      <c r="N145" s="145">
        <f t="shared" si="4"/>
        <v>4.9939831528279077E-2</v>
      </c>
      <c r="O145" s="145">
        <f t="shared" si="5"/>
        <v>0.21349109179280235</v>
      </c>
      <c r="P145" s="145">
        <f t="shared" si="6"/>
        <v>0.1651792245793709</v>
      </c>
      <c r="Q145" s="145">
        <f t="shared" si="7"/>
        <v>0.16824141920555341</v>
      </c>
      <c r="R145" s="122">
        <v>0.25700000000000001</v>
      </c>
      <c r="S145" s="142">
        <f ca="1">IFERROR(__xludf.DUMMYFUNCTION("GOOGLEFINANCE(""bom:""&amp;A145,""EPS"")"),25.33)</f>
        <v>25.33</v>
      </c>
      <c r="T145" s="142">
        <f ca="1">IFERROR(__xludf.DUMMYFUNCTION("GOOGLEFINANCE(""bom:""&amp;A145,""PE"")"),27.63)</f>
        <v>27.63</v>
      </c>
      <c r="U145" s="146">
        <f t="shared" ca="1" si="8"/>
        <v>3.6167630470479044E-2</v>
      </c>
    </row>
    <row r="146" spans="1:21" ht="15.75" customHeight="1" x14ac:dyDescent="0.3">
      <c r="A146" s="140">
        <v>533398</v>
      </c>
      <c r="B146" s="141" t="s">
        <v>174</v>
      </c>
      <c r="C146" s="142">
        <f ca="1">IFERROR(__xludf.DUMMYFUNCTION("GOOGLEFINANCE(""bom:""&amp;A146,""price"")"),1890.65)</f>
        <v>1890.65</v>
      </c>
      <c r="D146" s="143">
        <f ca="1">IFERROR(__xludf.DUMMYFUNCTION("GOOGLEFINANCE(""bom:""&amp;A146,""marketcap"")/10000000"),75856.58501)</f>
        <v>75856.585009999995</v>
      </c>
      <c r="E146" s="144">
        <f t="shared" ca="1" si="2"/>
        <v>5.8350503192586604E-2</v>
      </c>
      <c r="F146" s="142">
        <v>6705</v>
      </c>
      <c r="G146" s="142">
        <v>10544</v>
      </c>
      <c r="H146" s="142">
        <v>3473</v>
      </c>
      <c r="I146" s="142">
        <v>9276</v>
      </c>
      <c r="J146" s="142">
        <v>7680</v>
      </c>
      <c r="K146" s="142">
        <v>2993</v>
      </c>
      <c r="L146" s="142">
        <v>2571</v>
      </c>
      <c r="M146" s="145">
        <f t="shared" si="3"/>
        <v>0.20781249999999996</v>
      </c>
      <c r="N146" s="145">
        <f t="shared" si="4"/>
        <v>0.16413846752236494</v>
      </c>
      <c r="O146" s="145">
        <f t="shared" si="5"/>
        <v>9.4766055180346642E-2</v>
      </c>
      <c r="P146" s="145">
        <f t="shared" si="6"/>
        <v>0.32938163884673749</v>
      </c>
      <c r="Q146" s="145">
        <f t="shared" si="7"/>
        <v>0.38971354166666666</v>
      </c>
      <c r="R146" s="122">
        <v>0.17599999999999999</v>
      </c>
      <c r="S146" s="142">
        <f ca="1">IFERROR(__xludf.DUMMYFUNCTION("GOOGLEFINANCE(""bom:""&amp;A146,""EPS"")"),107.71)</f>
        <v>107.71</v>
      </c>
      <c r="T146" s="142">
        <f ca="1">IFERROR(__xludf.DUMMYFUNCTION("GOOGLEFINANCE(""bom:""&amp;A146,""PE"")"),17.55)</f>
        <v>17.55</v>
      </c>
      <c r="U146" s="146">
        <f t="shared" ca="1" si="8"/>
        <v>5.6969825192394144E-2</v>
      </c>
    </row>
    <row r="147" spans="1:21" ht="15.75" customHeight="1" x14ac:dyDescent="0.3">
      <c r="A147" s="140">
        <v>590071</v>
      </c>
      <c r="B147" s="141" t="s">
        <v>175</v>
      </c>
      <c r="C147" s="142">
        <f ca="1">IFERROR(__xludf.DUMMYFUNCTION("GOOGLEFINANCE(""bom:""&amp;A147,""price"")"),3877.1)</f>
        <v>3877.1</v>
      </c>
      <c r="D147" s="143">
        <f ca="1">IFERROR(__xludf.DUMMYFUNCTION("GOOGLEFINANCE(""bom:""&amp;A147,""marketcap"")/10000000"),42937.6588279)</f>
        <v>42937.658827899999</v>
      </c>
      <c r="E147" s="144">
        <f t="shared" ca="1" si="2"/>
        <v>3.302856302045877E-2</v>
      </c>
      <c r="F147" s="142">
        <v>6331</v>
      </c>
      <c r="G147" s="142">
        <v>5501</v>
      </c>
      <c r="H147" s="142">
        <v>1088</v>
      </c>
      <c r="I147" s="142">
        <v>3924</v>
      </c>
      <c r="J147" s="142">
        <v>3005</v>
      </c>
      <c r="K147" s="142">
        <v>948</v>
      </c>
      <c r="L147" s="142">
        <v>772</v>
      </c>
      <c r="M147" s="145">
        <f t="shared" si="3"/>
        <v>0.30582362728785362</v>
      </c>
      <c r="N147" s="145">
        <f t="shared" si="4"/>
        <v>0.22797927461139889</v>
      </c>
      <c r="O147" s="145">
        <f t="shared" si="5"/>
        <v>-2.7714371817118555E-2</v>
      </c>
      <c r="P147" s="145">
        <f t="shared" si="6"/>
        <v>0.19778222141428831</v>
      </c>
      <c r="Q147" s="145">
        <f t="shared" si="7"/>
        <v>0.31547420965058237</v>
      </c>
      <c r="R147" s="122">
        <v>0.14099999999999999</v>
      </c>
      <c r="S147" s="142">
        <f ca="1">IFERROR(__xludf.DUMMYFUNCTION("GOOGLEFINANCE(""bom:""&amp;A147,""EPS"")"),135.72)</f>
        <v>135.72</v>
      </c>
      <c r="T147" s="142">
        <f ca="1">IFERROR(__xludf.DUMMYFUNCTION("GOOGLEFINANCE(""bom:""&amp;A147,""PE"")"),28.75)</f>
        <v>28.75</v>
      </c>
      <c r="U147" s="146">
        <f t="shared" ca="1" si="8"/>
        <v>3.5005545381857572E-2</v>
      </c>
    </row>
    <row r="148" spans="1:21" ht="15.75" customHeight="1" x14ac:dyDescent="0.3">
      <c r="A148" s="140">
        <v>524000</v>
      </c>
      <c r="B148" s="141" t="s">
        <v>176</v>
      </c>
      <c r="C148" s="142">
        <f ca="1">IFERROR(__xludf.DUMMYFUNCTION("GOOGLEFINANCE(""bom:""&amp;A148,""price"")"),363.2)</f>
        <v>363.2</v>
      </c>
      <c r="D148" s="143">
        <f ca="1">IFERROR(__xludf.DUMMYFUNCTION("GOOGLEFINANCE(""bom:""&amp;A148,""marketcap"")/10000000"),28063.2475175)</f>
        <v>28063.2475175</v>
      </c>
      <c r="E148" s="144">
        <f t="shared" ca="1" si="2"/>
        <v>2.1586848572847872E-2</v>
      </c>
      <c r="F148" s="142">
        <v>2299</v>
      </c>
      <c r="G148" s="142">
        <v>2008</v>
      </c>
      <c r="H148" s="142">
        <v>570</v>
      </c>
      <c r="I148" s="142">
        <v>2226</v>
      </c>
      <c r="J148" s="142">
        <v>1427</v>
      </c>
      <c r="K148" s="142">
        <v>1320</v>
      </c>
      <c r="L148" s="142">
        <v>389</v>
      </c>
      <c r="M148" s="145">
        <f t="shared" si="3"/>
        <v>0.55991590749824804</v>
      </c>
      <c r="N148" s="145">
        <f t="shared" si="4"/>
        <v>2.3933161953727504</v>
      </c>
      <c r="O148" s="145">
        <f t="shared" si="5"/>
        <v>-2.6703980049760823E-2</v>
      </c>
      <c r="P148" s="145">
        <f t="shared" si="6"/>
        <v>0.28386454183266935</v>
      </c>
      <c r="Q148" s="145">
        <f t="shared" si="7"/>
        <v>0.92501751927119835</v>
      </c>
      <c r="R148" s="122">
        <v>7.6899999999999996E-2</v>
      </c>
      <c r="S148" s="142">
        <f ca="1">IFERROR(__xludf.DUMMYFUNCTION("GOOGLEFINANCE(""bom:""&amp;A148,""EPS"")"),22.51)</f>
        <v>22.51</v>
      </c>
      <c r="T148" s="142">
        <f ca="1">IFERROR(__xludf.DUMMYFUNCTION("GOOGLEFINANCE(""bom:""&amp;A148,""PE"")"),16.16)</f>
        <v>16.16</v>
      </c>
      <c r="U148" s="146">
        <f t="shared" ca="1" si="8"/>
        <v>6.1976872246696041E-2</v>
      </c>
    </row>
    <row r="149" spans="1:21" ht="15.75" customHeight="1" x14ac:dyDescent="0.3">
      <c r="A149" s="140">
        <v>532720</v>
      </c>
      <c r="B149" s="141" t="s">
        <v>177</v>
      </c>
      <c r="C149" s="142">
        <f ca="1">IFERROR(__xludf.DUMMYFUNCTION("GOOGLEFINANCE(""bom:""&amp;A149,""price"")"),299.45)</f>
        <v>299.45</v>
      </c>
      <c r="D149" s="143">
        <f ca="1">IFERROR(__xludf.DUMMYFUNCTION("GOOGLEFINANCE(""bom:""&amp;A149,""marketcap"")/10000000"),36952.3335184)</f>
        <v>36952.333518400003</v>
      </c>
      <c r="E149" s="144">
        <f t="shared" ca="1" si="2"/>
        <v>2.8424523126827805E-2</v>
      </c>
      <c r="F149" s="142">
        <v>8573</v>
      </c>
      <c r="G149" s="142">
        <v>12832</v>
      </c>
      <c r="H149" s="142">
        <v>2804</v>
      </c>
      <c r="I149" s="142">
        <v>11637</v>
      </c>
      <c r="J149" s="142">
        <v>9296</v>
      </c>
      <c r="K149" s="142">
        <v>1692</v>
      </c>
      <c r="L149" s="142">
        <v>1870</v>
      </c>
      <c r="M149" s="145">
        <f t="shared" si="3"/>
        <v>0.25182874354561102</v>
      </c>
      <c r="N149" s="145">
        <f t="shared" si="4"/>
        <v>-9.5187165775401095E-2</v>
      </c>
      <c r="O149" s="145">
        <f t="shared" si="5"/>
        <v>8.4007546040834935E-2</v>
      </c>
      <c r="P149" s="145">
        <f t="shared" si="6"/>
        <v>0.21851620947630923</v>
      </c>
      <c r="Q149" s="145">
        <f t="shared" si="7"/>
        <v>0.18201376936316696</v>
      </c>
      <c r="R149" s="122">
        <v>0.11899999999999999</v>
      </c>
      <c r="S149" s="142">
        <f ca="1">IFERROR(__xludf.DUMMYFUNCTION("GOOGLEFINANCE(""bom:""&amp;A149,""EPS"")"),16.76)</f>
        <v>16.760000000000002</v>
      </c>
      <c r="T149" s="142">
        <f ca="1">IFERROR(__xludf.DUMMYFUNCTION("GOOGLEFINANCE(""bom:""&amp;A149,""PE"")"),17.8)</f>
        <v>17.8</v>
      </c>
      <c r="U149" s="146">
        <f t="shared" ca="1" si="8"/>
        <v>5.5969277007847727E-2</v>
      </c>
    </row>
    <row r="150" spans="1:21" ht="15.75" customHeight="1" x14ac:dyDescent="0.3">
      <c r="A150" s="140">
        <v>532636</v>
      </c>
      <c r="B150" s="141" t="s">
        <v>178</v>
      </c>
      <c r="C150" s="142">
        <f ca="1">IFERROR(__xludf.DUMMYFUNCTION("GOOGLEFINANCE(""bom:""&amp;A150,""price"")"),419.7)</f>
        <v>419.7</v>
      </c>
      <c r="D150" s="143">
        <f ca="1">IFERROR(__xludf.DUMMYFUNCTION("GOOGLEFINANCE(""bom:""&amp;A150,""marketcap"")/10000000"),17748.7658387)</f>
        <v>17748.765838700001</v>
      </c>
      <c r="E150" s="144">
        <f t="shared" ca="1" si="2"/>
        <v>1.3652729260076883E-2</v>
      </c>
      <c r="F150" s="142">
        <v>3854</v>
      </c>
      <c r="G150" s="142">
        <v>8447</v>
      </c>
      <c r="H150" s="142">
        <v>1607</v>
      </c>
      <c r="I150" s="142">
        <v>7588</v>
      </c>
      <c r="J150" s="142">
        <v>6171</v>
      </c>
      <c r="K150" s="142">
        <v>1544</v>
      </c>
      <c r="L150" s="142">
        <v>1150</v>
      </c>
      <c r="M150" s="145">
        <f t="shared" si="3"/>
        <v>0.22962242748339001</v>
      </c>
      <c r="N150" s="145">
        <f t="shared" si="4"/>
        <v>0.34260869565217389</v>
      </c>
      <c r="O150" s="145">
        <f t="shared" si="5"/>
        <v>0.16992536450157614</v>
      </c>
      <c r="P150" s="145">
        <f t="shared" si="6"/>
        <v>0.19024505741683437</v>
      </c>
      <c r="Q150" s="145">
        <f t="shared" si="7"/>
        <v>0.25020256036298816</v>
      </c>
      <c r="R150" s="122">
        <v>0.19400000000000001</v>
      </c>
      <c r="S150" s="142">
        <f ca="1">IFERROR(__xludf.DUMMYFUNCTION("GOOGLEFINANCE(""bom:""&amp;A150,""EPS"")"),40.99)</f>
        <v>40.99</v>
      </c>
      <c r="T150" s="142">
        <f ca="1">IFERROR(__xludf.DUMMYFUNCTION("GOOGLEFINANCE(""bom:""&amp;A150,""PE"")"),10.29)</f>
        <v>10.29</v>
      </c>
      <c r="U150" s="146">
        <f t="shared" ca="1" si="8"/>
        <v>9.7664998808672868E-2</v>
      </c>
    </row>
    <row r="151" spans="1:21" ht="15.75" customHeight="1" x14ac:dyDescent="0.3">
      <c r="A151" s="140">
        <v>543663</v>
      </c>
      <c r="B151" s="141" t="s">
        <v>201</v>
      </c>
      <c r="C151" s="142">
        <f ca="1">IFERROR(__xludf.DUMMYFUNCTION("GOOGLEFINANCE(""bom:""&amp;A151,""price"")"),693)</f>
        <v>693</v>
      </c>
      <c r="D151" s="143">
        <f ca="1">IFERROR(__xludf.DUMMYFUNCTION("GOOGLEFINANCE(""bom:""&amp;A151,""marketcap"")/10000000"),20272.0389015)</f>
        <v>20272.0389015</v>
      </c>
      <c r="E151" s="144">
        <f t="shared" ca="1" si="2"/>
        <v>1.5593684720796207E-2</v>
      </c>
      <c r="F151" s="142"/>
      <c r="G151" s="142">
        <v>1529</v>
      </c>
      <c r="H151" s="142">
        <v>6035</v>
      </c>
      <c r="I151" s="142">
        <v>1576</v>
      </c>
      <c r="J151" s="142">
        <v>1090</v>
      </c>
      <c r="K151" s="143">
        <v>599.85</v>
      </c>
      <c r="L151" s="142">
        <v>4346</v>
      </c>
      <c r="M151" s="142"/>
      <c r="N151" s="142"/>
      <c r="O151" s="142"/>
      <c r="P151" s="142"/>
      <c r="Q151" s="142"/>
    </row>
    <row r="152" spans="1:21" ht="15.75" customHeight="1" x14ac:dyDescent="0.3">
      <c r="A152" s="140">
        <v>531595</v>
      </c>
      <c r="B152" s="141" t="s">
        <v>202</v>
      </c>
      <c r="C152" s="142">
        <f ca="1">IFERROR(__xludf.DUMMYFUNCTION("GOOGLEFINANCE(""bom:""&amp;A152,""price"")"),206.2)</f>
        <v>206.2</v>
      </c>
      <c r="D152" s="143">
        <f ca="1">IFERROR(__xludf.DUMMYFUNCTION("GOOGLEFINANCE(""bom:""&amp;A152,""marketcap"")/10000000"),16993.764)</f>
        <v>16993.763999999999</v>
      </c>
      <c r="E152" s="144">
        <f t="shared" ca="1" si="2"/>
        <v>1.3071965741739411E-2</v>
      </c>
      <c r="F152" s="142">
        <v>395</v>
      </c>
      <c r="G152" s="142">
        <v>1465</v>
      </c>
      <c r="H152" s="142">
        <v>205</v>
      </c>
      <c r="I152" s="142"/>
      <c r="J152" s="142"/>
      <c r="K152" s="142"/>
      <c r="L152" s="142"/>
      <c r="M152" s="142"/>
      <c r="N152" s="142"/>
      <c r="O152" s="142"/>
      <c r="P152" s="142"/>
      <c r="Q152" s="142"/>
    </row>
    <row r="153" spans="1:21" ht="15.75" customHeight="1" x14ac:dyDescent="0.3">
      <c r="A153" s="140">
        <v>500302</v>
      </c>
      <c r="B153" s="141" t="s">
        <v>203</v>
      </c>
      <c r="C153" s="142">
        <f ca="1">IFERROR(__xludf.DUMMYFUNCTION("GOOGLEFINANCE(""bom:""&amp;A153,""price"")"),989)</f>
        <v>989</v>
      </c>
      <c r="D153" s="143">
        <f ca="1">IFERROR(__xludf.DUMMYFUNCTION("GOOGLEFINANCE(""bom:""&amp;A153,""marketcap"")/10000000"),22145.319)</f>
        <v>22145.319</v>
      </c>
      <c r="E153" s="144">
        <f t="shared" ca="1" si="2"/>
        <v>1.7034651729180825E-2</v>
      </c>
      <c r="F153" s="142">
        <v>10899</v>
      </c>
      <c r="G153" s="142">
        <v>9087</v>
      </c>
      <c r="H153" s="142">
        <v>9969</v>
      </c>
      <c r="I153" s="142">
        <v>7650</v>
      </c>
      <c r="J153" s="142">
        <v>6944</v>
      </c>
      <c r="K153" s="142">
        <v>-1821</v>
      </c>
      <c r="L153" s="142">
        <v>10164</v>
      </c>
      <c r="M153" s="142"/>
      <c r="N153" s="142"/>
      <c r="O153" s="142"/>
      <c r="P153" s="142"/>
      <c r="Q153" s="142"/>
    </row>
    <row r="154" spans="1:21" ht="15.75" customHeight="1" x14ac:dyDescent="0.3">
      <c r="A154" s="140">
        <v>531213</v>
      </c>
      <c r="B154" s="141" t="s">
        <v>204</v>
      </c>
      <c r="C154" s="142">
        <f ca="1">IFERROR(__xludf.DUMMYFUNCTION("GOOGLEFINANCE(""bom:""&amp;A154,""price"")"),210.1)</f>
        <v>210.1</v>
      </c>
      <c r="D154" s="143">
        <f ca="1">IFERROR(__xludf.DUMMYFUNCTION("GOOGLEFINANCE(""bom:""&amp;A154,""marketcap"")/10000000"),17786.9745313)</f>
        <v>17786.974531299998</v>
      </c>
      <c r="E154" s="144">
        <f t="shared" ca="1" si="2"/>
        <v>1.3682120201407116E-2</v>
      </c>
      <c r="F154" s="142">
        <v>3477</v>
      </c>
      <c r="G154" s="142">
        <v>6750</v>
      </c>
      <c r="H154" s="142">
        <v>1500</v>
      </c>
      <c r="I154" s="142">
        <v>6558</v>
      </c>
      <c r="J154" s="142">
        <v>4951</v>
      </c>
      <c r="K154" s="142">
        <v>1634</v>
      </c>
      <c r="L154" s="142">
        <v>1085</v>
      </c>
      <c r="M154" s="142"/>
      <c r="N154" s="142"/>
      <c r="O154" s="142"/>
      <c r="P154" s="142"/>
      <c r="Q154" s="142"/>
    </row>
    <row r="155" spans="1:21" ht="15.75" customHeight="1" x14ac:dyDescent="0.3">
      <c r="A155" s="140">
        <v>539177</v>
      </c>
      <c r="B155" s="141" t="s">
        <v>205</v>
      </c>
      <c r="C155" s="142">
        <f ca="1">IFERROR(__xludf.DUMMYFUNCTION("GOOGLEFINANCE(""bom:""&amp;A155,""price"")"),1458.95)</f>
        <v>1458.95</v>
      </c>
      <c r="D155" s="143">
        <f ca="1">IFERROR(__xludf.DUMMYFUNCTION("GOOGLEFINANCE(""bom:""&amp;A155,""marketcap"")/10000000"),24724.3503776)</f>
        <v>24724.3503776</v>
      </c>
      <c r="E155" s="144">
        <f t="shared" ca="1" si="2"/>
        <v>1.9018497674955889E-2</v>
      </c>
      <c r="F155" s="142">
        <v>351</v>
      </c>
      <c r="G155" s="142">
        <v>628</v>
      </c>
      <c r="H155" s="142">
        <v>4304</v>
      </c>
      <c r="I155" s="142">
        <v>3045</v>
      </c>
      <c r="J155" s="142">
        <v>616</v>
      </c>
      <c r="K155" s="142">
        <v>2748</v>
      </c>
      <c r="L155" s="142">
        <v>2366</v>
      </c>
      <c r="M155" s="142"/>
      <c r="N155" s="142"/>
      <c r="O155" s="142"/>
      <c r="P155" s="142"/>
      <c r="Q155" s="142"/>
    </row>
    <row r="156" spans="1:21" ht="15.75" customHeight="1" x14ac:dyDescent="0.3">
      <c r="A156" s="140">
        <v>533095</v>
      </c>
      <c r="B156" s="141" t="s">
        <v>206</v>
      </c>
      <c r="C156" s="142">
        <f ca="1">IFERROR(__xludf.DUMMYFUNCTION("GOOGLEFINANCE(""bom:""&amp;A156,""price"")"),9300)</f>
        <v>9300</v>
      </c>
      <c r="D156" s="143">
        <f ca="1">IFERROR(__xludf.DUMMYFUNCTION("GOOGLEFINANCE(""bom:""&amp;A156,""marketcap"")/10000000"),10505.5776)</f>
        <v>10505.577600000001</v>
      </c>
      <c r="E156" s="144">
        <f t="shared" ca="1" si="2"/>
        <v>8.0811143713885245E-3</v>
      </c>
      <c r="F156" s="142">
        <v>1545</v>
      </c>
      <c r="G156" s="142">
        <v>16575</v>
      </c>
      <c r="H156" s="142">
        <v>1071</v>
      </c>
      <c r="I156" s="142">
        <v>12442</v>
      </c>
      <c r="J156" s="142">
        <v>12430</v>
      </c>
      <c r="K156" s="142">
        <v>3877</v>
      </c>
      <c r="L156" s="142">
        <v>726</v>
      </c>
      <c r="M156" s="142"/>
      <c r="N156" s="142"/>
      <c r="O156" s="142"/>
      <c r="P156" s="142"/>
      <c r="Q156" s="142"/>
    </row>
    <row r="157" spans="1:21" ht="15.75" customHeight="1" x14ac:dyDescent="0.3">
      <c r="A157" s="140">
        <v>543959</v>
      </c>
      <c r="B157" s="141" t="s">
        <v>207</v>
      </c>
      <c r="C157" s="142">
        <f ca="1">IFERROR(__xludf.DUMMYFUNCTION("GOOGLEFINANCE(""bom:""&amp;A157,""price"")"),81.73)</f>
        <v>81.73</v>
      </c>
      <c r="D157" s="143">
        <f ca="1">IFERROR(__xludf.DUMMYFUNCTION("GOOGLEFINANCE(""bom:""&amp;A157,""marketcap"")/10000000"),8763.5117958)</f>
        <v>8763.5117957999992</v>
      </c>
      <c r="E157" s="144">
        <f t="shared" ca="1" si="2"/>
        <v>6.7410801969491167E-3</v>
      </c>
      <c r="F157" s="142"/>
      <c r="G157" s="142">
        <v>740</v>
      </c>
      <c r="H157" s="142">
        <v>150</v>
      </c>
      <c r="I157" s="142">
        <v>740</v>
      </c>
      <c r="J157" s="142"/>
      <c r="K157" s="142">
        <v>163</v>
      </c>
      <c r="L157" s="142"/>
      <c r="M157" s="142"/>
      <c r="N157" s="142"/>
      <c r="O157" s="142"/>
      <c r="P157" s="142"/>
      <c r="Q157" s="142"/>
    </row>
    <row r="158" spans="1:21" ht="15.75" customHeight="1" x14ac:dyDescent="0.3">
      <c r="A158" s="140">
        <v>532900</v>
      </c>
      <c r="B158" s="141" t="s">
        <v>208</v>
      </c>
      <c r="C158" s="142">
        <f ca="1">IFERROR(__xludf.DUMMYFUNCTION("GOOGLEFINANCE(""bom:""&amp;A158,""price"")"),64.57)</f>
        <v>64.569999999999993</v>
      </c>
      <c r="D158" s="143">
        <f ca="1">IFERROR(__xludf.DUMMYFUNCTION("GOOGLEFINANCE(""bom:""&amp;A158,""marketcap"")/10000000"),5785.1986393)</f>
        <v>5785.1986392999997</v>
      </c>
      <c r="E158" s="144">
        <f t="shared" ca="1" si="2"/>
        <v>4.4500981902589123E-3</v>
      </c>
      <c r="F158" s="142">
        <v>304</v>
      </c>
      <c r="G158" s="142">
        <v>473</v>
      </c>
      <c r="H158" s="142">
        <v>936</v>
      </c>
      <c r="I158" s="142">
        <v>463</v>
      </c>
      <c r="J158" s="142">
        <v>355</v>
      </c>
      <c r="K158" s="142">
        <v>142</v>
      </c>
      <c r="L158" s="142">
        <v>729</v>
      </c>
      <c r="M158" s="142"/>
      <c r="N158" s="142"/>
      <c r="O158" s="142"/>
      <c r="P158" s="142"/>
      <c r="Q158" s="142"/>
    </row>
    <row r="159" spans="1:21" ht="15.75" customHeight="1" x14ac:dyDescent="0.3">
      <c r="A159" s="140">
        <v>539874</v>
      </c>
      <c r="B159" s="141" t="s">
        <v>209</v>
      </c>
      <c r="C159" s="142" t="str">
        <f ca="1">IFERROR(__xludf.DUMMYFUNCTION("GOOGLEFINANCE(""bom:""&amp;A159,""price"")"),"#N/A")</f>
        <v>#N/A</v>
      </c>
      <c r="D159" s="143" t="str">
        <f ca="1">IFERROR(__xludf.DUMMYFUNCTION("GOOGLEFINANCE(""bom:""&amp;A159,""marketcap"")/10000000"),"#N/A")</f>
        <v>#N/A</v>
      </c>
      <c r="E159" s="144" t="e">
        <f t="shared" ca="1" si="2"/>
        <v>#VALUE!</v>
      </c>
      <c r="F159" s="142"/>
      <c r="G159" s="142">
        <v>4679</v>
      </c>
      <c r="H159" s="142">
        <v>1140</v>
      </c>
      <c r="I159" s="142">
        <v>4649</v>
      </c>
      <c r="J159" s="142">
        <v>3350</v>
      </c>
      <c r="K159" s="142">
        <v>889</v>
      </c>
      <c r="L159" s="142">
        <v>909</v>
      </c>
      <c r="M159" s="142"/>
      <c r="N159" s="142"/>
      <c r="O159" s="142"/>
      <c r="P159" s="142"/>
      <c r="Q159" s="142"/>
    </row>
    <row r="160" spans="1:21" ht="15.75" customHeight="1" x14ac:dyDescent="0.3">
      <c r="A160" s="140">
        <v>540749</v>
      </c>
      <c r="B160" s="141" t="s">
        <v>210</v>
      </c>
      <c r="C160" s="142">
        <f ca="1">IFERROR(__xludf.DUMMYFUNCTION("GOOGLEFINANCE(""bom:""&amp;A160,""price"")"),277.2)</f>
        <v>277.2</v>
      </c>
      <c r="D160" s="143">
        <f ca="1">IFERROR(__xludf.DUMMYFUNCTION("GOOGLEFINANCE(""bom:""&amp;A160,""marketcap"")/10000000"),5061.5278813)</f>
        <v>5061.5278813000004</v>
      </c>
      <c r="E160" s="144">
        <f t="shared" ca="1" si="2"/>
        <v>3.8934352074803716E-3</v>
      </c>
      <c r="F160" s="142">
        <v>455</v>
      </c>
      <c r="G160" s="142">
        <v>990</v>
      </c>
      <c r="H160" s="142">
        <v>206</v>
      </c>
      <c r="I160" s="142">
        <v>947</v>
      </c>
      <c r="J160" s="142">
        <v>708</v>
      </c>
      <c r="K160" s="142">
        <v>184</v>
      </c>
      <c r="L160" s="142">
        <v>149</v>
      </c>
      <c r="M160" s="142"/>
      <c r="N160" s="142"/>
      <c r="O160" s="142"/>
      <c r="P160" s="142"/>
      <c r="Q160" s="142"/>
    </row>
    <row r="161" spans="1:17" ht="15.75" customHeight="1" x14ac:dyDescent="0.3">
      <c r="A161" s="140">
        <v>544027</v>
      </c>
      <c r="B161" s="141" t="s">
        <v>211</v>
      </c>
      <c r="C161" s="142">
        <f ca="1">IFERROR(__xludf.DUMMYFUNCTION("GOOGLEFINANCE(""bom:""&amp;A161,""price"")"),120.8)</f>
        <v>120.8</v>
      </c>
      <c r="D161" s="143">
        <f ca="1">IFERROR(__xludf.DUMMYFUNCTION("GOOGLEFINANCE(""bom:""&amp;A161,""marketcap"")/10000000"),4486.9825555)</f>
        <v>4486.9825554999998</v>
      </c>
      <c r="E161" s="144">
        <f t="shared" ca="1" si="2"/>
        <v>3.4514826879600276E-3</v>
      </c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</row>
    <row r="162" spans="1:17" ht="15.75" customHeight="1" x14ac:dyDescent="0.3">
      <c r="A162" s="140">
        <v>542774</v>
      </c>
      <c r="B162" s="141" t="s">
        <v>212</v>
      </c>
      <c r="C162" s="142">
        <f ca="1">IFERROR(__xludf.DUMMYFUNCTION("GOOGLEFINANCE(""bom:""&amp;A162,""price"")"),130.05)</f>
        <v>130.05000000000001</v>
      </c>
      <c r="D162" s="143">
        <f ca="1">IFERROR(__xludf.DUMMYFUNCTION("GOOGLEFINANCE(""bom:""&amp;A162,""marketcap"")/10000000"),2101.02558)</f>
        <v>2101.02558</v>
      </c>
      <c r="E162" s="144">
        <f t="shared" ca="1" si="2"/>
        <v>1.6161536905113061E-3</v>
      </c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</row>
    <row r="163" spans="1:17" ht="15.75" customHeight="1" x14ac:dyDescent="0.3">
      <c r="A163" s="140">
        <v>533344</v>
      </c>
      <c r="B163" s="141" t="s">
        <v>213</v>
      </c>
      <c r="C163" s="142">
        <f ca="1">IFERROR(__xludf.DUMMYFUNCTION("GOOGLEFINANCE(""bom:""&amp;A163,""price"")"),56)</f>
        <v>56</v>
      </c>
      <c r="D163" s="143">
        <f ca="1">IFERROR(__xludf.DUMMYFUNCTION("GOOGLEFINANCE(""bom:""&amp;A163,""marketcap"")/10000000"),3600.6397074)</f>
        <v>3600.6397074000001</v>
      </c>
      <c r="E163" s="144">
        <f t="shared" ca="1" si="2"/>
        <v>2.7696888637196221E-3</v>
      </c>
      <c r="F163" s="142">
        <v>1190</v>
      </c>
      <c r="G163" s="142">
        <v>797</v>
      </c>
      <c r="H163" s="142">
        <v>176</v>
      </c>
      <c r="I163" s="142">
        <v>599</v>
      </c>
      <c r="J163" s="142">
        <v>597</v>
      </c>
      <c r="K163" s="142">
        <v>147</v>
      </c>
      <c r="L163" s="142">
        <v>139</v>
      </c>
      <c r="M163" s="142"/>
      <c r="N163" s="142"/>
      <c r="O163" s="142"/>
      <c r="P163" s="142"/>
      <c r="Q163" s="142"/>
    </row>
    <row r="164" spans="1:17" ht="15.75" customHeight="1" x14ac:dyDescent="0.3">
      <c r="A164" s="140">
        <v>541336</v>
      </c>
      <c r="B164" s="141" t="s">
        <v>214</v>
      </c>
      <c r="C164" s="142">
        <f ca="1">IFERROR(__xludf.DUMMYFUNCTION("GOOGLEFINANCE(""bom:""&amp;A164,""price"")"),242.25)</f>
        <v>242.25</v>
      </c>
      <c r="D164" s="143">
        <f ca="1">IFERROR(__xludf.DUMMYFUNCTION("GOOGLEFINANCE(""bom:""&amp;A164,""marketcap"")/10000000"),3308.7656649)</f>
        <v>3308.7656649</v>
      </c>
      <c r="E164" s="144">
        <f t="shared" ca="1" si="2"/>
        <v>2.5451731246247992E-3</v>
      </c>
    </row>
    <row r="165" spans="1:17" ht="15.75" customHeight="1" x14ac:dyDescent="0.3">
      <c r="A165" s="140">
        <v>539199</v>
      </c>
      <c r="B165" s="141" t="s">
        <v>215</v>
      </c>
      <c r="C165" s="142">
        <f ca="1">IFERROR(__xludf.DUMMYFUNCTION("GOOGLEFINANCE(""bom:""&amp;A165,""price"")"),410.15)</f>
        <v>410.15</v>
      </c>
      <c r="D165" s="143">
        <f ca="1">IFERROR(__xludf.DUMMYFUNCTION("GOOGLEFINANCE(""bom:""&amp;A165,""marketcap"")/10000000"),2245.861)</f>
        <v>2245.8609999999999</v>
      </c>
      <c r="E165" s="144">
        <f t="shared" ca="1" si="2"/>
        <v>1.727564184880325E-3</v>
      </c>
    </row>
    <row r="166" spans="1:17" ht="15.75" customHeight="1" x14ac:dyDescent="0.3">
      <c r="A166" s="140">
        <v>511742</v>
      </c>
      <c r="B166" s="141" t="s">
        <v>216</v>
      </c>
      <c r="C166" s="142">
        <f ca="1">IFERROR(__xludf.DUMMYFUNCTION("GOOGLEFINANCE(""bom:""&amp;A166,""price"")"),250)</f>
        <v>250</v>
      </c>
      <c r="D166" s="143">
        <f ca="1">IFERROR(__xludf.DUMMYFUNCTION("GOOGLEFINANCE(""bom:""&amp;A166,""marketcap"")/10000000"),2290.4124809)</f>
        <v>2290.4124809</v>
      </c>
      <c r="E166" s="144">
        <f t="shared" ca="1" si="2"/>
        <v>1.7618341342610839E-3</v>
      </c>
    </row>
    <row r="167" spans="1:17" ht="15.75" customHeight="1" x14ac:dyDescent="0.3">
      <c r="A167" s="140">
        <v>531179</v>
      </c>
      <c r="B167" s="141" t="s">
        <v>217</v>
      </c>
      <c r="C167" s="142">
        <f ca="1">IFERROR(__xludf.DUMMYFUNCTION("GOOGLEFINANCE(""bom:""&amp;A167,""price"")"),1736.7)</f>
        <v>1736.7</v>
      </c>
      <c r="D167" s="143">
        <f ca="1">IFERROR(__xludf.DUMMYFUNCTION("GOOGLEFINANCE(""bom:""&amp;A167,""marketcap"")/10000000"),1823.4475257)</f>
        <v>1823.4475256999999</v>
      </c>
      <c r="E167" s="144">
        <f t="shared" ca="1" si="2"/>
        <v>1.4026347304699472E-3</v>
      </c>
    </row>
    <row r="168" spans="1:17" ht="15.75" customHeight="1" x14ac:dyDescent="0.3">
      <c r="A168" s="140">
        <v>532256</v>
      </c>
      <c r="B168" s="141" t="s">
        <v>218</v>
      </c>
      <c r="C168" s="142">
        <f ca="1">IFERROR(__xludf.DUMMYFUNCTION("GOOGLEFINANCE(""bom:""&amp;A168,""price"")"),4329)</f>
        <v>4329</v>
      </c>
      <c r="D168" s="143">
        <f ca="1">IFERROR(__xludf.DUMMYFUNCTION("GOOGLEFINANCE(""bom:""&amp;A168,""marketcap"")/10000000"),2225.3705905)</f>
        <v>2225.3705905000002</v>
      </c>
      <c r="E168" s="144">
        <f t="shared" ca="1" si="2"/>
        <v>1.7118025248373701E-3</v>
      </c>
    </row>
    <row r="169" spans="1:17" ht="15.75" customHeight="1" x14ac:dyDescent="0.3">
      <c r="A169" s="140">
        <v>511768</v>
      </c>
      <c r="B169" s="141" t="s">
        <v>219</v>
      </c>
      <c r="C169" s="142">
        <f ca="1">IFERROR(__xludf.DUMMYFUNCTION("GOOGLEFINANCE(""bom:""&amp;A169,""price"")"),768)</f>
        <v>768</v>
      </c>
      <c r="D169" s="143">
        <f ca="1">IFERROR(__xludf.DUMMYFUNCTION("GOOGLEFINANCE(""bom:""&amp;A169,""marketcap"")/10000000"),1688.025285)</f>
        <v>1688.0252849999999</v>
      </c>
      <c r="E169" s="144">
        <f t="shared" ca="1" si="2"/>
        <v>1.298465054399361E-3</v>
      </c>
    </row>
    <row r="170" spans="1:17" ht="15.75" customHeight="1" x14ac:dyDescent="0.3">
      <c r="A170" s="140">
        <v>533306</v>
      </c>
      <c r="B170" s="141" t="s">
        <v>220</v>
      </c>
      <c r="C170" s="142">
        <f ca="1">IFERROR(__xludf.DUMMYFUNCTION("GOOGLEFINANCE(""bom:""&amp;A170,""price"")"),1916.9)</f>
        <v>1916.9</v>
      </c>
      <c r="D170" s="143">
        <f ca="1">IFERROR(__xludf.DUMMYFUNCTION("GOOGLEFINANCE(""bom:""&amp;A170,""marketcap"")/10000000"),2096.410371)</f>
        <v>2096.4103709999999</v>
      </c>
      <c r="E170" s="144">
        <f t="shared" ca="1" si="2"/>
        <v>1.6126035733071971E-3</v>
      </c>
    </row>
    <row r="171" spans="1:17" ht="15.75" customHeight="1" x14ac:dyDescent="0.3">
      <c r="A171" s="140">
        <v>532485</v>
      </c>
      <c r="B171" s="141" t="s">
        <v>221</v>
      </c>
      <c r="C171" s="142">
        <f ca="1">IFERROR(__xludf.DUMMYFUNCTION("GOOGLEFINANCE(""bom:""&amp;A171,""price"")"),94.7)</f>
        <v>94.7</v>
      </c>
      <c r="D171" s="143">
        <f ca="1">IFERROR(__xludf.DUMMYFUNCTION("GOOGLEFINANCE(""bom:""&amp;A171,""marketcap"")/10000000"),2097.64107)</f>
        <v>2097.6410700000001</v>
      </c>
      <c r="E171" s="144">
        <f t="shared" ca="1" si="2"/>
        <v>1.6135502532285139E-3</v>
      </c>
    </row>
    <row r="172" spans="1:17" ht="15.75" customHeight="1" x14ac:dyDescent="0.3">
      <c r="A172" s="140">
        <v>511413</v>
      </c>
      <c r="B172" s="141" t="s">
        <v>222</v>
      </c>
      <c r="C172" s="142">
        <f ca="1">IFERROR(__xludf.DUMMYFUNCTION("GOOGLEFINANCE(""bom:""&amp;A172,""price"")"),420)</f>
        <v>420</v>
      </c>
      <c r="D172" s="143">
        <f ca="1">IFERROR(__xludf.DUMMYFUNCTION("GOOGLEFINANCE(""bom:""&amp;A172,""marketcap"")/10000000"),1184.1229706)</f>
        <v>1184.1229705999999</v>
      </c>
      <c r="E172" s="144">
        <f t="shared" ca="1" si="2"/>
        <v>9.1085264604650869E-4</v>
      </c>
    </row>
    <row r="173" spans="1:17" ht="15.75" customHeight="1" x14ac:dyDescent="0.3">
      <c r="A173" s="140">
        <v>530879</v>
      </c>
      <c r="B173" s="141" t="s">
        <v>223</v>
      </c>
      <c r="C173" s="142">
        <f ca="1">IFERROR(__xludf.DUMMYFUNCTION("GOOGLEFINANCE(""bom:""&amp;A173,""price"")"),120)</f>
        <v>120</v>
      </c>
      <c r="D173" s="143">
        <f ca="1">IFERROR(__xludf.DUMMYFUNCTION("GOOGLEFINANCE(""bom:""&amp;A173,""marketcap"")/10000000"),932.81112)</f>
        <v>932.81111999999996</v>
      </c>
      <c r="E173" s="144">
        <f t="shared" ca="1" si="2"/>
        <v>7.1753821014306017E-4</v>
      </c>
    </row>
    <row r="174" spans="1:17" ht="15.75" customHeight="1" x14ac:dyDescent="0.3">
      <c r="A174" s="140">
        <v>530067</v>
      </c>
      <c r="B174" s="141" t="s">
        <v>224</v>
      </c>
      <c r="C174" s="142">
        <f ca="1">IFERROR(__xludf.DUMMYFUNCTION("GOOGLEFINANCE(""bom:""&amp;A174,""price"")"),428.9)</f>
        <v>428.9</v>
      </c>
      <c r="D174" s="143">
        <f ca="1">IFERROR(__xludf.DUMMYFUNCTION("GOOGLEFINANCE(""bom:""&amp;A174,""marketcap"")/10000000"),963.2304157)</f>
        <v>963.23041569999998</v>
      </c>
      <c r="E174" s="144">
        <f t="shared" ca="1" si="2"/>
        <v>7.4093738123183375E-4</v>
      </c>
    </row>
    <row r="175" spans="1:17" ht="15.75" customHeight="1" x14ac:dyDescent="0.3">
      <c r="A175" s="140">
        <v>500439</v>
      </c>
      <c r="B175" s="141" t="s">
        <v>225</v>
      </c>
      <c r="C175" s="142">
        <f ca="1">IFERROR(__xludf.DUMMYFUNCTION("GOOGLEFINANCE(""bom:""&amp;A175,""price"")"),3996.15)</f>
        <v>3996.15</v>
      </c>
      <c r="D175" s="143">
        <f ca="1">IFERROR(__xludf.DUMMYFUNCTION("GOOGLEFINANCE(""bom:""&amp;A175,""marketcap"")/10000000"),1275.8480627)</f>
        <v>1275.8480626999999</v>
      </c>
      <c r="E175" s="144">
        <f t="shared" ca="1" si="2"/>
        <v>9.8140954336420078E-4</v>
      </c>
    </row>
    <row r="176" spans="1:17" ht="15.75" customHeight="1" x14ac:dyDescent="0.3">
      <c r="A176" s="140">
        <v>526961</v>
      </c>
      <c r="B176" s="141" t="s">
        <v>226</v>
      </c>
      <c r="C176" s="142">
        <f ca="1">IFERROR(__xludf.DUMMYFUNCTION("GOOGLEFINANCE(""bom:""&amp;A176,""price"")"),795)</f>
        <v>795</v>
      </c>
      <c r="D176" s="143">
        <f ca="1">IFERROR(__xludf.DUMMYFUNCTION("GOOGLEFINANCE(""bom:""&amp;A176,""marketcap"")/10000000"),1847.518785)</f>
        <v>1847.518785</v>
      </c>
      <c r="E176" s="144">
        <f t="shared" ca="1" si="2"/>
        <v>1.4211508565577361E-3</v>
      </c>
    </row>
    <row r="177" spans="1:5" ht="15.75" customHeight="1" x14ac:dyDescent="0.3">
      <c r="A177" s="140">
        <v>540268</v>
      </c>
      <c r="B177" s="141" t="s">
        <v>227</v>
      </c>
      <c r="C177" s="142">
        <f ca="1">IFERROR(__xludf.DUMMYFUNCTION("GOOGLEFINANCE(""bom:""&amp;A177,""price"")"),46)</f>
        <v>46</v>
      </c>
      <c r="D177" s="143">
        <f ca="1">IFERROR(__xludf.DUMMYFUNCTION("GOOGLEFINANCE(""bom:""&amp;A177,""marketcap"")/10000000"),534.2298099)</f>
        <v>534.22980989999996</v>
      </c>
      <c r="E177" s="144">
        <f t="shared" ca="1" si="2"/>
        <v>4.1094096476970948E-4</v>
      </c>
    </row>
    <row r="178" spans="1:5" ht="15.75" customHeight="1" x14ac:dyDescent="0.3">
      <c r="A178" s="140">
        <v>538772</v>
      </c>
      <c r="B178" s="141" t="s">
        <v>228</v>
      </c>
      <c r="C178" s="142">
        <f ca="1">IFERROR(__xludf.DUMMYFUNCTION("GOOGLEFINANCE(""bom:""&amp;A178,""price"")"),63.59)</f>
        <v>63.59</v>
      </c>
      <c r="D178" s="143">
        <f ca="1">IFERROR(__xludf.DUMMYFUNCTION("GOOGLEFINANCE(""bom:""&amp;A178,""marketcap"")/10000000"),608.0021884)</f>
        <v>608.00218840000002</v>
      </c>
      <c r="E178" s="144">
        <f t="shared" ca="1" si="2"/>
        <v>4.6768825185917562E-4</v>
      </c>
    </row>
    <row r="179" spans="1:5" ht="15.75" customHeight="1" x14ac:dyDescent="0.3">
      <c r="A179" s="140">
        <v>538446</v>
      </c>
      <c r="B179" s="141" t="s">
        <v>229</v>
      </c>
      <c r="C179" s="142">
        <f ca="1">IFERROR(__xludf.DUMMYFUNCTION("GOOGLEFINANCE(""bom:""&amp;A179,""price"")"),317.45)</f>
        <v>317.45</v>
      </c>
      <c r="D179" s="143">
        <f ca="1">IFERROR(__xludf.DUMMYFUNCTION("GOOGLEFINANCE(""bom:""&amp;A179,""marketcap"")/10000000"),961.2054)</f>
        <v>961.20540000000005</v>
      </c>
      <c r="E179" s="144">
        <f t="shared" ca="1" si="2"/>
        <v>7.3937969596229113E-4</v>
      </c>
    </row>
    <row r="180" spans="1:5" ht="15.75" customHeight="1" x14ac:dyDescent="0.3">
      <c r="A180" s="140">
        <v>511628</v>
      </c>
      <c r="B180" s="141" t="s">
        <v>230</v>
      </c>
      <c r="C180" s="142">
        <f ca="1">IFERROR(__xludf.DUMMYFUNCTION("GOOGLEFINANCE(""bom:""&amp;A180,""price"")"),932)</f>
        <v>932</v>
      </c>
      <c r="D180" s="143">
        <f ca="1">IFERROR(__xludf.DUMMYFUNCTION("GOOGLEFINANCE(""bom:""&amp;A180,""marketcap"")/10000000"),1875.33312)</f>
        <v>1875.33312</v>
      </c>
      <c r="E180" s="144">
        <f t="shared" ca="1" si="2"/>
        <v>1.4425462363128782E-3</v>
      </c>
    </row>
    <row r="181" spans="1:5" ht="15.75" customHeight="1" x14ac:dyDescent="0.3">
      <c r="A181" s="140">
        <v>508954</v>
      </c>
      <c r="B181" s="141" t="s">
        <v>231</v>
      </c>
      <c r="C181" s="142">
        <f ca="1">IFERROR(__xludf.DUMMYFUNCTION("GOOGLEFINANCE(""bom:""&amp;A181,""price"")"),82)</f>
        <v>82</v>
      </c>
      <c r="D181" s="143">
        <f ca="1">IFERROR(__xludf.DUMMYFUNCTION("GOOGLEFINANCE(""bom:""&amp;A181,""marketcap"")/10000000"),1040.23724)</f>
        <v>1040.2372399999999</v>
      </c>
      <c r="E181" s="144">
        <f t="shared" ca="1" si="2"/>
        <v>8.0017267302061844E-4</v>
      </c>
    </row>
    <row r="182" spans="1:5" ht="15.75" customHeight="1" x14ac:dyDescent="0.3">
      <c r="A182" s="140">
        <v>530499</v>
      </c>
      <c r="B182" s="141" t="s">
        <v>232</v>
      </c>
      <c r="C182" s="142">
        <f ca="1">IFERROR(__xludf.DUMMYFUNCTION("GOOGLEFINANCE(""bom:""&amp;A182,""price"")"),1079.95)</f>
        <v>1079.95</v>
      </c>
      <c r="D182" s="143">
        <f ca="1">IFERROR(__xludf.DUMMYFUNCTION("GOOGLEFINANCE(""bom:""&amp;A182,""marketcap"")/10000000"),700.2930322)</f>
        <v>700.29303219999997</v>
      </c>
      <c r="E182" s="144">
        <f t="shared" ca="1" si="2"/>
        <v>5.3868033745185665E-4</v>
      </c>
    </row>
    <row r="183" spans="1:5" ht="15.75" customHeight="1" x14ac:dyDescent="0.3">
      <c r="A183" s="140">
        <v>537800</v>
      </c>
      <c r="B183" s="141" t="s">
        <v>233</v>
      </c>
      <c r="C183" s="142">
        <f ca="1">IFERROR(__xludf.DUMMYFUNCTION("GOOGLEFINANCE(""bom:""&amp;A183,""price"")"),4.04)</f>
        <v>4.04</v>
      </c>
      <c r="D183" s="143">
        <f ca="1">IFERROR(__xludf.DUMMYFUNCTION("GOOGLEFINANCE(""bom:""&amp;A183,""marketcap"")/10000000"),436.3854699)</f>
        <v>436.38546989999998</v>
      </c>
      <c r="E183" s="144">
        <f t="shared" ca="1" si="2"/>
        <v>3.3567701144523689E-4</v>
      </c>
    </row>
    <row r="184" spans="1:5" ht="15.75" customHeight="1" x14ac:dyDescent="0.3">
      <c r="A184" s="140">
        <v>530579</v>
      </c>
      <c r="B184" s="141" t="s">
        <v>234</v>
      </c>
      <c r="C184" s="142">
        <f ca="1">IFERROR(__xludf.DUMMYFUNCTION("GOOGLEFINANCE(""bom:""&amp;A184,""price"")"),25.39)</f>
        <v>25.39</v>
      </c>
      <c r="D184" s="143">
        <f ca="1">IFERROR(__xludf.DUMMYFUNCTION("GOOGLEFINANCE(""bom:""&amp;A184,""marketcap"")/10000000"),474.4544)</f>
        <v>474.45440000000002</v>
      </c>
      <c r="E184" s="144">
        <f t="shared" ca="1" si="2"/>
        <v>3.6496044447937063E-4</v>
      </c>
    </row>
    <row r="185" spans="1:5" ht="15.75" customHeight="1" x14ac:dyDescent="0.3">
      <c r="A185" s="140">
        <v>511766</v>
      </c>
      <c r="B185" s="141" t="s">
        <v>235</v>
      </c>
      <c r="C185" s="142">
        <f ca="1">IFERROR(__xludf.DUMMYFUNCTION("GOOGLEFINANCE(""bom:""&amp;A185,""price"")"),300.65)</f>
        <v>300.64999999999998</v>
      </c>
      <c r="D185" s="143">
        <f ca="1">IFERROR(__xludf.DUMMYFUNCTION("GOOGLEFINANCE(""bom:""&amp;A185,""marketcap"")/10000000"),496.5437675)</f>
        <v>496.5437675</v>
      </c>
      <c r="E185" s="144">
        <f t="shared" ca="1" si="2"/>
        <v>3.8195205712131925E-4</v>
      </c>
    </row>
    <row r="186" spans="1:5" ht="15.75" customHeight="1" x14ac:dyDescent="0.3">
      <c r="A186" s="140">
        <v>501295</v>
      </c>
      <c r="B186" s="141" t="s">
        <v>236</v>
      </c>
      <c r="C186" s="142">
        <f ca="1">IFERROR(__xludf.DUMMYFUNCTION("GOOGLEFINANCE(""bom:""&amp;A186,""price"")"),231.35)</f>
        <v>231.35</v>
      </c>
      <c r="D186" s="143">
        <f ca="1">IFERROR(__xludf.DUMMYFUNCTION("GOOGLEFINANCE(""bom:""&amp;A186,""marketcap"")/10000000"),524.0050482)</f>
        <v>524.00504820000003</v>
      </c>
      <c r="E186" s="144">
        <f t="shared" ca="1" si="2"/>
        <v>4.0307585997833732E-4</v>
      </c>
    </row>
    <row r="187" spans="1:5" ht="15.75" customHeight="1" x14ac:dyDescent="0.3">
      <c r="A187" s="140">
        <v>511700</v>
      </c>
      <c r="B187" s="141" t="s">
        <v>237</v>
      </c>
      <c r="C187" s="142">
        <f ca="1">IFERROR(__xludf.DUMMYFUNCTION("GOOGLEFINANCE(""bom:""&amp;A187,""price"")"),1.53)</f>
        <v>1.53</v>
      </c>
      <c r="D187" s="143">
        <f ca="1">IFERROR(__xludf.DUMMYFUNCTION("GOOGLEFINANCE(""bom:""&amp;A187,""marketcap"")/10000000"),264.690301)</f>
        <v>264.69030099999998</v>
      </c>
      <c r="E187" s="144">
        <f t="shared" ca="1" si="2"/>
        <v>2.0360542531028985E-4</v>
      </c>
    </row>
    <row r="188" spans="1:5" ht="15.75" customHeight="1" x14ac:dyDescent="0.3">
      <c r="A188" s="140">
        <v>537750</v>
      </c>
      <c r="B188" s="141" t="s">
        <v>238</v>
      </c>
      <c r="C188" s="142">
        <f ca="1">IFERROR(__xludf.DUMMYFUNCTION("GOOGLEFINANCE(""bom:""&amp;A188,""price"")"),188.1)</f>
        <v>188.1</v>
      </c>
      <c r="D188" s="143">
        <f ca="1">IFERROR(__xludf.DUMMYFUNCTION("GOOGLEFINANCE(""bom:""&amp;A188,""marketcap"")/10000000"),513.2160067)</f>
        <v>513.21600669999998</v>
      </c>
      <c r="E188" s="144">
        <f t="shared" ca="1" si="2"/>
        <v>3.9477669912885122E-4</v>
      </c>
    </row>
    <row r="189" spans="1:5" ht="15.75" customHeight="1" x14ac:dyDescent="0.3">
      <c r="A189" s="140">
        <v>512020</v>
      </c>
      <c r="B189" s="141" t="s">
        <v>239</v>
      </c>
      <c r="C189" s="142">
        <f ca="1">IFERROR(__xludf.DUMMYFUNCTION("GOOGLEFINANCE(""bom:""&amp;A189,""price"")"),9282)</f>
        <v>9282</v>
      </c>
      <c r="D189" s="143">
        <f ca="1">IFERROR(__xludf.DUMMYFUNCTION("GOOGLEFINANCE(""bom:""&amp;A189,""marketcap"")/10000000"),955.9791696)</f>
        <v>955.97916959999998</v>
      </c>
      <c r="E189" s="144">
        <f t="shared" ca="1" si="2"/>
        <v>7.3535956806436117E-4</v>
      </c>
    </row>
    <row r="190" spans="1:5" ht="15.75" customHeight="1" x14ac:dyDescent="0.3">
      <c r="A190" s="140">
        <v>511754</v>
      </c>
      <c r="B190" s="141" t="s">
        <v>240</v>
      </c>
      <c r="C190" s="142">
        <f ca="1">IFERROR(__xludf.DUMMYFUNCTION("GOOGLEFINANCE(""bom:""&amp;A190,""price"")"),735)</f>
        <v>735</v>
      </c>
      <c r="D190" s="143">
        <f ca="1">IFERROR(__xludf.DUMMYFUNCTION("GOOGLEFINANCE(""bom:""&amp;A190,""marketcap"")/10000000"),514.5)</f>
        <v>514.5</v>
      </c>
      <c r="E190" s="144">
        <f t="shared" ca="1" si="2"/>
        <v>3.9576437416248257E-4</v>
      </c>
    </row>
    <row r="191" spans="1:5" ht="15.75" customHeight="1" x14ac:dyDescent="0.3">
      <c r="A191" s="140">
        <v>532320</v>
      </c>
      <c r="B191" s="141" t="s">
        <v>241</v>
      </c>
      <c r="C191" s="142">
        <f ca="1">IFERROR(__xludf.DUMMYFUNCTION("GOOGLEFINANCE(""bom:""&amp;A191,""price"")"),13.99)</f>
        <v>13.99</v>
      </c>
      <c r="D191" s="143">
        <f ca="1">IFERROR(__xludf.DUMMYFUNCTION("GOOGLEFINANCE(""bom:""&amp;A191,""marketcap"")/10000000"),349.6141513)</f>
        <v>349.6141513</v>
      </c>
      <c r="E191" s="144">
        <f t="shared" ca="1" si="2"/>
        <v>2.6893066236655393E-4</v>
      </c>
    </row>
    <row r="192" spans="1:5" ht="15.75" customHeight="1" x14ac:dyDescent="0.3">
      <c r="A192" s="140">
        <v>512437</v>
      </c>
      <c r="B192" s="141" t="s">
        <v>242</v>
      </c>
      <c r="C192" s="142">
        <f ca="1">IFERROR(__xludf.DUMMYFUNCTION("GOOGLEFINANCE(""bom:""&amp;A192,""price"")"),860.3)</f>
        <v>860.3</v>
      </c>
      <c r="D192" s="143">
        <f ca="1">IFERROR(__xludf.DUMMYFUNCTION("GOOGLEFINANCE(""bom:""&amp;A192,""marketcap"")/10000000"),321.0371276)</f>
        <v>321.03712760000002</v>
      </c>
      <c r="E192" s="144">
        <f t="shared" ca="1" si="2"/>
        <v>2.4694860619540348E-4</v>
      </c>
    </row>
    <row r="193" spans="1:5" ht="15.75" customHeight="1" x14ac:dyDescent="0.3">
      <c r="A193" s="140">
        <v>539574</v>
      </c>
      <c r="B193" s="141" t="s">
        <v>243</v>
      </c>
      <c r="C193" s="142">
        <f ca="1">IFERROR(__xludf.DUMMYFUNCTION("GOOGLEFINANCE(""bom:""&amp;A193,""price"")"),2.78)</f>
        <v>2.78</v>
      </c>
      <c r="D193" s="143">
        <f ca="1">IFERROR(__xludf.DUMMYFUNCTION("GOOGLEFINANCE(""bom:""&amp;A193,""marketcap"")/10000000"),1453.708967)</f>
        <v>1453.708967</v>
      </c>
      <c r="E193" s="144">
        <f t="shared" ca="1" si="2"/>
        <v>1.1182239446824959E-3</v>
      </c>
    </row>
    <row r="194" spans="1:5" ht="15.75" customHeight="1" x14ac:dyDescent="0.3">
      <c r="A194" s="140">
        <v>511724</v>
      </c>
      <c r="B194" s="141" t="s">
        <v>244</v>
      </c>
      <c r="C194" s="142">
        <f ca="1">IFERROR(__xludf.DUMMYFUNCTION("GOOGLEFINANCE(""bom:""&amp;A194,""price"")"),14.52)</f>
        <v>14.52</v>
      </c>
      <c r="D194" s="143">
        <f ca="1">IFERROR(__xludf.DUMMYFUNCTION("GOOGLEFINANCE(""bom:""&amp;A194,""marketcap"")/10000000"),172.5167718)</f>
        <v>172.51677179999999</v>
      </c>
      <c r="E194" s="144">
        <f t="shared" ca="1" si="2"/>
        <v>1.3270358061022122E-4</v>
      </c>
    </row>
    <row r="195" spans="1:5" ht="15.75" customHeight="1" x14ac:dyDescent="0.3">
      <c r="A195" s="140">
        <v>538476</v>
      </c>
      <c r="B195" s="141" t="s">
        <v>245</v>
      </c>
      <c r="C195" s="142">
        <f ca="1">IFERROR(__xludf.DUMMYFUNCTION("GOOGLEFINANCE(""bom:""&amp;A195,""price"")"),44.03)</f>
        <v>44.03</v>
      </c>
      <c r="D195" s="143">
        <f ca="1">IFERROR(__xludf.DUMMYFUNCTION("GOOGLEFINANCE(""bom:""&amp;A195,""marketcap"")/10000000"),299.31057)</f>
        <v>299.31056999999998</v>
      </c>
      <c r="E195" s="144">
        <f t="shared" ca="1" si="2"/>
        <v>2.3023607466718355E-4</v>
      </c>
    </row>
    <row r="196" spans="1:5" ht="15.75" customHeight="1" x14ac:dyDescent="0.3">
      <c r="A196" s="140">
        <v>512381</v>
      </c>
      <c r="B196" s="141" t="s">
        <v>246</v>
      </c>
      <c r="C196" s="142">
        <f ca="1">IFERROR(__xludf.DUMMYFUNCTION("GOOGLEFINANCE(""bom:""&amp;A196,""price"")"),256.65)</f>
        <v>256.64999999999998</v>
      </c>
      <c r="D196" s="143">
        <f ca="1">IFERROR(__xludf.DUMMYFUNCTION("GOOGLEFINANCE(""bom:""&amp;A196,""marketcap"")/10000000"),256.6775988)</f>
        <v>256.6775988</v>
      </c>
      <c r="E196" s="144">
        <f t="shared" ca="1" si="2"/>
        <v>1.9744188386902002E-4</v>
      </c>
    </row>
    <row r="197" spans="1:5" ht="15.75" customHeight="1" x14ac:dyDescent="0.3">
      <c r="A197" s="140">
        <v>509470</v>
      </c>
      <c r="B197" s="141" t="s">
        <v>247</v>
      </c>
      <c r="C197" s="142">
        <f ca="1">IFERROR(__xludf.DUMMYFUNCTION("GOOGLEFINANCE(""bom:""&amp;A197,""price"")"),29900)</f>
        <v>29900</v>
      </c>
      <c r="D197" s="143">
        <f ca="1">IFERROR(__xludf.DUMMYFUNCTION("GOOGLEFINANCE(""bom:""&amp;A197,""marketcap"")/10000000"),448.5)</f>
        <v>448.5</v>
      </c>
      <c r="E197" s="144">
        <f t="shared" ca="1" si="2"/>
        <v>3.4499576639819909E-4</v>
      </c>
    </row>
    <row r="198" spans="1:5" ht="15.75" customHeight="1" x14ac:dyDescent="0.3">
      <c r="A198" s="140">
        <v>530245</v>
      </c>
      <c r="B198" s="141" t="s">
        <v>248</v>
      </c>
      <c r="C198" s="142">
        <f ca="1">IFERROR(__xludf.DUMMYFUNCTION("GOOGLEFINANCE(""bom:""&amp;A198,""price"")"),340)</f>
        <v>340</v>
      </c>
      <c r="D198" s="143">
        <f ca="1">IFERROR(__xludf.DUMMYFUNCTION("GOOGLEFINANCE(""bom:""&amp;A198,""marketcap"")/10000000"),397.188)</f>
        <v>397.18799999999999</v>
      </c>
      <c r="E198" s="144">
        <f t="shared" ca="1" si="2"/>
        <v>3.0552548152545798E-4</v>
      </c>
    </row>
    <row r="199" spans="1:5" ht="15.75" customHeight="1" x14ac:dyDescent="0.3">
      <c r="A199" s="140">
        <v>538668</v>
      </c>
      <c r="B199" s="141" t="s">
        <v>249</v>
      </c>
      <c r="C199" s="142">
        <f ca="1">IFERROR(__xludf.DUMMYFUNCTION("GOOGLEFINANCE(""bom:""&amp;A199,""price"")"),505)</f>
        <v>505</v>
      </c>
      <c r="D199" s="143">
        <f ca="1">IFERROR(__xludf.DUMMYFUNCTION("GOOGLEFINANCE(""bom:""&amp;A199,""marketcap"")/10000000"),548.524435)</f>
        <v>548.52443500000004</v>
      </c>
      <c r="E199" s="144">
        <f t="shared" ca="1" si="2"/>
        <v>4.2193669529757899E-4</v>
      </c>
    </row>
    <row r="200" spans="1:5" ht="15.75" customHeight="1" x14ac:dyDescent="0.3">
      <c r="A200" s="140">
        <v>511589</v>
      </c>
      <c r="B200" s="141" t="s">
        <v>250</v>
      </c>
      <c r="C200" s="142">
        <f ca="1">IFERROR(__xludf.DUMMYFUNCTION("GOOGLEFINANCE(""bom:""&amp;A200,""price"")"),14.19)</f>
        <v>14.19</v>
      </c>
      <c r="D200" s="143">
        <f ca="1">IFERROR(__xludf.DUMMYFUNCTION("GOOGLEFINANCE(""bom:""&amp;A200,""marketcap"")/10000000"),339.5212819)</f>
        <v>339.52128190000002</v>
      </c>
      <c r="E200" s="144">
        <f t="shared" ca="1" si="2"/>
        <v>2.6116701194557303E-4</v>
      </c>
    </row>
    <row r="201" spans="1:5" ht="15.75" customHeight="1" x14ac:dyDescent="0.3">
      <c r="A201" s="140">
        <v>531310</v>
      </c>
      <c r="B201" s="141" t="s">
        <v>251</v>
      </c>
      <c r="C201" s="142">
        <f ca="1">IFERROR(__xludf.DUMMYFUNCTION("GOOGLEFINANCE(""bom:""&amp;A201,""price"")"),224.9)</f>
        <v>224.9</v>
      </c>
      <c r="D201" s="143">
        <f ca="1">IFERROR(__xludf.DUMMYFUNCTION("GOOGLEFINANCE(""bom:""&amp;A201,""marketcap"")/10000000"),229.4809818)</f>
        <v>229.4809818</v>
      </c>
      <c r="E201" s="144">
        <f t="shared" ca="1" si="2"/>
        <v>1.765216659752557E-4</v>
      </c>
    </row>
    <row r="202" spans="1:5" ht="15.75" customHeight="1" x14ac:dyDescent="0.3">
      <c r="A202" s="140">
        <v>511505</v>
      </c>
      <c r="B202" s="141" t="s">
        <v>252</v>
      </c>
      <c r="C202" s="142">
        <f ca="1">IFERROR(__xludf.DUMMYFUNCTION("GOOGLEFINANCE(""bom:""&amp;A202,""price"")"),140.95)</f>
        <v>140.94999999999999</v>
      </c>
      <c r="D202" s="143">
        <f ca="1">IFERROR(__xludf.DUMMYFUNCTION("GOOGLEFINANCE(""bom:""&amp;A202,""marketcap"")/10000000"),228.3424049)</f>
        <v>228.34240489999999</v>
      </c>
      <c r="E202" s="144">
        <f t="shared" ca="1" si="2"/>
        <v>1.7564584833820154E-4</v>
      </c>
    </row>
    <row r="203" spans="1:5" ht="15.75" customHeight="1" x14ac:dyDescent="0.3">
      <c r="A203" s="140">
        <v>505850</v>
      </c>
      <c r="B203" s="141" t="s">
        <v>253</v>
      </c>
      <c r="C203" s="142">
        <f ca="1">IFERROR(__xludf.DUMMYFUNCTION("GOOGLEFINANCE(""bom:""&amp;A203,""price"")"),119)</f>
        <v>119</v>
      </c>
      <c r="D203" s="143">
        <f ca="1">IFERROR(__xludf.DUMMYFUNCTION("GOOGLEFINANCE(""bom:""&amp;A203,""marketcap"")/10000000"),232.811362)</f>
        <v>232.811362</v>
      </c>
      <c r="E203" s="144">
        <f t="shared" ca="1" si="2"/>
        <v>1.7908346546131231E-4</v>
      </c>
    </row>
    <row r="204" spans="1:5" ht="15.75" customHeight="1" x14ac:dyDescent="0.3">
      <c r="A204" s="140">
        <v>538732</v>
      </c>
      <c r="B204" s="141" t="s">
        <v>254</v>
      </c>
      <c r="C204" s="142">
        <f ca="1">IFERROR(__xludf.DUMMYFUNCTION("GOOGLEFINANCE(""bom:""&amp;A204,""price"")"),79)</f>
        <v>79</v>
      </c>
      <c r="D204" s="143">
        <f ca="1">IFERROR(__xludf.DUMMYFUNCTION("GOOGLEFINANCE(""bom:""&amp;A204,""marketcap"")/10000000"),180.968302)</f>
        <v>180.96830199999999</v>
      </c>
      <c r="E204" s="144">
        <f t="shared" ca="1" si="2"/>
        <v>1.3920467790918785E-4</v>
      </c>
    </row>
    <row r="205" spans="1:5" ht="15.75" customHeight="1" x14ac:dyDescent="0.3">
      <c r="A205" s="140">
        <v>535667</v>
      </c>
      <c r="B205" s="141" t="s">
        <v>255</v>
      </c>
      <c r="C205" s="142">
        <f ca="1">IFERROR(__xludf.DUMMYFUNCTION("GOOGLEFINANCE(""bom:""&amp;A205,""price"")"),130)</f>
        <v>130</v>
      </c>
      <c r="D205" s="143">
        <f ca="1">IFERROR(__xludf.DUMMYFUNCTION("GOOGLEFINANCE(""bom:""&amp;A205,""marketcap"")/10000000"),324.2423)</f>
        <v>324.2423</v>
      </c>
      <c r="E205" s="144">
        <f t="shared" ca="1" si="2"/>
        <v>2.4941409317104748E-4</v>
      </c>
    </row>
    <row r="206" spans="1:5" ht="15.75" customHeight="1" x14ac:dyDescent="0.3">
      <c r="A206" s="140">
        <v>535566</v>
      </c>
      <c r="B206" s="141" t="s">
        <v>256</v>
      </c>
      <c r="C206" s="142">
        <f ca="1">IFERROR(__xludf.DUMMYFUNCTION("GOOGLEFINANCE(""bom:""&amp;A206,""price"")"),156)</f>
        <v>156</v>
      </c>
      <c r="D206" s="143">
        <f ca="1">IFERROR(__xludf.DUMMYFUNCTION("GOOGLEFINANCE(""bom:""&amp;A206,""marketcap"")/10000000"),168.7608)</f>
        <v>168.76079999999999</v>
      </c>
      <c r="E206" s="144">
        <f t="shared" ca="1" si="2"/>
        <v>1.2981440698767714E-4</v>
      </c>
    </row>
    <row r="207" spans="1:5" ht="15.75" customHeight="1" x14ac:dyDescent="0.3">
      <c r="A207" s="140">
        <v>534060</v>
      </c>
      <c r="B207" s="141" t="s">
        <v>257</v>
      </c>
      <c r="C207" s="142">
        <f ca="1">IFERROR(__xludf.DUMMYFUNCTION("GOOGLEFINANCE(""bom:""&amp;A207,""price"")"),4.51)</f>
        <v>4.51</v>
      </c>
      <c r="D207" s="143">
        <f ca="1">IFERROR(__xludf.DUMMYFUNCTION("GOOGLEFINANCE(""bom:""&amp;A207,""marketcap"")/10000000"),240.8615683)</f>
        <v>240.86156829999999</v>
      </c>
      <c r="E207" s="144">
        <f t="shared" ca="1" si="2"/>
        <v>1.852758558562557E-4</v>
      </c>
    </row>
    <row r="208" spans="1:5" ht="15.75" customHeight="1" x14ac:dyDescent="0.3">
      <c r="A208" s="140">
        <v>543208</v>
      </c>
      <c r="B208" s="141" t="s">
        <v>258</v>
      </c>
      <c r="C208" s="142">
        <f ca="1">IFERROR(__xludf.DUMMYFUNCTION("GOOGLEFINANCE(""bom:""&amp;A208,""price"")"),150)</f>
        <v>150</v>
      </c>
      <c r="D208" s="143">
        <f ca="1">IFERROR(__xludf.DUMMYFUNCTION("GOOGLEFINANCE(""bom:""&amp;A208,""marketcap"")/10000000"),258.11385)</f>
        <v>258.11385000000001</v>
      </c>
      <c r="E208" s="144">
        <f t="shared" ca="1" si="2"/>
        <v>1.985466789269561E-4</v>
      </c>
    </row>
    <row r="209" spans="1:5" ht="15.75" customHeight="1" x14ac:dyDescent="0.3">
      <c r="A209" s="140">
        <v>538943</v>
      </c>
      <c r="B209" s="141" t="s">
        <v>259</v>
      </c>
      <c r="C209" s="142">
        <f ca="1">IFERROR(__xludf.DUMMYFUNCTION("GOOGLEFINANCE(""bom:""&amp;A209,""price"")"),103.15)</f>
        <v>103.15</v>
      </c>
      <c r="D209" s="143">
        <f ca="1">IFERROR(__xludf.DUMMYFUNCTION("GOOGLEFINANCE(""bom:""&amp;A209,""marketcap"")/10000000"),152.027836)</f>
        <v>152.02783600000001</v>
      </c>
      <c r="E209" s="144">
        <f t="shared" ca="1" si="2"/>
        <v>1.1694305416873964E-4</v>
      </c>
    </row>
    <row r="210" spans="1:5" ht="15.75" customHeight="1" x14ac:dyDescent="0.3">
      <c r="A210" s="140">
        <v>539773</v>
      </c>
      <c r="B210" s="141" t="s">
        <v>260</v>
      </c>
      <c r="C210" s="142">
        <f ca="1">IFERROR(__xludf.DUMMYFUNCTION("GOOGLEFINANCE(""bom:""&amp;A210,""price"")"),2.74)</f>
        <v>2.74</v>
      </c>
      <c r="D210" s="143">
        <f ca="1">IFERROR(__xludf.DUMMYFUNCTION("GOOGLEFINANCE(""bom:""&amp;A210,""marketcap"")/10000000"),116.8859609)</f>
        <v>116.8859609</v>
      </c>
      <c r="E210" s="144">
        <f t="shared" ca="1" si="2"/>
        <v>8.9911174273992048E-5</v>
      </c>
    </row>
    <row r="211" spans="1:5" ht="15.75" customHeight="1" x14ac:dyDescent="0.3">
      <c r="A211" s="140">
        <v>539598</v>
      </c>
      <c r="B211" s="141" t="s">
        <v>261</v>
      </c>
      <c r="C211" s="142">
        <f ca="1">IFERROR(__xludf.DUMMYFUNCTION("GOOGLEFINANCE(""bom:""&amp;A211,""price"")"),129.95)</f>
        <v>129.94999999999999</v>
      </c>
      <c r="D211" s="143">
        <f ca="1">IFERROR(__xludf.DUMMYFUNCTION("GOOGLEFINANCE(""bom:""&amp;A211,""marketcap"")/10000000"),133.79912)</f>
        <v>133.79911999999999</v>
      </c>
      <c r="E211" s="144">
        <f t="shared" ca="1" si="2"/>
        <v>1.0292113700736814E-4</v>
      </c>
    </row>
    <row r="212" spans="1:5" ht="15.75" customHeight="1" x14ac:dyDescent="0.3">
      <c r="A212" s="140">
        <v>532057</v>
      </c>
      <c r="B212" s="141" t="s">
        <v>262</v>
      </c>
      <c r="C212" s="142">
        <f ca="1">IFERROR(__xludf.DUMMYFUNCTION("GOOGLEFINANCE(""bom:""&amp;A212,""price"")"),178.1)</f>
        <v>178.1</v>
      </c>
      <c r="D212" s="143">
        <f ca="1">IFERROR(__xludf.DUMMYFUNCTION("GOOGLEFINANCE(""bom:""&amp;A212,""marketcap"")/10000000"),123.2924873)</f>
        <v>123.2924873</v>
      </c>
      <c r="E212" s="144">
        <f t="shared" ca="1" si="2"/>
        <v>9.4839211030554594E-5</v>
      </c>
    </row>
    <row r="213" spans="1:5" ht="15.75" customHeight="1" x14ac:dyDescent="0.3">
      <c r="A213" s="140">
        <v>539875</v>
      </c>
      <c r="B213" s="141" t="s">
        <v>263</v>
      </c>
      <c r="C213" s="142">
        <f ca="1">IFERROR(__xludf.DUMMYFUNCTION("GOOGLEFINANCE(""bom:""&amp;A213,""price"")"),131.1)</f>
        <v>131.1</v>
      </c>
      <c r="D213" s="143">
        <f ca="1">IFERROR(__xludf.DUMMYFUNCTION("GOOGLEFINANCE(""bom:""&amp;A213,""marketcap"")/10000000"),169.7282296)</f>
        <v>169.72822959999999</v>
      </c>
      <c r="E213" s="144">
        <f t="shared" ca="1" si="2"/>
        <v>1.3055857447104015E-4</v>
      </c>
    </row>
    <row r="214" spans="1:5" ht="15.75" customHeight="1" x14ac:dyDescent="0.3">
      <c r="A214" s="140">
        <v>539391</v>
      </c>
      <c r="B214" s="141" t="s">
        <v>264</v>
      </c>
      <c r="C214" s="142">
        <f ca="1">IFERROR(__xludf.DUMMYFUNCTION("GOOGLEFINANCE(""bom:""&amp;A214,""price"")"),42.23)</f>
        <v>42.23</v>
      </c>
      <c r="D214" s="143">
        <f ca="1">IFERROR(__xludf.DUMMYFUNCTION("GOOGLEFINANCE(""bom:""&amp;A214,""marketcap"")/10000000"),108.7169108)</f>
        <v>108.71691079999999</v>
      </c>
      <c r="E214" s="144">
        <f t="shared" ca="1" si="2"/>
        <v>8.3627366693178701E-5</v>
      </c>
    </row>
    <row r="215" spans="1:5" ht="15.75" customHeight="1" x14ac:dyDescent="0.3">
      <c r="A215" s="140">
        <v>531127</v>
      </c>
      <c r="B215" s="141" t="s">
        <v>265</v>
      </c>
      <c r="C215" s="142">
        <f ca="1">IFERROR(__xludf.DUMMYFUNCTION("GOOGLEFINANCE(""bom:""&amp;A215,""price"")"),8.15)</f>
        <v>8.15</v>
      </c>
      <c r="D215" s="143">
        <f ca="1">IFERROR(__xludf.DUMMYFUNCTION("GOOGLEFINANCE(""bom:""&amp;A215,""marketcap"")/10000000"),85.99737)</f>
        <v>85.997370000000004</v>
      </c>
      <c r="E215" s="144">
        <f t="shared" ca="1" si="2"/>
        <v>6.6151011307423636E-5</v>
      </c>
    </row>
    <row r="216" spans="1:5" ht="15.75" customHeight="1" x14ac:dyDescent="0.3">
      <c r="A216" s="140">
        <v>505216</v>
      </c>
      <c r="B216" s="141" t="s">
        <v>266</v>
      </c>
      <c r="C216" s="142">
        <f ca="1">IFERROR(__xludf.DUMMYFUNCTION("GOOGLEFINANCE(""bom:""&amp;A216,""price"")"),1490)</f>
        <v>1490</v>
      </c>
      <c r="D216" s="143">
        <f ca="1">IFERROR(__xludf.DUMMYFUNCTION("GOOGLEFINANCE(""bom:""&amp;A216,""marketcap"")/10000000"),114.9429061)</f>
        <v>114.9429061</v>
      </c>
      <c r="E216" s="144">
        <f t="shared" ca="1" si="2"/>
        <v>8.8416535076935872E-5</v>
      </c>
    </row>
    <row r="217" spans="1:5" ht="15.75" customHeight="1" x14ac:dyDescent="0.3">
      <c r="A217" s="140">
        <v>538778</v>
      </c>
      <c r="B217" s="141" t="s">
        <v>267</v>
      </c>
      <c r="C217" s="142">
        <f ca="1">IFERROR(__xludf.DUMMYFUNCTION("GOOGLEFINANCE(""bom:""&amp;A217,""price"")"),15.43)</f>
        <v>15.43</v>
      </c>
      <c r="D217" s="143">
        <f ca="1">IFERROR(__xludf.DUMMYFUNCTION("GOOGLEFINANCE(""bom:""&amp;A217,""marketcap"")/10000000"),79.55735)</f>
        <v>79.55735</v>
      </c>
      <c r="E217" s="144">
        <f t="shared" ca="1" si="2"/>
        <v>6.1197210559330582E-5</v>
      </c>
    </row>
    <row r="218" spans="1:5" ht="15.75" customHeight="1" x14ac:dyDescent="0.3">
      <c r="A218" s="140">
        <v>535910</v>
      </c>
      <c r="B218" s="141" t="s">
        <v>268</v>
      </c>
      <c r="C218" s="142">
        <f ca="1">IFERROR(__xludf.DUMMYFUNCTION("GOOGLEFINANCE(""bom:""&amp;A218,""price"")"),173.65)</f>
        <v>173.65</v>
      </c>
      <c r="D218" s="143">
        <f ca="1">IFERROR(__xludf.DUMMYFUNCTION("GOOGLEFINANCE(""bom:""&amp;A218,""marketcap"")/10000000"),174.3136841)</f>
        <v>174.31368409999999</v>
      </c>
      <c r="E218" s="144">
        <f t="shared" ca="1" si="2"/>
        <v>1.340858038790927E-4</v>
      </c>
    </row>
    <row r="219" spans="1:5" ht="15.75" customHeight="1" x14ac:dyDescent="0.3">
      <c r="A219" s="140">
        <v>511571</v>
      </c>
      <c r="B219" s="141" t="s">
        <v>269</v>
      </c>
      <c r="C219" s="142">
        <f ca="1">IFERROR(__xludf.DUMMYFUNCTION("GOOGLEFINANCE(""bom:""&amp;A219,""price"")"),107.55)</f>
        <v>107.55</v>
      </c>
      <c r="D219" s="143">
        <f ca="1">IFERROR(__xludf.DUMMYFUNCTION("GOOGLEFINANCE(""bom:""&amp;A219,""marketcap"")/10000000"),107.5856775)</f>
        <v>107.5856775</v>
      </c>
      <c r="E219" s="144">
        <f t="shared" ca="1" si="2"/>
        <v>8.2757197909881795E-5</v>
      </c>
    </row>
    <row r="220" spans="1:5" ht="15.75" customHeight="1" x14ac:dyDescent="0.3">
      <c r="A220" s="140">
        <v>511559</v>
      </c>
      <c r="B220" s="141" t="s">
        <v>270</v>
      </c>
      <c r="C220" s="142">
        <f ca="1">IFERROR(__xludf.DUMMYFUNCTION("GOOGLEFINANCE(""bom:""&amp;A220,""price"")"),127.45)</f>
        <v>127.45</v>
      </c>
      <c r="D220" s="143">
        <f ca="1">IFERROR(__xludf.DUMMYFUNCTION("GOOGLEFINANCE(""bom:""&amp;A220,""marketcap"")/10000000"),116.910937)</f>
        <v>116.910937</v>
      </c>
      <c r="E220" s="144">
        <f t="shared" ca="1" si="2"/>
        <v>8.9930386422846319E-5</v>
      </c>
    </row>
    <row r="221" spans="1:5" ht="15.75" customHeight="1" x14ac:dyDescent="0.3">
      <c r="A221" s="140">
        <v>530139</v>
      </c>
      <c r="B221" s="141" t="s">
        <v>271</v>
      </c>
      <c r="C221" s="142">
        <f ca="1">IFERROR(__xludf.DUMMYFUNCTION("GOOGLEFINANCE(""bom:""&amp;A221,""price"")"),36.77)</f>
        <v>36.770000000000003</v>
      </c>
      <c r="D221" s="143">
        <f ca="1">IFERROR(__xludf.DUMMYFUNCTION("GOOGLEFINANCE(""bom:""&amp;A221,""marketcap"")/10000000"),74.3562949)</f>
        <v>74.356294899999995</v>
      </c>
      <c r="E221" s="144">
        <f t="shared" ca="1" si="2"/>
        <v>5.7196448039143816E-5</v>
      </c>
    </row>
    <row r="222" spans="1:5" ht="15.75" customHeight="1" x14ac:dyDescent="0.3">
      <c r="A222" s="140">
        <v>537069</v>
      </c>
      <c r="B222" s="141" t="s">
        <v>272</v>
      </c>
      <c r="C222" s="142">
        <f ca="1">IFERROR(__xludf.DUMMYFUNCTION("GOOGLEFINANCE(""bom:""&amp;A222,""price"")"),44.99)</f>
        <v>44.99</v>
      </c>
      <c r="D222" s="143">
        <f ca="1">IFERROR(__xludf.DUMMYFUNCTION("GOOGLEFINANCE(""bom:""&amp;A222,""marketcap"")/10000000"),106.9637289)</f>
        <v>106.96372890000001</v>
      </c>
      <c r="E222" s="144">
        <f t="shared" ca="1" si="2"/>
        <v>8.2278781780746274E-5</v>
      </c>
    </row>
    <row r="223" spans="1:5" ht="15.75" customHeight="1" x14ac:dyDescent="0.3">
      <c r="A223" s="140">
        <v>530341</v>
      </c>
      <c r="B223" s="141" t="s">
        <v>273</v>
      </c>
      <c r="C223" s="142">
        <f ca="1">IFERROR(__xludf.DUMMYFUNCTION("GOOGLEFINANCE(""bom:""&amp;A223,""price"")"),143)</f>
        <v>143</v>
      </c>
      <c r="D223" s="143">
        <f ca="1">IFERROR(__xludf.DUMMYFUNCTION("GOOGLEFINANCE(""bom:""&amp;A223,""marketcap"")/10000000"),99.68387)</f>
        <v>99.683869999999999</v>
      </c>
      <c r="E223" s="144">
        <f t="shared" ca="1" si="2"/>
        <v>7.667895903720947E-5</v>
      </c>
    </row>
    <row r="224" spans="1:5" ht="15.75" customHeight="1" x14ac:dyDescent="0.3">
      <c r="A224" s="140">
        <v>543766</v>
      </c>
      <c r="B224" s="141" t="s">
        <v>274</v>
      </c>
      <c r="C224" s="142">
        <f ca="1">IFERROR(__xludf.DUMMYFUNCTION("GOOGLEFINANCE(""bom:""&amp;A224,""price"")"),200)</f>
        <v>200</v>
      </c>
      <c r="D224" s="143">
        <f ca="1">IFERROR(__xludf.DUMMYFUNCTION("GOOGLEFINANCE(""bom:""&amp;A224,""marketcap"")/10000000"),237.6)</f>
        <v>237.6</v>
      </c>
      <c r="E224" s="144">
        <f t="shared" ca="1" si="2"/>
        <v>1.8276698795142052E-4</v>
      </c>
    </row>
    <row r="225" spans="1:5" ht="15.75" customHeight="1" x14ac:dyDescent="0.3">
      <c r="A225" s="140">
        <v>512399</v>
      </c>
      <c r="B225" s="141" t="s">
        <v>275</v>
      </c>
      <c r="C225" s="142">
        <f ca="1">IFERROR(__xludf.DUMMYFUNCTION("GOOGLEFINANCE(""bom:""&amp;A225,""price"")"),25.9)</f>
        <v>25.9</v>
      </c>
      <c r="D225" s="143">
        <f ca="1">IFERROR(__xludf.DUMMYFUNCTION("GOOGLEFINANCE(""bom:""&amp;A225,""marketcap"")/10000000"),165.1)</f>
        <v>165.1</v>
      </c>
      <c r="E225" s="144">
        <f t="shared" ca="1" si="2"/>
        <v>1.2699844154368488E-4</v>
      </c>
    </row>
    <row r="226" spans="1:5" ht="15.75" customHeight="1" x14ac:dyDescent="0.3">
      <c r="A226" s="140">
        <v>542911</v>
      </c>
      <c r="B226" s="141" t="s">
        <v>276</v>
      </c>
      <c r="C226" s="142">
        <f ca="1">IFERROR(__xludf.DUMMYFUNCTION("GOOGLEFINANCE(""bom:""&amp;A226,""price"")"),387.45)</f>
        <v>387.45</v>
      </c>
      <c r="D226" s="143">
        <f ca="1">IFERROR(__xludf.DUMMYFUNCTION("GOOGLEFINANCE(""bom:""&amp;A226,""marketcap"")/10000000"),55.7846265)</f>
        <v>55.784626500000002</v>
      </c>
      <c r="E226" s="144">
        <f t="shared" ca="1" si="2"/>
        <v>4.2910724576599303E-5</v>
      </c>
    </row>
    <row r="227" spans="1:5" ht="15.75" customHeight="1" x14ac:dyDescent="0.3">
      <c r="A227" s="140">
        <v>530557</v>
      </c>
      <c r="B227" s="141" t="s">
        <v>277</v>
      </c>
      <c r="C227" s="142">
        <f ca="1">IFERROR(__xludf.DUMMYFUNCTION("GOOGLEFINANCE(""bom:""&amp;A227,""price"")"),0.87)</f>
        <v>0.87</v>
      </c>
      <c r="D227" s="143">
        <f ca="1">IFERROR(__xludf.DUMMYFUNCTION("GOOGLEFINANCE(""bom:""&amp;A227,""marketcap"")/10000000"),93.1184495)</f>
        <v>93.118449499999997</v>
      </c>
      <c r="E227" s="144">
        <f t="shared" ca="1" si="2"/>
        <v>7.1628697549753622E-5</v>
      </c>
    </row>
    <row r="228" spans="1:5" ht="15.75" customHeight="1" x14ac:dyDescent="0.3">
      <c r="A228" s="140">
        <v>539218</v>
      </c>
      <c r="B228" s="141" t="s">
        <v>278</v>
      </c>
      <c r="C228" s="142">
        <f ca="1">IFERROR(__xludf.DUMMYFUNCTION("GOOGLEFINANCE(""bom:""&amp;A228,""price"")"),196)</f>
        <v>196</v>
      </c>
      <c r="D228" s="143">
        <f ca="1">IFERROR(__xludf.DUMMYFUNCTION("GOOGLEFINANCE(""bom:""&amp;A228,""marketcap"")/10000000"),135.375436)</f>
        <v>135.37543600000001</v>
      </c>
      <c r="E228" s="144">
        <f t="shared" ca="1" si="2"/>
        <v>1.0413367289701307E-4</v>
      </c>
    </row>
    <row r="229" spans="1:5" ht="15.75" customHeight="1" x14ac:dyDescent="0.3">
      <c r="A229" s="140">
        <v>538714</v>
      </c>
      <c r="B229" s="141" t="s">
        <v>279</v>
      </c>
      <c r="C229" s="142">
        <f ca="1">IFERROR(__xludf.DUMMYFUNCTION("GOOGLEFINANCE(""bom:""&amp;A229,""price"")"),92.05)</f>
        <v>92.05</v>
      </c>
      <c r="D229" s="143">
        <f ca="1">IFERROR(__xludf.DUMMYFUNCTION("GOOGLEFINANCE(""bom:""&amp;A229,""marketcap"")/10000000"),85.8140755)</f>
        <v>85.814075500000001</v>
      </c>
      <c r="E229" s="144">
        <f t="shared" ca="1" si="2"/>
        <v>6.6010017268395589E-5</v>
      </c>
    </row>
    <row r="230" spans="1:5" ht="15.75" customHeight="1" x14ac:dyDescent="0.3">
      <c r="A230" s="140">
        <v>530045</v>
      </c>
      <c r="B230" s="141" t="s">
        <v>280</v>
      </c>
      <c r="C230" s="142">
        <f ca="1">IFERROR(__xludf.DUMMYFUNCTION("GOOGLEFINANCE(""bom:""&amp;A230,""price"")"),38.65)</f>
        <v>38.65</v>
      </c>
      <c r="D230" s="143">
        <f ca="1">IFERROR(__xludf.DUMMYFUNCTION("GOOGLEFINANCE(""bom:""&amp;A230,""marketcap"")/10000000"),95.1115935)</f>
        <v>95.111593499999998</v>
      </c>
      <c r="E230" s="144">
        <f t="shared" ca="1" si="2"/>
        <v>7.3161866427840525E-5</v>
      </c>
    </row>
    <row r="231" spans="1:5" ht="15.75" customHeight="1" x14ac:dyDescent="0.3">
      <c r="A231" s="140">
        <v>538882</v>
      </c>
      <c r="B231" s="141" t="s">
        <v>281</v>
      </c>
      <c r="C231" s="142">
        <f ca="1">IFERROR(__xludf.DUMMYFUNCTION("GOOGLEFINANCE(""bom:""&amp;A231,""price"")"),71.32)</f>
        <v>71.319999999999993</v>
      </c>
      <c r="D231" s="143">
        <f ca="1">IFERROR(__xludf.DUMMYFUNCTION("GOOGLEFINANCE(""bom:""&amp;A231,""marketcap"")/10000000"),214.9845108)</f>
        <v>214.98451080000001</v>
      </c>
      <c r="E231" s="144">
        <f t="shared" ca="1" si="2"/>
        <v>1.6537067127578132E-4</v>
      </c>
    </row>
    <row r="232" spans="1:5" ht="15.75" customHeight="1" x14ac:dyDescent="0.3">
      <c r="A232" s="140">
        <v>531254</v>
      </c>
      <c r="B232" s="141" t="s">
        <v>282</v>
      </c>
      <c r="C232" s="142">
        <f ca="1">IFERROR(__xludf.DUMMYFUNCTION("GOOGLEFINANCE(""bom:""&amp;A232,""price"")"),106)</f>
        <v>106</v>
      </c>
      <c r="D232" s="143">
        <f ca="1">IFERROR(__xludf.DUMMYFUNCTION("GOOGLEFINANCE(""bom:""&amp;A232,""marketcap"")/10000000"),79.2063694)</f>
        <v>79.2063694</v>
      </c>
      <c r="E232" s="144">
        <f t="shared" ca="1" si="2"/>
        <v>6.0927228795477967E-5</v>
      </c>
    </row>
    <row r="233" spans="1:5" ht="15.75" customHeight="1" x14ac:dyDescent="0.3">
      <c r="A233" s="140">
        <v>530779</v>
      </c>
      <c r="B233" s="141" t="s">
        <v>283</v>
      </c>
      <c r="C233" s="142">
        <f ca="1">IFERROR(__xludf.DUMMYFUNCTION("GOOGLEFINANCE(""bom:""&amp;A233,""price"")"),37)</f>
        <v>37</v>
      </c>
      <c r="D233" s="143">
        <f ca="1">IFERROR(__xludf.DUMMYFUNCTION("GOOGLEFINANCE(""bom:""&amp;A233,""marketcap"")/10000000"),43.25966)</f>
        <v>43.259659999999997</v>
      </c>
      <c r="E233" s="144">
        <f t="shared" ca="1" si="2"/>
        <v>3.3276253190246415E-5</v>
      </c>
    </row>
    <row r="234" spans="1:5" ht="15.75" customHeight="1" x14ac:dyDescent="0.3">
      <c r="A234" s="140">
        <v>531390</v>
      </c>
      <c r="B234" s="141" t="s">
        <v>284</v>
      </c>
      <c r="C234" s="142">
        <f ca="1">IFERROR(__xludf.DUMMYFUNCTION("GOOGLEFINANCE(""bom:""&amp;A234,""price"")"),111.66)</f>
        <v>111.66</v>
      </c>
      <c r="D234" s="143">
        <f ca="1">IFERROR(__xludf.DUMMYFUNCTION("GOOGLEFINANCE(""bom:""&amp;A234,""marketcap"")/10000000"),169.1917039)</f>
        <v>169.19170389999999</v>
      </c>
      <c r="E234" s="144">
        <f t="shared" ca="1" si="2"/>
        <v>1.3014586745863473E-4</v>
      </c>
    </row>
    <row r="235" spans="1:5" ht="15.75" customHeight="1" x14ac:dyDescent="0.3">
      <c r="A235" s="140">
        <v>530789</v>
      </c>
      <c r="B235" s="141" t="s">
        <v>285</v>
      </c>
      <c r="C235" s="142">
        <f ca="1">IFERROR(__xludf.DUMMYFUNCTION("GOOGLEFINANCE(""bom:""&amp;A235,""price"")"),228.9)</f>
        <v>228.9</v>
      </c>
      <c r="D235" s="143">
        <f ca="1">IFERROR(__xludf.DUMMYFUNCTION("GOOGLEFINANCE(""bom:""&amp;A235,""marketcap"")/10000000"),78.9704978)</f>
        <v>78.970497800000004</v>
      </c>
      <c r="E235" s="144">
        <f t="shared" ca="1" si="2"/>
        <v>6.0745791329672906E-5</v>
      </c>
    </row>
    <row r="236" spans="1:5" ht="15.75" customHeight="1" x14ac:dyDescent="0.3">
      <c r="A236" s="140">
        <v>511549</v>
      </c>
      <c r="B236" s="141" t="s">
        <v>286</v>
      </c>
      <c r="C236" s="142">
        <f ca="1">IFERROR(__xludf.DUMMYFUNCTION("GOOGLEFINANCE(""bom:""&amp;A236,""price"")"),173.85)</f>
        <v>173.85</v>
      </c>
      <c r="D236" s="143">
        <f ca="1">IFERROR(__xludf.DUMMYFUNCTION("GOOGLEFINANCE(""bom:""&amp;A236,""marketcap"")/10000000"),78.2689938)</f>
        <v>78.268993800000004</v>
      </c>
      <c r="E236" s="144">
        <f t="shared" ca="1" si="2"/>
        <v>6.0206179489959638E-5</v>
      </c>
    </row>
    <row r="237" spans="1:5" ht="15.75" customHeight="1" x14ac:dyDescent="0.3">
      <c r="A237" s="140">
        <v>538402</v>
      </c>
      <c r="B237" s="141" t="s">
        <v>287</v>
      </c>
      <c r="C237" s="142">
        <f ca="1">IFERROR(__xludf.DUMMYFUNCTION("GOOGLEFINANCE(""bom:""&amp;A237,""price"")"),63)</f>
        <v>63</v>
      </c>
      <c r="D237" s="143">
        <f ca="1">IFERROR(__xludf.DUMMYFUNCTION("GOOGLEFINANCE(""bom:""&amp;A237,""marketcap"")/10000000"),63.868266)</f>
        <v>63.868265999999998</v>
      </c>
      <c r="E237" s="144">
        <f t="shared" ca="1" si="2"/>
        <v>4.9128832502104886E-5</v>
      </c>
    </row>
    <row r="238" spans="1:5" ht="15.75" customHeight="1" x14ac:dyDescent="0.3">
      <c r="A238" s="140">
        <v>540168</v>
      </c>
      <c r="B238" s="141" t="s">
        <v>288</v>
      </c>
      <c r="C238" s="142">
        <f ca="1">IFERROR(__xludf.DUMMYFUNCTION("GOOGLEFINANCE(""bom:""&amp;A238,""price"")"),29.9)</f>
        <v>29.9</v>
      </c>
      <c r="D238" s="143">
        <f ca="1">IFERROR(__xludf.DUMMYFUNCTION("GOOGLEFINANCE(""bom:""&amp;A238,""marketcap"")/10000000"),79.98696)</f>
        <v>79.986959999999996</v>
      </c>
      <c r="E238" s="144">
        <f t="shared" ca="1" si="2"/>
        <v>6.1527675734809575E-5</v>
      </c>
    </row>
    <row r="239" spans="1:5" ht="15.75" customHeight="1" x14ac:dyDescent="0.3">
      <c r="A239" s="140">
        <v>511702</v>
      </c>
      <c r="B239" s="141" t="s">
        <v>289</v>
      </c>
      <c r="C239" s="142">
        <f ca="1">IFERROR(__xludf.DUMMYFUNCTION("GOOGLEFINANCE(""bom:""&amp;A239,""price"")"),50.87)</f>
        <v>50.87</v>
      </c>
      <c r="D239" s="143">
        <f ca="1">IFERROR(__xludf.DUMMYFUNCTION("GOOGLEFINANCE(""bom:""&amp;A239,""marketcap"")/10000000"),111.4848)</f>
        <v>111.48480000000001</v>
      </c>
      <c r="E239" s="144">
        <f t="shared" ca="1" si="2"/>
        <v>8.5756486104236233E-5</v>
      </c>
    </row>
    <row r="240" spans="1:5" ht="15.75" customHeight="1" x14ac:dyDescent="0.3">
      <c r="A240" s="140">
        <v>532216</v>
      </c>
      <c r="B240" s="141" t="s">
        <v>290</v>
      </c>
      <c r="C240" s="142">
        <f ca="1">IFERROR(__xludf.DUMMYFUNCTION("GOOGLEFINANCE(""bom:""&amp;A240,""price"")"),158.4)</f>
        <v>158.4</v>
      </c>
      <c r="D240" s="143">
        <f ca="1">IFERROR(__xludf.DUMMYFUNCTION("GOOGLEFINANCE(""bom:""&amp;A240,""marketcap"")/10000000"),109.9414685)</f>
        <v>109.9414685</v>
      </c>
      <c r="E240" s="144">
        <f t="shared" ca="1" si="2"/>
        <v>8.4569322595542845E-5</v>
      </c>
    </row>
    <row r="241" spans="1:5" ht="15.75" customHeight="1" x14ac:dyDescent="0.3">
      <c r="A241" s="140">
        <v>531169</v>
      </c>
      <c r="B241" s="141" t="s">
        <v>291</v>
      </c>
      <c r="C241" s="142">
        <f ca="1">IFERROR(__xludf.DUMMYFUNCTION("GOOGLEFINANCE(""bom:""&amp;A241,""price"")"),144)</f>
        <v>144</v>
      </c>
      <c r="D241" s="143">
        <f ca="1">IFERROR(__xludf.DUMMYFUNCTION("GOOGLEFINANCE(""bom:""&amp;A241,""marketcap"")/10000000"),98.04672)</f>
        <v>98.046719999999993</v>
      </c>
      <c r="E241" s="144">
        <f t="shared" ca="1" si="2"/>
        <v>7.5419628337189819E-5</v>
      </c>
    </row>
    <row r="242" spans="1:5" ht="15.75" customHeight="1" x14ac:dyDescent="0.3">
      <c r="A242" s="140">
        <v>532284</v>
      </c>
      <c r="B242" s="141" t="s">
        <v>292</v>
      </c>
      <c r="C242" s="142">
        <f ca="1">IFERROR(__xludf.DUMMYFUNCTION("GOOGLEFINANCE(""bom:""&amp;A242,""price"")"),71.5)</f>
        <v>71.5</v>
      </c>
      <c r="D242" s="143">
        <f ca="1">IFERROR(__xludf.DUMMYFUNCTION("GOOGLEFINANCE(""bom:""&amp;A242,""marketcap"")/10000000"),74.947158)</f>
        <v>74.947158000000002</v>
      </c>
      <c r="E242" s="144">
        <f t="shared" ca="1" si="2"/>
        <v>5.7650952538633045E-5</v>
      </c>
    </row>
    <row r="243" spans="1:5" ht="15.75" customHeight="1" x14ac:dyDescent="0.3">
      <c r="A243" s="140">
        <v>501700</v>
      </c>
      <c r="B243" s="141" t="s">
        <v>293</v>
      </c>
      <c r="C243" s="142">
        <f ca="1">IFERROR(__xludf.DUMMYFUNCTION("GOOGLEFINANCE(""bom:""&amp;A243,""price"")"),12.78)</f>
        <v>12.78</v>
      </c>
      <c r="D243" s="143">
        <f ca="1">IFERROR(__xludf.DUMMYFUNCTION("GOOGLEFINANCE(""bom:""&amp;A243,""marketcap"")/10000000"),48.2444989)</f>
        <v>48.244498900000004</v>
      </c>
      <c r="E243" s="144">
        <f t="shared" ca="1" si="2"/>
        <v>3.7110697597553123E-5</v>
      </c>
    </row>
    <row r="244" spans="1:5" ht="15.75" customHeight="1" x14ac:dyDescent="0.3">
      <c r="A244" s="140">
        <v>535267</v>
      </c>
      <c r="B244" s="141" t="s">
        <v>294</v>
      </c>
      <c r="C244" s="142">
        <f ca="1">IFERROR(__xludf.DUMMYFUNCTION("GOOGLEFINANCE(""bom:""&amp;A244,""price"")"),11.25)</f>
        <v>11.25</v>
      </c>
      <c r="D244" s="143">
        <f ca="1">IFERROR(__xludf.DUMMYFUNCTION("GOOGLEFINANCE(""bom:""&amp;A244,""marketcap"")/10000000"),61.0385512)</f>
        <v>61.038551200000001</v>
      </c>
      <c r="E244" s="144">
        <f t="shared" ca="1" si="2"/>
        <v>4.6952155520802041E-5</v>
      </c>
    </row>
    <row r="245" spans="1:5" ht="15.75" customHeight="1" x14ac:dyDescent="0.3">
      <c r="A245" s="140">
        <v>508969</v>
      </c>
      <c r="B245" s="141" t="s">
        <v>295</v>
      </c>
      <c r="C245" s="142">
        <f ca="1">IFERROR(__xludf.DUMMYFUNCTION("GOOGLEFINANCE(""bom:""&amp;A245,""price"")"),5.06)</f>
        <v>5.0599999999999996</v>
      </c>
      <c r="D245" s="143">
        <f ca="1">IFERROR(__xludf.DUMMYFUNCTION("GOOGLEFINANCE(""bom:""&amp;A245,""marketcap"")/10000000"),52.4479478)</f>
        <v>52.447947800000001</v>
      </c>
      <c r="E245" s="144">
        <f t="shared" ca="1" si="2"/>
        <v>4.0344080149997193E-5</v>
      </c>
    </row>
    <row r="246" spans="1:5" ht="15.75" customHeight="1" x14ac:dyDescent="0.3">
      <c r="A246" s="140">
        <v>540181</v>
      </c>
      <c r="B246" s="141" t="s">
        <v>296</v>
      </c>
      <c r="C246" s="142">
        <f ca="1">IFERROR(__xludf.DUMMYFUNCTION("GOOGLEFINANCE(""bom:""&amp;A246,""price"")"),47)</f>
        <v>47</v>
      </c>
      <c r="D246" s="143">
        <f ca="1">IFERROR(__xludf.DUMMYFUNCTION("GOOGLEFINANCE(""bom:""&amp;A246,""marketcap"")/10000000"),53.887944)</f>
        <v>53.887943999999997</v>
      </c>
      <c r="E246" s="144">
        <f t="shared" ca="1" si="2"/>
        <v>4.1451755941813236E-5</v>
      </c>
    </row>
    <row r="247" spans="1:5" ht="15.75" customHeight="1" x14ac:dyDescent="0.3">
      <c r="A247" s="140">
        <v>532812</v>
      </c>
      <c r="B247" s="141" t="s">
        <v>297</v>
      </c>
      <c r="C247" s="142">
        <f ca="1">IFERROR(__xludf.DUMMYFUNCTION("GOOGLEFINANCE(""bom:""&amp;A247,""price"")"),31.37)</f>
        <v>31.37</v>
      </c>
      <c r="D247" s="143">
        <f ca="1">IFERROR(__xludf.DUMMYFUNCTION("GOOGLEFINANCE(""bom:""&amp;A247,""marketcap"")/10000000"),153.558946)</f>
        <v>153.55894599999999</v>
      </c>
      <c r="E247" s="144">
        <f t="shared" ca="1" si="2"/>
        <v>1.1812081663895133E-4</v>
      </c>
    </row>
    <row r="248" spans="1:5" ht="15.75" customHeight="1" x14ac:dyDescent="0.3">
      <c r="A248" s="140">
        <v>532092</v>
      </c>
      <c r="B248" s="141" t="s">
        <v>298</v>
      </c>
      <c r="C248" s="142">
        <f ca="1">IFERROR(__xludf.DUMMYFUNCTION("GOOGLEFINANCE(""bom:""&amp;A248,""price"")"),4.03)</f>
        <v>4.03</v>
      </c>
      <c r="D248" s="143">
        <f ca="1">IFERROR(__xludf.DUMMYFUNCTION("GOOGLEFINANCE(""bom:""&amp;A248,""marketcap"")/10000000"),31.4782993)</f>
        <v>31.4782993</v>
      </c>
      <c r="E248" s="144">
        <f t="shared" ca="1" si="2"/>
        <v>2.4213779246188172E-5</v>
      </c>
    </row>
    <row r="249" spans="1:5" ht="15.75" customHeight="1" x14ac:dyDescent="0.3">
      <c r="A249" s="140">
        <v>511359</v>
      </c>
      <c r="B249" s="141" t="s">
        <v>299</v>
      </c>
      <c r="C249" s="142">
        <f ca="1">IFERROR(__xludf.DUMMYFUNCTION("GOOGLEFINANCE(""bom:""&amp;A249,""price"")"),67.73)</f>
        <v>67.73</v>
      </c>
      <c r="D249" s="143">
        <f ca="1">IFERROR(__xludf.DUMMYFUNCTION("GOOGLEFINANCE(""bom:""&amp;A249,""marketcap"")/10000000"),50.7975025)</f>
        <v>50.7975025</v>
      </c>
      <c r="E249" s="144">
        <f t="shared" ca="1" si="2"/>
        <v>3.9074522421631961E-5</v>
      </c>
    </row>
    <row r="250" spans="1:5" ht="15.75" customHeight="1" x14ac:dyDescent="0.3">
      <c r="A250" s="140">
        <v>507948</v>
      </c>
      <c r="B250" s="141" t="s">
        <v>300</v>
      </c>
      <c r="C250" s="142">
        <f ca="1">IFERROR(__xludf.DUMMYFUNCTION("GOOGLEFINANCE(""bom:""&amp;A250,""price"")"),178.5)</f>
        <v>178.5</v>
      </c>
      <c r="D250" s="143">
        <f ca="1">IFERROR(__xludf.DUMMYFUNCTION("GOOGLEFINANCE(""bom:""&amp;A250,""marketcap"")/10000000"),107.1)</f>
        <v>107.1</v>
      </c>
      <c r="E250" s="144">
        <f t="shared" ca="1" si="2"/>
        <v>8.2383604417496373E-5</v>
      </c>
    </row>
    <row r="251" spans="1:5" ht="15.75" customHeight="1" x14ac:dyDescent="0.3">
      <c r="A251" s="140">
        <v>539494</v>
      </c>
      <c r="B251" s="141" t="s">
        <v>301</v>
      </c>
      <c r="C251" s="142">
        <f ca="1">IFERROR(__xludf.DUMMYFUNCTION("GOOGLEFINANCE(""bom:""&amp;A251,""price"")"),13.05)</f>
        <v>13.05</v>
      </c>
      <c r="D251" s="143">
        <f ca="1">IFERROR(__xludf.DUMMYFUNCTION("GOOGLEFINANCE(""bom:""&amp;A251,""marketcap"")/10000000"),39.1500005)</f>
        <v>39.150000499999997</v>
      </c>
      <c r="E251" s="144">
        <f t="shared" ca="1" si="2"/>
        <v>3.011501544478791E-5</v>
      </c>
    </row>
    <row r="252" spans="1:5" ht="15.75" customHeight="1" x14ac:dyDescent="0.3">
      <c r="A252" s="140">
        <v>538597</v>
      </c>
      <c r="B252" s="141" t="s">
        <v>302</v>
      </c>
      <c r="C252" s="142">
        <f ca="1">IFERROR(__xludf.DUMMYFUNCTION("GOOGLEFINANCE(""bom:""&amp;A252,""price"")"),13.12)</f>
        <v>13.12</v>
      </c>
      <c r="D252" s="143">
        <f ca="1">IFERROR(__xludf.DUMMYFUNCTION("GOOGLEFINANCE(""bom:""&amp;A252,""marketcap"")/10000000"),33.051151)</f>
        <v>33.051150999999997</v>
      </c>
      <c r="E252" s="144">
        <f t="shared" ca="1" si="2"/>
        <v>2.5423650322380389E-5</v>
      </c>
    </row>
    <row r="253" spans="1:5" ht="15.75" customHeight="1" x14ac:dyDescent="0.3">
      <c r="A253" s="140">
        <v>531529</v>
      </c>
      <c r="B253" s="141" t="s">
        <v>303</v>
      </c>
      <c r="C253" s="142">
        <f ca="1">IFERROR(__xludf.DUMMYFUNCTION("GOOGLEFINANCE(""bom:""&amp;A253,""price"")"),16.38)</f>
        <v>16.38</v>
      </c>
      <c r="D253" s="143">
        <f ca="1">IFERROR(__xludf.DUMMYFUNCTION("GOOGLEFINANCE(""bom:""&amp;A253,""marketcap"")/10000000"),73.83758)</f>
        <v>73.837580000000003</v>
      </c>
      <c r="E253" s="144">
        <f t="shared" ca="1" si="2"/>
        <v>5.6797441473998531E-5</v>
      </c>
    </row>
    <row r="254" spans="1:5" ht="15.75" customHeight="1" x14ac:dyDescent="0.3">
      <c r="A254" s="140">
        <v>514358</v>
      </c>
      <c r="B254" s="141" t="s">
        <v>304</v>
      </c>
      <c r="C254" s="142">
        <f ca="1">IFERROR(__xludf.DUMMYFUNCTION("GOOGLEFINANCE(""bom:""&amp;A254,""price"")"),184.9)</f>
        <v>184.9</v>
      </c>
      <c r="D254" s="143">
        <f ca="1">IFERROR(__xludf.DUMMYFUNCTION("GOOGLEFINANCE(""bom:""&amp;A254,""marketcap"")/10000000"),114.6379962)</f>
        <v>114.6379962</v>
      </c>
      <c r="E254" s="144">
        <f t="shared" ca="1" si="2"/>
        <v>8.8181991878200316E-5</v>
      </c>
    </row>
    <row r="255" spans="1:5" ht="15.75" customHeight="1" x14ac:dyDescent="0.3">
      <c r="A255" s="140">
        <v>526237</v>
      </c>
      <c r="B255" s="141" t="s">
        <v>305</v>
      </c>
      <c r="C255" s="142">
        <f ca="1">IFERROR(__xludf.DUMMYFUNCTION("GOOGLEFINANCE(""bom:""&amp;A255,""price"")"),50.06)</f>
        <v>50.06</v>
      </c>
      <c r="D255" s="143">
        <f ca="1">IFERROR(__xludf.DUMMYFUNCTION("GOOGLEFINANCE(""bom:""&amp;A255,""marketcap"")/10000000"),49.5528935)</f>
        <v>49.552893500000003</v>
      </c>
      <c r="E255" s="144">
        <f t="shared" ca="1" si="2"/>
        <v>3.811714263161837E-5</v>
      </c>
    </row>
    <row r="256" spans="1:5" ht="15.75" customHeight="1" x14ac:dyDescent="0.3">
      <c r="A256" s="140">
        <v>511355</v>
      </c>
      <c r="B256" s="141" t="s">
        <v>306</v>
      </c>
      <c r="C256" s="142">
        <f ca="1">IFERROR(__xludf.DUMMYFUNCTION("GOOGLEFINANCE(""bom:""&amp;A256,""price"")"),22)</f>
        <v>22</v>
      </c>
      <c r="D256" s="143">
        <f ca="1">IFERROR(__xludf.DUMMYFUNCTION("GOOGLEFINANCE(""bom:""&amp;A256,""marketcap"")/10000000"),47.753618)</f>
        <v>47.753618000000003</v>
      </c>
      <c r="E256" s="144">
        <f t="shared" ca="1" si="2"/>
        <v>3.6733101538900418E-5</v>
      </c>
    </row>
    <row r="257" spans="1:5" ht="15.75" customHeight="1" x14ac:dyDescent="0.3">
      <c r="A257" s="140">
        <v>530577</v>
      </c>
      <c r="B257" s="141" t="s">
        <v>307</v>
      </c>
      <c r="C257" s="142">
        <f ca="1">IFERROR(__xludf.DUMMYFUNCTION("GOOGLEFINANCE(""bom:""&amp;A257,""price"")"),42.7)</f>
        <v>42.7</v>
      </c>
      <c r="D257" s="143">
        <f ca="1">IFERROR(__xludf.DUMMYFUNCTION("GOOGLEFINANCE(""bom:""&amp;A257,""marketcap"")/10000000"),54.8806029)</f>
        <v>54.8806029</v>
      </c>
      <c r="E257" s="144">
        <f t="shared" ca="1" si="2"/>
        <v>4.2215330340871189E-5</v>
      </c>
    </row>
    <row r="258" spans="1:5" ht="15.75" customHeight="1" x14ac:dyDescent="0.3">
      <c r="A258" s="140">
        <v>531996</v>
      </c>
      <c r="B258" s="141" t="s">
        <v>308</v>
      </c>
      <c r="C258" s="142">
        <f ca="1">IFERROR(__xludf.DUMMYFUNCTION("GOOGLEFINANCE(""bom:""&amp;A258,""price"")"),11.55)</f>
        <v>11.55</v>
      </c>
      <c r="D258" s="143">
        <f ca="1">IFERROR(__xludf.DUMMYFUNCTION("GOOGLEFINANCE(""bom:""&amp;A258,""marketcap"")/10000000"),44.1215032)</f>
        <v>44.121503199999999</v>
      </c>
      <c r="E258" s="144">
        <f t="shared" ca="1" si="2"/>
        <v>3.3939201362596642E-5</v>
      </c>
    </row>
    <row r="259" spans="1:5" ht="15.75" customHeight="1" x14ac:dyDescent="0.3">
      <c r="A259" s="140">
        <v>530263</v>
      </c>
      <c r="B259" s="141" t="s">
        <v>309</v>
      </c>
      <c r="C259" s="142">
        <f ca="1">IFERROR(__xludf.DUMMYFUNCTION("GOOGLEFINANCE(""bom:""&amp;A259,""price"")"),0.88)</f>
        <v>0.88</v>
      </c>
      <c r="D259" s="143">
        <f ca="1">IFERROR(__xludf.DUMMYFUNCTION("GOOGLEFINANCE(""bom:""&amp;A259,""marketcap"")/10000000"),35.050039)</f>
        <v>35.050038999999998</v>
      </c>
      <c r="E259" s="144">
        <f t="shared" ca="1" si="2"/>
        <v>2.6961237607785435E-5</v>
      </c>
    </row>
    <row r="260" spans="1:5" ht="15.75" customHeight="1" x14ac:dyDescent="0.3">
      <c r="A260" s="140">
        <v>539506</v>
      </c>
      <c r="B260" s="141" t="s">
        <v>310</v>
      </c>
      <c r="C260" s="142">
        <f ca="1">IFERROR(__xludf.DUMMYFUNCTION("GOOGLEFINANCE(""bom:""&amp;A260,""price"")"),0.84)</f>
        <v>0.84</v>
      </c>
      <c r="D260" s="143">
        <f ca="1">IFERROR(__xludf.DUMMYFUNCTION("GOOGLEFINANCE(""bom:""&amp;A260,""marketcap"")/10000000"),27.8406231)</f>
        <v>27.840623099999998</v>
      </c>
      <c r="E260" s="144">
        <f t="shared" ca="1" si="2"/>
        <v>2.141560112238106E-5</v>
      </c>
    </row>
    <row r="261" spans="1:5" ht="15.75" customHeight="1" x14ac:dyDescent="0.3">
      <c r="A261" s="140">
        <v>511391</v>
      </c>
      <c r="B261" s="141" t="s">
        <v>311</v>
      </c>
      <c r="C261" s="142">
        <f ca="1">IFERROR(__xludf.DUMMYFUNCTION("GOOGLEFINANCE(""bom:""&amp;A261,""price"")"),148.7)</f>
        <v>148.69999999999999</v>
      </c>
      <c r="D261" s="143">
        <f ca="1">IFERROR(__xludf.DUMMYFUNCTION("GOOGLEFINANCE(""bom:""&amp;A261,""marketcap"")/10000000"),101.4475245)</f>
        <v>101.4475245</v>
      </c>
      <c r="E261" s="144">
        <f t="shared" ca="1" si="2"/>
        <v>7.8035599696939982E-5</v>
      </c>
    </row>
    <row r="262" spans="1:5" ht="15.75" customHeight="1" x14ac:dyDescent="0.3">
      <c r="A262" s="140">
        <v>539016</v>
      </c>
      <c r="B262" s="141" t="s">
        <v>312</v>
      </c>
      <c r="C262" s="142">
        <f ca="1">IFERROR(__xludf.DUMMYFUNCTION("GOOGLEFINANCE(""bom:""&amp;A262,""price"")"),14.92)</f>
        <v>14.92</v>
      </c>
      <c r="D262" s="143">
        <f ca="1">IFERROR(__xludf.DUMMYFUNCTION("GOOGLEFINANCE(""bom:""&amp;A262,""marketcap"")/10000000"),29.1733745)</f>
        <v>29.173374500000001</v>
      </c>
      <c r="E262" s="144">
        <f t="shared" ca="1" si="2"/>
        <v>2.2440781926531057E-5</v>
      </c>
    </row>
    <row r="263" spans="1:5" ht="15.75" customHeight="1" x14ac:dyDescent="0.3">
      <c r="A263" s="140">
        <v>531417</v>
      </c>
      <c r="B263" s="141" t="s">
        <v>313</v>
      </c>
      <c r="C263" s="142">
        <f ca="1">IFERROR(__xludf.DUMMYFUNCTION("GOOGLEFINANCE(""bom:""&amp;A263,""price"")"),2.68)</f>
        <v>2.68</v>
      </c>
      <c r="D263" s="143">
        <f ca="1">IFERROR(__xludf.DUMMYFUNCTION("GOOGLEFINANCE(""bom:""&amp;A263,""marketcap"")/10000000"),27.5)</f>
        <v>27.5</v>
      </c>
      <c r="E263" s="144">
        <f t="shared" ca="1" si="2"/>
        <v>2.115358656845145E-5</v>
      </c>
    </row>
    <row r="264" spans="1:5" ht="15.75" customHeight="1" x14ac:dyDescent="0.3">
      <c r="A264" s="140">
        <v>539492</v>
      </c>
      <c r="B264" s="141" t="s">
        <v>314</v>
      </c>
      <c r="C264" s="142">
        <f ca="1">IFERROR(__xludf.DUMMYFUNCTION("GOOGLEFINANCE(""bom:""&amp;A264,""price"")"),15.27)</f>
        <v>15.27</v>
      </c>
      <c r="D264" s="143">
        <f ca="1">IFERROR(__xludf.DUMMYFUNCTION("GOOGLEFINANCE(""bom:""&amp;A264,""marketcap"")/10000000"),17.9127488)</f>
        <v>17.912748799999999</v>
      </c>
      <c r="E264" s="144">
        <f t="shared" ca="1" si="2"/>
        <v>1.3778868451626357E-5</v>
      </c>
    </row>
    <row r="265" spans="1:5" ht="15.75" customHeight="1" x14ac:dyDescent="0.3">
      <c r="A265" s="140">
        <v>531212</v>
      </c>
      <c r="B265" s="141" t="s">
        <v>315</v>
      </c>
      <c r="C265" s="142">
        <f ca="1">IFERROR(__xludf.DUMMYFUNCTION("GOOGLEFINANCE(""bom:""&amp;A265,""price"")"),44.44)</f>
        <v>44.44</v>
      </c>
      <c r="D265" s="143">
        <f ca="1">IFERROR(__xludf.DUMMYFUNCTION("GOOGLEFINANCE(""bom:""&amp;A265,""marketcap"")/10000000"),28.19362)</f>
        <v>28.193619999999999</v>
      </c>
      <c r="E265" s="144">
        <f t="shared" ca="1" si="2"/>
        <v>2.1687133867200878E-5</v>
      </c>
    </row>
    <row r="266" spans="1:5" ht="15.75" customHeight="1" x14ac:dyDescent="0.3">
      <c r="A266" s="140">
        <v>531591</v>
      </c>
      <c r="B266" s="141" t="s">
        <v>316</v>
      </c>
      <c r="C266" s="142">
        <f ca="1">IFERROR(__xludf.DUMMYFUNCTION("GOOGLEFINANCE(""bom:""&amp;A266,""price"")"),8.83)</f>
        <v>8.83</v>
      </c>
      <c r="D266" s="143">
        <f ca="1">IFERROR(__xludf.DUMMYFUNCTION("GOOGLEFINANCE(""bom:""&amp;A266,""marketcap"")/10000000"),30.053046)</f>
        <v>30.053045999999998</v>
      </c>
      <c r="E266" s="144">
        <f t="shared" ca="1" si="2"/>
        <v>2.3117444007514677E-5</v>
      </c>
    </row>
    <row r="267" spans="1:5" ht="15.75" customHeight="1" x14ac:dyDescent="0.3">
      <c r="A267" s="140">
        <v>543860</v>
      </c>
      <c r="B267" s="141" t="s">
        <v>317</v>
      </c>
      <c r="C267" s="142">
        <f ca="1">IFERROR(__xludf.DUMMYFUNCTION("GOOGLEFINANCE(""bom:""&amp;A267,""price"")"),28)</f>
        <v>28</v>
      </c>
      <c r="D267" s="143">
        <f ca="1">IFERROR(__xludf.DUMMYFUNCTION("GOOGLEFINANCE(""bom:""&amp;A267,""marketcap"")/10000000"),29.81645)</f>
        <v>29.81645</v>
      </c>
      <c r="E267" s="144">
        <f t="shared" ca="1" si="2"/>
        <v>2.2935449317778337E-5</v>
      </c>
    </row>
    <row r="268" spans="1:5" ht="15.75" customHeight="1" x14ac:dyDescent="0.3">
      <c r="A268" s="140">
        <v>526871</v>
      </c>
      <c r="B268" s="141" t="s">
        <v>318</v>
      </c>
      <c r="C268" s="142">
        <f ca="1">IFERROR(__xludf.DUMMYFUNCTION("GOOGLEFINANCE(""bom:""&amp;A268,""price"")"),17.2)</f>
        <v>17.2</v>
      </c>
      <c r="D268" s="143">
        <f ca="1">IFERROR(__xludf.DUMMYFUNCTION("GOOGLEFINANCE(""bom:""&amp;A268,""marketcap"")/10000000"),31.5899514)</f>
        <v>31.5899514</v>
      </c>
      <c r="E268" s="144">
        <f t="shared" ca="1" si="2"/>
        <v>2.4299664423020877E-5</v>
      </c>
    </row>
    <row r="269" spans="1:5" ht="15.75" customHeight="1" x14ac:dyDescent="0.3">
      <c r="A269" s="140">
        <v>500262</v>
      </c>
      <c r="B269" s="141" t="s">
        <v>319</v>
      </c>
      <c r="C269" s="142">
        <f ca="1">IFERROR(__xludf.DUMMYFUNCTION("GOOGLEFINANCE(""bom:""&amp;A269,""price"")"),13.2)</f>
        <v>13.2</v>
      </c>
      <c r="D269" s="143">
        <f ca="1">IFERROR(__xludf.DUMMYFUNCTION("GOOGLEFINANCE(""bom:""&amp;A269,""marketcap"")/10000000"),38.8441388)</f>
        <v>38.844138800000003</v>
      </c>
      <c r="E269" s="144">
        <f t="shared" ca="1" si="2"/>
        <v>2.9879740101190687E-5</v>
      </c>
    </row>
    <row r="270" spans="1:5" ht="15.75" customHeight="1" x14ac:dyDescent="0.3">
      <c r="A270" s="140">
        <v>538834</v>
      </c>
      <c r="B270" s="141" t="s">
        <v>320</v>
      </c>
      <c r="C270" s="142">
        <f ca="1">IFERROR(__xludf.DUMMYFUNCTION("GOOGLEFINANCE(""bom:""&amp;A270,""price"")"),24.94)</f>
        <v>24.94</v>
      </c>
      <c r="D270" s="143">
        <f ca="1">IFERROR(__xludf.DUMMYFUNCTION("GOOGLEFINANCE(""bom:""&amp;A270,""marketcap"")/10000000"),29.511999)</f>
        <v>29.511998999999999</v>
      </c>
      <c r="E270" s="144">
        <f t="shared" ca="1" si="2"/>
        <v>2.2701259114711006E-5</v>
      </c>
    </row>
    <row r="271" spans="1:5" ht="15.75" customHeight="1" x14ac:dyDescent="0.3">
      <c r="A271" s="140">
        <v>538975</v>
      </c>
      <c r="B271" s="141" t="s">
        <v>321</v>
      </c>
      <c r="C271" s="142">
        <f ca="1">IFERROR(__xludf.DUMMYFUNCTION("GOOGLEFINANCE(""bom:""&amp;A271,""price"")"),0.36)</f>
        <v>0.36</v>
      </c>
      <c r="D271" s="143">
        <f ca="1">IFERROR(__xludf.DUMMYFUNCTION("GOOGLEFINANCE(""bom:""&amp;A271,""marketcap"")/10000000"),27.9299995)</f>
        <v>27.929999500000001</v>
      </c>
      <c r="E271" s="144">
        <f t="shared" ca="1" si="2"/>
        <v>2.148435135563839E-5</v>
      </c>
    </row>
    <row r="272" spans="1:5" ht="15.75" customHeight="1" x14ac:dyDescent="0.3">
      <c r="A272" s="140">
        <v>539552</v>
      </c>
      <c r="B272" s="141" t="s">
        <v>322</v>
      </c>
      <c r="C272" s="142">
        <f ca="1">IFERROR(__xludf.DUMMYFUNCTION("GOOGLEFINANCE(""bom:""&amp;A272,""price"")"),99.95)</f>
        <v>99.95</v>
      </c>
      <c r="D272" s="143">
        <f ca="1">IFERROR(__xludf.DUMMYFUNCTION("GOOGLEFINANCE(""bom:""&amp;A272,""marketcap"")/10000000"),88.8732084)</f>
        <v>88.873208399999996</v>
      </c>
      <c r="E272" s="144">
        <f t="shared" ca="1" si="2"/>
        <v>6.8363167545651882E-5</v>
      </c>
    </row>
    <row r="273" spans="1:5" ht="15.75" customHeight="1" x14ac:dyDescent="0.3">
      <c r="A273" s="140">
        <v>511493</v>
      </c>
      <c r="B273" s="141" t="s">
        <v>323</v>
      </c>
      <c r="C273" s="142">
        <f ca="1">IFERROR(__xludf.DUMMYFUNCTION("GOOGLEFINANCE(""bom:""&amp;A273,""price"")"),18)</f>
        <v>18</v>
      </c>
      <c r="D273" s="143">
        <f ca="1">IFERROR(__xludf.DUMMYFUNCTION("GOOGLEFINANCE(""bom:""&amp;A273,""marketcap"")/10000000"),57.625362)</f>
        <v>57.625362000000003</v>
      </c>
      <c r="E273" s="144">
        <f t="shared" ca="1" si="2"/>
        <v>4.4326657585649191E-5</v>
      </c>
    </row>
    <row r="274" spans="1:5" ht="15.75" customHeight="1" x14ac:dyDescent="0.3">
      <c r="A274" s="140">
        <v>530109</v>
      </c>
      <c r="B274" s="141" t="s">
        <v>324</v>
      </c>
      <c r="C274" s="142">
        <f ca="1">IFERROR(__xludf.DUMMYFUNCTION("GOOGLEFINANCE(""bom:""&amp;A274,""price"")"),2.1)</f>
        <v>2.1</v>
      </c>
      <c r="D274" s="143">
        <f ca="1">IFERROR(__xludf.DUMMYFUNCTION("GOOGLEFINANCE(""bom:""&amp;A274,""marketcap"")/10000000"),24.2838738)</f>
        <v>24.283873799999999</v>
      </c>
      <c r="E274" s="144">
        <f t="shared" ca="1" si="2"/>
        <v>1.8679673696205456E-5</v>
      </c>
    </row>
    <row r="275" spans="1:5" ht="15.75" customHeight="1" x14ac:dyDescent="0.3">
      <c r="A275" s="140">
        <v>539124</v>
      </c>
      <c r="B275" s="141" t="s">
        <v>325</v>
      </c>
      <c r="C275" s="142">
        <f ca="1">IFERROR(__xludf.DUMMYFUNCTION("GOOGLEFINANCE(""bom:""&amp;A275,""price"")"),26.93)</f>
        <v>26.93</v>
      </c>
      <c r="D275" s="143">
        <f ca="1">IFERROR(__xludf.DUMMYFUNCTION("GOOGLEFINANCE(""bom:""&amp;A275,""marketcap"")/10000000"),20.1975002)</f>
        <v>20.1975002</v>
      </c>
      <c r="E275" s="144">
        <f t="shared" ca="1" si="2"/>
        <v>1.5536347961709656E-5</v>
      </c>
    </row>
    <row r="276" spans="1:5" ht="15.75" customHeight="1" x14ac:dyDescent="0.3">
      <c r="A276" s="140">
        <v>530747</v>
      </c>
      <c r="B276" s="141" t="s">
        <v>326</v>
      </c>
      <c r="C276" s="142">
        <f ca="1">IFERROR(__xludf.DUMMYFUNCTION("GOOGLEFINANCE(""bom:""&amp;A276,""price"")"),19.49)</f>
        <v>19.489999999999998</v>
      </c>
      <c r="D276" s="143">
        <f ca="1">IFERROR(__xludf.DUMMYFUNCTION("GOOGLEFINANCE(""bom:""&amp;A276,""marketcap"")/10000000"),29.2349996)</f>
        <v>29.234999599999998</v>
      </c>
      <c r="E276" s="144">
        <f t="shared" ca="1" si="2"/>
        <v>2.2488185267899765E-5</v>
      </c>
    </row>
    <row r="277" spans="1:5" ht="15.75" customHeight="1" x14ac:dyDescent="0.3">
      <c r="A277" s="140">
        <v>540360</v>
      </c>
      <c r="B277" s="141" t="s">
        <v>327</v>
      </c>
      <c r="C277" s="142">
        <f ca="1">IFERROR(__xludf.DUMMYFUNCTION("GOOGLEFINANCE(""bom:""&amp;A277,""price"")"),3.79)</f>
        <v>3.79</v>
      </c>
      <c r="D277" s="143">
        <f ca="1">IFERROR(__xludf.DUMMYFUNCTION("GOOGLEFINANCE(""bom:""&amp;A277,""marketcap"")/10000000"),40.4392995)</f>
        <v>40.439299499999997</v>
      </c>
      <c r="E277" s="144">
        <f t="shared" ca="1" si="2"/>
        <v>3.110677173602856E-5</v>
      </c>
    </row>
    <row r="278" spans="1:5" ht="15.75" customHeight="1" x14ac:dyDescent="0.3">
      <c r="A278" s="140">
        <v>539839</v>
      </c>
      <c r="B278" s="141" t="s">
        <v>328</v>
      </c>
      <c r="C278" s="142">
        <f ca="1">IFERROR(__xludf.DUMMYFUNCTION("GOOGLEFINANCE(""bom:""&amp;A278,""price"")"),13.21)</f>
        <v>13.21</v>
      </c>
      <c r="D278" s="143">
        <f ca="1">IFERROR(__xludf.DUMMYFUNCTION("GOOGLEFINANCE(""bom:""&amp;A278,""marketcap"")/10000000"),20.84855)</f>
        <v>20.848549999999999</v>
      </c>
      <c r="E278" s="144">
        <f t="shared" ca="1" si="2"/>
        <v>1.6037149354606854E-5</v>
      </c>
    </row>
    <row r="279" spans="1:5" ht="15.75" customHeight="1" x14ac:dyDescent="0.3">
      <c r="A279" s="140">
        <v>530235</v>
      </c>
      <c r="B279" s="141" t="s">
        <v>329</v>
      </c>
      <c r="C279" s="142">
        <f ca="1">IFERROR(__xludf.DUMMYFUNCTION("GOOGLEFINANCE(""bom:""&amp;A279,""price"")"),89)</f>
        <v>89</v>
      </c>
      <c r="D279" s="143">
        <f ca="1">IFERROR(__xludf.DUMMYFUNCTION("GOOGLEFINANCE(""bom:""&amp;A279,""marketcap"")/10000000"),42.5930771)</f>
        <v>42.593077100000002</v>
      </c>
      <c r="E279" s="144">
        <f t="shared" ca="1" si="2"/>
        <v>3.2763503405511894E-5</v>
      </c>
    </row>
    <row r="280" spans="1:5" ht="15.75" customHeight="1" x14ac:dyDescent="0.3">
      <c r="A280" s="140">
        <v>542906</v>
      </c>
      <c r="B280" s="141" t="s">
        <v>330</v>
      </c>
      <c r="C280" s="142">
        <f ca="1">IFERROR(__xludf.DUMMYFUNCTION("GOOGLEFINANCE(""bom:""&amp;A280,""price"")"),43.16)</f>
        <v>43.16</v>
      </c>
      <c r="D280" s="143">
        <f ca="1">IFERROR(__xludf.DUMMYFUNCTION("GOOGLEFINANCE(""bom:""&amp;A280,""marketcap"")/10000000"),22.56927)</f>
        <v>22.569269999999999</v>
      </c>
      <c r="E280" s="144">
        <f t="shared" ca="1" si="2"/>
        <v>1.7360763881154701E-5</v>
      </c>
    </row>
    <row r="281" spans="1:5" ht="15.75" customHeight="1" x14ac:dyDescent="0.3">
      <c r="A281" s="140">
        <v>504180</v>
      </c>
      <c r="B281" s="141" t="s">
        <v>331</v>
      </c>
      <c r="C281" s="142">
        <f ca="1">IFERROR(__xludf.DUMMYFUNCTION("GOOGLEFINANCE(""bom:""&amp;A281,""price"")"),91)</f>
        <v>91</v>
      </c>
      <c r="D281" s="143">
        <f ca="1">IFERROR(__xludf.DUMMYFUNCTION("GOOGLEFINANCE(""bom:""&amp;A281,""marketcap"")/10000000"),47.0572284)</f>
        <v>47.0572284</v>
      </c>
      <c r="E281" s="144">
        <f t="shared" ca="1" si="2"/>
        <v>3.6197423804756079E-5</v>
      </c>
    </row>
    <row r="282" spans="1:5" ht="15.75" customHeight="1" x14ac:dyDescent="0.3">
      <c r="A282" s="140">
        <v>539681</v>
      </c>
      <c r="B282" s="141" t="s">
        <v>332</v>
      </c>
      <c r="C282" s="142">
        <f ca="1">IFERROR(__xludf.DUMMYFUNCTION("GOOGLEFINANCE(""bom:""&amp;A282,""price"")"),47.51)</f>
        <v>47.51</v>
      </c>
      <c r="D282" s="143">
        <f ca="1">IFERROR(__xludf.DUMMYFUNCTION("GOOGLEFINANCE(""bom:""&amp;A282,""marketcap"")/10000000"),23.80251)</f>
        <v>23.802510000000002</v>
      </c>
      <c r="E282" s="144">
        <f t="shared" ca="1" si="2"/>
        <v>1.8309398393870231E-5</v>
      </c>
    </row>
    <row r="283" spans="1:5" ht="15.75" customHeight="1" x14ac:dyDescent="0.3">
      <c r="A283" s="140">
        <v>531003</v>
      </c>
      <c r="B283" s="141" t="s">
        <v>333</v>
      </c>
      <c r="C283" s="142">
        <f ca="1">IFERROR(__xludf.DUMMYFUNCTION("GOOGLEFINANCE(""bom:""&amp;A283,""price"")"),46.93)</f>
        <v>46.93</v>
      </c>
      <c r="D283" s="143">
        <f ca="1">IFERROR(__xludf.DUMMYFUNCTION("GOOGLEFINANCE(""bom:""&amp;A283,""marketcap"")/10000000"),14.079)</f>
        <v>14.079000000000001</v>
      </c>
      <c r="E283" s="144">
        <f t="shared" ca="1" si="2"/>
        <v>1.0829867101717382E-5</v>
      </c>
    </row>
    <row r="284" spans="1:5" ht="15.75" customHeight="1" x14ac:dyDescent="0.3">
      <c r="A284" s="140">
        <v>539662</v>
      </c>
      <c r="B284" s="141" t="s">
        <v>334</v>
      </c>
      <c r="C284" s="142">
        <f ca="1">IFERROR(__xludf.DUMMYFUNCTION("GOOGLEFINANCE(""bom:""&amp;A284,""price"")"),20.54)</f>
        <v>20.54</v>
      </c>
      <c r="D284" s="143">
        <f ca="1">IFERROR(__xludf.DUMMYFUNCTION("GOOGLEFINANCE(""bom:""&amp;A284,""marketcap"")/10000000"),20.9579693)</f>
        <v>20.957969299999998</v>
      </c>
      <c r="E284" s="144">
        <f t="shared" ca="1" si="2"/>
        <v>1.6121317014054466E-5</v>
      </c>
    </row>
    <row r="285" spans="1:5" ht="15.75" customHeight="1" x14ac:dyDescent="0.3">
      <c r="A285" s="140">
        <v>537820</v>
      </c>
      <c r="B285" s="141" t="s">
        <v>335</v>
      </c>
      <c r="C285" s="142">
        <f ca="1">IFERROR(__xludf.DUMMYFUNCTION("GOOGLEFINANCE(""bom:""&amp;A285,""price"")"),2.19)</f>
        <v>2.19</v>
      </c>
      <c r="D285" s="143">
        <f ca="1">IFERROR(__xludf.DUMMYFUNCTION("GOOGLEFINANCE(""bom:""&amp;A285,""marketcap"")/10000000"),31.2075008)</f>
        <v>31.207500799999998</v>
      </c>
      <c r="E285" s="144">
        <f t="shared" ca="1" si="2"/>
        <v>2.4005475263920651E-5</v>
      </c>
    </row>
    <row r="286" spans="1:5" ht="15.75" customHeight="1" x14ac:dyDescent="0.3">
      <c r="A286" s="140">
        <v>543256</v>
      </c>
      <c r="B286" s="141" t="s">
        <v>336</v>
      </c>
      <c r="C286" s="142">
        <f ca="1">IFERROR(__xludf.DUMMYFUNCTION("GOOGLEFINANCE(""bom:""&amp;A286,""price"")"),18.7)</f>
        <v>18.7</v>
      </c>
      <c r="D286" s="143">
        <f ca="1">IFERROR(__xludf.DUMMYFUNCTION("GOOGLEFINANCE(""bom:""&amp;A286,""marketcap"")/10000000"),18.6499996)</f>
        <v>18.649999600000001</v>
      </c>
      <c r="E286" s="144">
        <f t="shared" ca="1" si="2"/>
        <v>1.4345977492370362E-5</v>
      </c>
    </row>
    <row r="287" spans="1:5" ht="15.75" customHeight="1" x14ac:dyDescent="0.3">
      <c r="A287" s="140">
        <v>538928</v>
      </c>
      <c r="B287" s="141" t="s">
        <v>337</v>
      </c>
      <c r="C287" s="142">
        <f ca="1">IFERROR(__xludf.DUMMYFUNCTION("GOOGLEFINANCE(""bom:""&amp;A287,""price"")"),2.32)</f>
        <v>2.3199999999999998</v>
      </c>
      <c r="D287" s="143">
        <f ca="1">IFERROR(__xludf.DUMMYFUNCTION("GOOGLEFINANCE(""bom:""&amp;A287,""marketcap"")/10000000"),23.5169991)</f>
        <v>23.5169991</v>
      </c>
      <c r="E287" s="144">
        <f t="shared" ca="1" si="2"/>
        <v>1.808977731971072E-5</v>
      </c>
    </row>
    <row r="288" spans="1:5" ht="15.75" customHeight="1" x14ac:dyDescent="0.3">
      <c r="A288" s="140">
        <v>526859</v>
      </c>
      <c r="B288" s="141" t="s">
        <v>338</v>
      </c>
      <c r="C288" s="142">
        <f ca="1">IFERROR(__xludf.DUMMYFUNCTION("GOOGLEFINANCE(""bom:""&amp;A288,""price"")"),1.9)</f>
        <v>1.9</v>
      </c>
      <c r="D288" s="143">
        <f ca="1">IFERROR(__xludf.DUMMYFUNCTION("GOOGLEFINANCE(""bom:""&amp;A288,""marketcap"")/10000000"),18.0499997)</f>
        <v>18.049999700000001</v>
      </c>
      <c r="E288" s="144">
        <f t="shared" ca="1" si="2"/>
        <v>1.3884444771435373E-5</v>
      </c>
    </row>
    <row r="289" spans="1:5" ht="15.75" customHeight="1" x14ac:dyDescent="0.3">
      <c r="A289" s="140">
        <v>538868</v>
      </c>
      <c r="B289" s="141" t="s">
        <v>339</v>
      </c>
      <c r="C289" s="142">
        <f ca="1">IFERROR(__xludf.DUMMYFUNCTION("GOOGLEFINANCE(""bom:""&amp;A289,""price"")"),10.73)</f>
        <v>10.73</v>
      </c>
      <c r="D289" s="143">
        <f ca="1">IFERROR(__xludf.DUMMYFUNCTION("GOOGLEFINANCE(""bom:""&amp;A289,""marketcap"")/10000000"),28.1694677)</f>
        <v>28.169467699999998</v>
      </c>
      <c r="E289" s="144">
        <f t="shared" ca="1" si="2"/>
        <v>2.166855540287807E-5</v>
      </c>
    </row>
    <row r="290" spans="1:5" ht="15.75" customHeight="1" x14ac:dyDescent="0.3">
      <c r="A290" s="140">
        <v>531255</v>
      </c>
      <c r="B290" s="141" t="s">
        <v>340</v>
      </c>
      <c r="C290" s="142">
        <f ca="1">IFERROR(__xludf.DUMMYFUNCTION("GOOGLEFINANCE(""bom:""&amp;A290,""price"")"),87.05)</f>
        <v>87.05</v>
      </c>
      <c r="D290" s="143">
        <f ca="1">IFERROR(__xludf.DUMMYFUNCTION("GOOGLEFINANCE(""bom:""&amp;A290,""marketcap"")/10000000"),37.3702501)</f>
        <v>37.3702501</v>
      </c>
      <c r="E290" s="144">
        <f t="shared" ca="1" si="2"/>
        <v>2.874599347545569E-5</v>
      </c>
    </row>
    <row r="291" spans="1:5" ht="15.75" customHeight="1" x14ac:dyDescent="0.3">
      <c r="A291" s="140">
        <v>538212</v>
      </c>
      <c r="B291" s="141" t="s">
        <v>341</v>
      </c>
      <c r="C291" s="142">
        <f ca="1">IFERROR(__xludf.DUMMYFUNCTION("GOOGLEFINANCE(""bom:""&amp;A291,""price"")"),0.77)</f>
        <v>0.77</v>
      </c>
      <c r="D291" s="143">
        <f ca="1">IFERROR(__xludf.DUMMYFUNCTION("GOOGLEFINANCE(""bom:""&amp;A291,""marketcap"")/10000000"),18.641507)</f>
        <v>18.641507000000001</v>
      </c>
      <c r="E291" s="144">
        <f t="shared" ca="1" si="2"/>
        <v>1.4339444803305226E-5</v>
      </c>
    </row>
    <row r="292" spans="1:5" ht="15.75" customHeight="1" x14ac:dyDescent="0.3">
      <c r="A292" s="140">
        <v>539117</v>
      </c>
      <c r="B292" s="141" t="s">
        <v>342</v>
      </c>
      <c r="C292" s="142">
        <f ca="1">IFERROR(__xludf.DUMMYFUNCTION("GOOGLEFINANCE(""bom:""&amp;A292,""price"")"),35)</f>
        <v>35</v>
      </c>
      <c r="D292" s="143">
        <f ca="1">IFERROR(__xludf.DUMMYFUNCTION("GOOGLEFINANCE(""bom:""&amp;A292,""marketcap"")/10000000"),20.5925756)</f>
        <v>20.5925756</v>
      </c>
      <c r="E292" s="144">
        <f t="shared" ca="1" si="2"/>
        <v>1.5840248386253857E-5</v>
      </c>
    </row>
    <row r="293" spans="1:5" ht="15.75" customHeight="1" x14ac:dyDescent="0.3">
      <c r="A293" s="140">
        <v>511626</v>
      </c>
      <c r="B293" s="141" t="s">
        <v>343</v>
      </c>
      <c r="C293" s="142">
        <f ca="1">IFERROR(__xludf.DUMMYFUNCTION("GOOGLEFINANCE(""bom:""&amp;A293,""price"")"),18.45)</f>
        <v>18.45</v>
      </c>
      <c r="D293" s="143">
        <f ca="1">IFERROR(__xludf.DUMMYFUNCTION("GOOGLEFINANCE(""bom:""&amp;A293,""marketcap"")/10000000"),20.4069923)</f>
        <v>20.406992299999999</v>
      </c>
      <c r="E293" s="144">
        <f t="shared" ca="1" si="2"/>
        <v>1.569749375344626E-5</v>
      </c>
    </row>
    <row r="294" spans="1:5" ht="15.75" customHeight="1" x14ac:dyDescent="0.3">
      <c r="A294" s="140">
        <v>512217</v>
      </c>
      <c r="B294" s="141" t="s">
        <v>344</v>
      </c>
      <c r="C294" s="142">
        <f ca="1">IFERROR(__xludf.DUMMYFUNCTION("GOOGLEFINANCE(""bom:""&amp;A294,""price"")"),25.81)</f>
        <v>25.81</v>
      </c>
      <c r="D294" s="143">
        <f ca="1">IFERROR(__xludf.DUMMYFUNCTION("GOOGLEFINANCE(""bom:""&amp;A294,""marketcap"")/10000000"),15.6497047)</f>
        <v>15.649704699999999</v>
      </c>
      <c r="E294" s="144">
        <f t="shared" ca="1" si="2"/>
        <v>1.20380866597146E-5</v>
      </c>
    </row>
    <row r="295" spans="1:5" ht="15.75" customHeight="1" x14ac:dyDescent="0.3">
      <c r="A295" s="140">
        <v>512489</v>
      </c>
      <c r="B295" s="141" t="s">
        <v>345</v>
      </c>
      <c r="C295" s="142">
        <f ca="1">IFERROR(__xludf.DUMMYFUNCTION("GOOGLEFINANCE(""bom:""&amp;A295,""price"")"),221)</f>
        <v>221</v>
      </c>
      <c r="D295" s="143">
        <f ca="1">IFERROR(__xludf.DUMMYFUNCTION("GOOGLEFINANCE(""bom:""&amp;A295,""marketcap"")/10000000"),40.885)</f>
        <v>40.884999999999998</v>
      </c>
      <c r="E295" s="144">
        <f t="shared" ca="1" si="2"/>
        <v>3.1449614067314091E-5</v>
      </c>
    </row>
    <row r="296" spans="1:5" ht="15.75" customHeight="1" x14ac:dyDescent="0.3">
      <c r="A296" s="140">
        <v>538788</v>
      </c>
      <c r="B296" s="141" t="s">
        <v>346</v>
      </c>
      <c r="C296" s="142">
        <f ca="1">IFERROR(__xludf.DUMMYFUNCTION("GOOGLEFINANCE(""bom:""&amp;A296,""price"")"),10.5)</f>
        <v>10.5</v>
      </c>
      <c r="D296" s="143">
        <f ca="1">IFERROR(__xludf.DUMMYFUNCTION("GOOGLEFINANCE(""bom:""&amp;A296,""marketcap"")/10000000"),14.75166)</f>
        <v>14.751659999999999</v>
      </c>
      <c r="E296" s="144">
        <f t="shared" ca="1" si="2"/>
        <v>1.1347291521395001E-5</v>
      </c>
    </row>
    <row r="297" spans="1:5" ht="15.75" customHeight="1" x14ac:dyDescent="0.3">
      <c r="A297" s="140">
        <v>531962</v>
      </c>
      <c r="B297" s="141" t="s">
        <v>347</v>
      </c>
      <c r="C297" s="142">
        <f ca="1">IFERROR(__xludf.DUMMYFUNCTION("GOOGLEFINANCE(""bom:""&amp;A297,""price"")"),40.8)</f>
        <v>40.799999999999997</v>
      </c>
      <c r="D297" s="143">
        <f ca="1">IFERROR(__xludf.DUMMYFUNCTION("GOOGLEFINANCE(""bom:""&amp;A297,""marketcap"")/10000000"),21.4457035)</f>
        <v>21.4457035</v>
      </c>
      <c r="E297" s="144">
        <f t="shared" ca="1" si="2"/>
        <v>1.6496492563948809E-5</v>
      </c>
    </row>
    <row r="298" spans="1:5" ht="15.75" customHeight="1" x14ac:dyDescent="0.3">
      <c r="A298" s="140">
        <v>539174</v>
      </c>
      <c r="B298" s="141" t="s">
        <v>348</v>
      </c>
      <c r="C298" s="142">
        <f ca="1">IFERROR(__xludf.DUMMYFUNCTION("GOOGLEFINANCE(""bom:""&amp;A298,""price"")"),15.76)</f>
        <v>15.76</v>
      </c>
      <c r="D298" s="143">
        <f ca="1">IFERROR(__xludf.DUMMYFUNCTION("GOOGLEFINANCE(""bom:""&amp;A298,""marketcap"")/10000000"),15.677257)</f>
        <v>15.677257000000001</v>
      </c>
      <c r="E298" s="144">
        <f t="shared" ca="1" si="2"/>
        <v>1.20592804765586E-5</v>
      </c>
    </row>
    <row r="299" spans="1:5" ht="15.75" customHeight="1" x14ac:dyDescent="0.3">
      <c r="A299" s="140">
        <v>536737</v>
      </c>
      <c r="B299" s="141" t="s">
        <v>349</v>
      </c>
      <c r="C299" s="142">
        <f ca="1">IFERROR(__xludf.DUMMYFUNCTION("GOOGLEFINANCE(""bom:""&amp;A299,""price"")"),18.19)</f>
        <v>18.190000000000001</v>
      </c>
      <c r="D299" s="143">
        <f ca="1">IFERROR(__xludf.DUMMYFUNCTION("GOOGLEFINANCE(""bom:""&amp;A299,""marketcap"")/10000000"),17.78727)</f>
        <v>17.787269999999999</v>
      </c>
      <c r="E299" s="144">
        <f t="shared" ca="1" si="2"/>
        <v>1.3682347482233434E-5</v>
      </c>
    </row>
    <row r="300" spans="1:5" ht="15.75" customHeight="1" x14ac:dyDescent="0.3">
      <c r="A300" s="140">
        <v>531841</v>
      </c>
      <c r="B300" s="141" t="s">
        <v>350</v>
      </c>
      <c r="C300" s="142">
        <f ca="1">IFERROR(__xludf.DUMMYFUNCTION("GOOGLEFINANCE(""bom:""&amp;A300,""price"")"),23.3)</f>
        <v>23.3</v>
      </c>
      <c r="D300" s="143">
        <f ca="1">IFERROR(__xludf.DUMMYFUNCTION("GOOGLEFINANCE(""bom:""&amp;A300,""marketcap"")/10000000"),21.5718429)</f>
        <v>21.5718429</v>
      </c>
      <c r="E300" s="144">
        <f t="shared" ca="1" si="2"/>
        <v>1.6593521680952175E-5</v>
      </c>
    </row>
    <row r="301" spans="1:5" ht="15.75" customHeight="1" x14ac:dyDescent="0.3">
      <c r="A301" s="140">
        <v>511377</v>
      </c>
      <c r="B301" s="141" t="s">
        <v>351</v>
      </c>
      <c r="C301" s="142">
        <f ca="1">IFERROR(__xludf.DUMMYFUNCTION("GOOGLEFINANCE(""bom:""&amp;A301,""price"")"),31.22)</f>
        <v>31.22</v>
      </c>
      <c r="D301" s="143">
        <f ca="1">IFERROR(__xludf.DUMMYFUNCTION("GOOGLEFINANCE(""bom:""&amp;A301,""marketcap"")/10000000"),15.6099996)</f>
        <v>15.6099996</v>
      </c>
      <c r="E301" s="144">
        <f t="shared" ca="1" si="2"/>
        <v>1.2007544649894274E-5</v>
      </c>
    </row>
    <row r="302" spans="1:5" ht="15.75" customHeight="1" x14ac:dyDescent="0.3">
      <c r="A302" s="140">
        <v>508961</v>
      </c>
      <c r="B302" s="141" t="s">
        <v>352</v>
      </c>
      <c r="C302" s="142">
        <f ca="1">IFERROR(__xludf.DUMMYFUNCTION("GOOGLEFINANCE(""bom:""&amp;A302,""price"")"),216.85)</f>
        <v>216.85</v>
      </c>
      <c r="D302" s="143">
        <f ca="1">IFERROR(__xludf.DUMMYFUNCTION("GOOGLEFINANCE(""bom:""&amp;A302,""marketcap"")/10000000"),26.8894007)</f>
        <v>26.889400699999999</v>
      </c>
      <c r="E302" s="144">
        <f t="shared" ca="1" si="2"/>
        <v>2.0683900562953784E-5</v>
      </c>
    </row>
    <row r="303" spans="1:5" ht="15.75" customHeight="1" x14ac:dyDescent="0.3">
      <c r="A303" s="140">
        <v>538708</v>
      </c>
      <c r="B303" s="141" t="s">
        <v>353</v>
      </c>
      <c r="C303" s="142">
        <f ca="1">IFERROR(__xludf.DUMMYFUNCTION("GOOGLEFINANCE(""bom:""&amp;A303,""price"")"),10.69)</f>
        <v>10.69</v>
      </c>
      <c r="D303" s="143">
        <f ca="1">IFERROR(__xludf.DUMMYFUNCTION("GOOGLEFINANCE(""bom:""&amp;A303,""marketcap"")/10000000"),19.9017613)</f>
        <v>19.9017613</v>
      </c>
      <c r="E303" s="144">
        <f t="shared" ca="1" si="2"/>
        <v>1.5308859291789341E-5</v>
      </c>
    </row>
    <row r="304" spans="1:5" ht="15.75" customHeight="1" x14ac:dyDescent="0.3">
      <c r="A304" s="140">
        <v>538860</v>
      </c>
      <c r="B304" s="141" t="s">
        <v>354</v>
      </c>
      <c r="C304" s="142">
        <f ca="1">IFERROR(__xludf.DUMMYFUNCTION("GOOGLEFINANCE(""bom:""&amp;A304,""price"")"),1.42)</f>
        <v>1.42</v>
      </c>
      <c r="D304" s="143">
        <f ca="1">IFERROR(__xludf.DUMMYFUNCTION("GOOGLEFINANCE(""bom:""&amp;A304,""marketcap"")/10000000"),11.8260004)</f>
        <v>11.8260004</v>
      </c>
      <c r="E304" s="144">
        <f t="shared" ca="1" si="2"/>
        <v>9.0968117534524177E-6</v>
      </c>
    </row>
    <row r="305" spans="1:5" ht="15.75" customHeight="1" x14ac:dyDescent="0.3">
      <c r="A305" s="140">
        <v>531878</v>
      </c>
      <c r="B305" s="141" t="s">
        <v>355</v>
      </c>
      <c r="C305" s="142">
        <f ca="1">IFERROR(__xludf.DUMMYFUNCTION("GOOGLEFINANCE(""bom:""&amp;A305,""price"")"),11.8)</f>
        <v>11.8</v>
      </c>
      <c r="D305" s="143">
        <f ca="1">IFERROR(__xludf.DUMMYFUNCTION("GOOGLEFINANCE(""bom:""&amp;A305,""marketcap"")/10000000"),11.9690823)</f>
        <v>11.9690823</v>
      </c>
      <c r="E305" s="144">
        <f t="shared" ca="1" si="2"/>
        <v>9.2068734028352725E-6</v>
      </c>
    </row>
    <row r="306" spans="1:5" ht="15.75" customHeight="1" x14ac:dyDescent="0.3">
      <c r="A306" s="140">
        <v>539679</v>
      </c>
      <c r="B306" s="141" t="s">
        <v>356</v>
      </c>
      <c r="C306" s="142">
        <f ca="1">IFERROR(__xludf.DUMMYFUNCTION("GOOGLEFINANCE(""bom:""&amp;A306,""price"")"),22.5)</f>
        <v>22.5</v>
      </c>
      <c r="D306" s="143">
        <f ca="1">IFERROR(__xludf.DUMMYFUNCTION("GOOGLEFINANCE(""bom:""&amp;A306,""marketcap"")/10000000"),24.615)</f>
        <v>24.614999999999998</v>
      </c>
      <c r="E306" s="144">
        <f t="shared" ca="1" si="2"/>
        <v>1.893438303208845E-5</v>
      </c>
    </row>
    <row r="307" spans="1:5" ht="15.75" customHeight="1" x14ac:dyDescent="0.3">
      <c r="A307" s="140">
        <v>531091</v>
      </c>
      <c r="B307" s="141" t="s">
        <v>357</v>
      </c>
      <c r="C307" s="142">
        <f ca="1">IFERROR(__xludf.DUMMYFUNCTION("GOOGLEFINANCE(""bom:""&amp;A307,""price"")"),31.02)</f>
        <v>31.02</v>
      </c>
      <c r="D307" s="143">
        <f ca="1">IFERROR(__xludf.DUMMYFUNCTION("GOOGLEFINANCE(""bom:""&amp;A307,""marketcap"")/10000000"),16.5269009)</f>
        <v>16.526900900000001</v>
      </c>
      <c r="E307" s="144">
        <f t="shared" ca="1" si="2"/>
        <v>1.2712844687140662E-5</v>
      </c>
    </row>
    <row r="308" spans="1:5" ht="15.75" customHeight="1" x14ac:dyDescent="0.3">
      <c r="A308" s="140">
        <v>530799</v>
      </c>
      <c r="B308" s="141" t="s">
        <v>358</v>
      </c>
      <c r="C308" s="142">
        <f ca="1">IFERROR(__xludf.DUMMYFUNCTION("GOOGLEFINANCE(""bom:""&amp;A308,""price"")"),51.92)</f>
        <v>51.92</v>
      </c>
      <c r="D308" s="143">
        <f ca="1">IFERROR(__xludf.DUMMYFUNCTION("GOOGLEFINANCE(""bom:""&amp;A308,""marketcap"")/10000000"),19.7295993)</f>
        <v>19.7295993</v>
      </c>
      <c r="E308" s="144">
        <f t="shared" ca="1" si="2"/>
        <v>1.5176428609214879E-5</v>
      </c>
    </row>
    <row r="309" spans="1:5" ht="15.75" customHeight="1" x14ac:dyDescent="0.3">
      <c r="A309" s="140">
        <v>531387</v>
      </c>
      <c r="B309" s="141" t="s">
        <v>359</v>
      </c>
      <c r="C309" s="142">
        <f ca="1">IFERROR(__xludf.DUMMYFUNCTION("GOOGLEFINANCE(""bom:""&amp;A309,""price"")"),7.59)</f>
        <v>7.59</v>
      </c>
      <c r="D309" s="143">
        <f ca="1">IFERROR(__xludf.DUMMYFUNCTION("GOOGLEFINANCE(""bom:""&amp;A309,""marketcap"")/10000000"),8.2273476)</f>
        <v>8.2273475999999999</v>
      </c>
      <c r="E309" s="144">
        <f t="shared" ca="1" si="2"/>
        <v>6.3286512612851377E-6</v>
      </c>
    </row>
    <row r="310" spans="1:5" ht="15.75" customHeight="1" x14ac:dyDescent="0.3">
      <c r="A310" s="140">
        <v>538952</v>
      </c>
      <c r="B310" s="141" t="s">
        <v>360</v>
      </c>
      <c r="C310" s="142">
        <f ca="1">IFERROR(__xludf.DUMMYFUNCTION("GOOGLEFINANCE(""bom:""&amp;A310,""price"")"),2.01)</f>
        <v>2.0099999999999998</v>
      </c>
      <c r="D310" s="143">
        <f ca="1">IFERROR(__xludf.DUMMYFUNCTION("GOOGLEFINANCE(""bom:""&amp;A310,""marketcap"")/10000000"),10.0459799)</f>
        <v>10.045979900000001</v>
      </c>
      <c r="E310" s="144">
        <f t="shared" ca="1" si="2"/>
        <v>7.7275820174390271E-6</v>
      </c>
    </row>
    <row r="311" spans="1:5" ht="15.75" customHeight="1" x14ac:dyDescent="0.3">
      <c r="A311" s="140">
        <v>534109</v>
      </c>
      <c r="B311" s="141" t="s">
        <v>361</v>
      </c>
      <c r="C311" s="142">
        <f ca="1">IFERROR(__xludf.DUMMYFUNCTION("GOOGLEFINANCE(""bom:""&amp;A311,""price"")"),9.76)</f>
        <v>9.76</v>
      </c>
      <c r="D311" s="143">
        <f ca="1">IFERROR(__xludf.DUMMYFUNCTION("GOOGLEFINANCE(""bom:""&amp;A311,""marketcap"")/10000000"),11.22652)</f>
        <v>11.226520000000001</v>
      </c>
      <c r="E311" s="144">
        <f t="shared" ca="1" si="2"/>
        <v>8.6356786429982406E-6</v>
      </c>
    </row>
    <row r="312" spans="1:5" ht="15.75" customHeight="1" x14ac:dyDescent="0.3">
      <c r="A312" s="140">
        <v>531583</v>
      </c>
      <c r="B312" s="141" t="s">
        <v>362</v>
      </c>
      <c r="C312" s="142">
        <f ca="1">IFERROR(__xludf.DUMMYFUNCTION("GOOGLEFINANCE(""bom:""&amp;A312,""price"")"),27.04)</f>
        <v>27.04</v>
      </c>
      <c r="D312" s="143">
        <f ca="1">IFERROR(__xludf.DUMMYFUNCTION("GOOGLEFINANCE(""bom:""&amp;A312,""marketcap"")/10000000"),15.90222)</f>
        <v>15.90222</v>
      </c>
      <c r="E312" s="144">
        <f t="shared" ca="1" si="2"/>
        <v>1.223232681456582E-5</v>
      </c>
    </row>
    <row r="313" spans="1:5" ht="15.75" customHeight="1" x14ac:dyDescent="0.3">
      <c r="A313" s="140">
        <v>530663</v>
      </c>
      <c r="B313" s="141" t="s">
        <v>363</v>
      </c>
      <c r="C313" s="142">
        <f ca="1">IFERROR(__xludf.DUMMYFUNCTION("GOOGLEFINANCE(""bom:""&amp;A313,""price"")"),1.9)</f>
        <v>1.9</v>
      </c>
      <c r="D313" s="143">
        <f ca="1">IFERROR(__xludf.DUMMYFUNCTION("GOOGLEFINANCE(""bom:""&amp;A313,""marketcap"")/10000000"),8.9181248)</f>
        <v>8.9181247999999993</v>
      </c>
      <c r="E313" s="144">
        <f t="shared" ca="1" si="2"/>
        <v>6.8600118176383185E-6</v>
      </c>
    </row>
    <row r="314" spans="1:5" ht="15.75" customHeight="1" x14ac:dyDescent="0.3">
      <c r="A314" s="140">
        <v>538787</v>
      </c>
      <c r="B314" s="141" t="s">
        <v>364</v>
      </c>
      <c r="C314" s="142">
        <f ca="1">IFERROR(__xludf.DUMMYFUNCTION("GOOGLEFINANCE(""bom:""&amp;A314,""price"")"),8.74)</f>
        <v>8.74</v>
      </c>
      <c r="D314" s="143">
        <f ca="1">IFERROR(__xludf.DUMMYFUNCTION("GOOGLEFINANCE(""bom:""&amp;A314,""marketcap"")/10000000"),11.3620871)</f>
        <v>11.3620871</v>
      </c>
      <c r="E314" s="144">
        <f t="shared" ca="1" si="2"/>
        <v>8.7399597479322004E-6</v>
      </c>
    </row>
    <row r="315" spans="1:5" ht="15.75" customHeight="1" x14ac:dyDescent="0.3">
      <c r="A315" s="140">
        <v>511122</v>
      </c>
      <c r="B315" s="141" t="s">
        <v>365</v>
      </c>
      <c r="C315" s="142">
        <f ca="1">IFERROR(__xludf.DUMMYFUNCTION("GOOGLEFINANCE(""bom:""&amp;A315,""price"")"),124.7)</f>
        <v>124.7</v>
      </c>
      <c r="D315" s="143">
        <f ca="1">IFERROR(__xludf.DUMMYFUNCTION("GOOGLEFINANCE(""bom:""&amp;A315,""marketcap"")/10000000"),18.7049995)</f>
        <v>18.7049995</v>
      </c>
      <c r="E315" s="144">
        <f t="shared" ca="1" si="2"/>
        <v>1.438828458858513E-5</v>
      </c>
    </row>
    <row r="316" spans="1:5" ht="15.75" customHeight="1" x14ac:dyDescent="0.3">
      <c r="A316" s="140">
        <v>530407</v>
      </c>
      <c r="B316" s="141" t="s">
        <v>366</v>
      </c>
      <c r="C316" s="142">
        <f ca="1">IFERROR(__xludf.DUMMYFUNCTION("GOOGLEFINANCE(""bom:""&amp;A316,""price"")"),27.79)</f>
        <v>27.79</v>
      </c>
      <c r="D316" s="143">
        <f ca="1">IFERROR(__xludf.DUMMYFUNCTION("GOOGLEFINANCE(""bom:""&amp;A316,""marketcap"")/10000000"),20.0407591)</f>
        <v>20.040759099999999</v>
      </c>
      <c r="E316" s="144">
        <f t="shared" ca="1" si="2"/>
        <v>1.5415779364339315E-5</v>
      </c>
    </row>
    <row r="317" spans="1:5" ht="15.75" customHeight="1" x14ac:dyDescent="0.3">
      <c r="A317" s="140">
        <v>500142</v>
      </c>
      <c r="B317" s="141" t="s">
        <v>367</v>
      </c>
      <c r="C317" s="142">
        <f ca="1">IFERROR(__xludf.DUMMYFUNCTION("GOOGLEFINANCE(""bom:""&amp;A317,""price"")"),8.5)</f>
        <v>8.5</v>
      </c>
      <c r="D317" s="143">
        <f ca="1">IFERROR(__xludf.DUMMYFUNCTION("GOOGLEFINANCE(""bom:""&amp;A317,""marketcap"")/10000000"),10.1107925)</f>
        <v>10.110792500000001</v>
      </c>
      <c r="E317" s="144">
        <f t="shared" ca="1" si="2"/>
        <v>7.7774372517963516E-6</v>
      </c>
    </row>
    <row r="318" spans="1:5" ht="15.75" customHeight="1" x14ac:dyDescent="0.3">
      <c r="A318" s="140">
        <v>538464</v>
      </c>
      <c r="B318" s="141" t="s">
        <v>368</v>
      </c>
      <c r="C318" s="142">
        <f ca="1">IFERROR(__xludf.DUMMYFUNCTION("GOOGLEFINANCE(""bom:""&amp;A318,""price"")"),3.52)</f>
        <v>3.52</v>
      </c>
      <c r="D318" s="143">
        <f ca="1">IFERROR(__xludf.DUMMYFUNCTION("GOOGLEFINANCE(""bom:""&amp;A318,""marketcap"")/10000000"),7.276633)</f>
        <v>7.2766330000000004</v>
      </c>
      <c r="E318" s="144">
        <f t="shared" ca="1" si="2"/>
        <v>5.5973413124491127E-6</v>
      </c>
    </row>
    <row r="319" spans="1:5" ht="15.75" customHeight="1" x14ac:dyDescent="0.3">
      <c r="A319" s="140">
        <v>531288</v>
      </c>
      <c r="B319" s="141" t="s">
        <v>369</v>
      </c>
      <c r="C319" s="142">
        <f ca="1">IFERROR(__xludf.DUMMYFUNCTION("GOOGLEFINANCE(""bom:""&amp;A319,""price"")"),14.33)</f>
        <v>14.33</v>
      </c>
      <c r="D319" s="143">
        <f ca="1">IFERROR(__xludf.DUMMYFUNCTION("GOOGLEFINANCE(""bom:""&amp;A319,""marketcap"")/10000000"),4.7289)</f>
        <v>4.7289000000000003</v>
      </c>
      <c r="E319" s="144">
        <f t="shared" ca="1" si="2"/>
        <v>3.6375707463109116E-6</v>
      </c>
    </row>
    <row r="320" spans="1:5" ht="15.75" customHeight="1" x14ac:dyDescent="0.3">
      <c r="A320" s="140">
        <v>519214</v>
      </c>
      <c r="B320" s="141" t="s">
        <v>370</v>
      </c>
      <c r="C320" s="142">
        <f ca="1">IFERROR(__xludf.DUMMYFUNCTION("GOOGLEFINANCE(""bom:""&amp;A320,""price"")"),8.82)</f>
        <v>8.82</v>
      </c>
      <c r="D320" s="143">
        <f ca="1">IFERROR(__xludf.DUMMYFUNCTION("GOOGLEFINANCE(""bom:""&amp;A320,""marketcap"")/10000000"),7.3727568)</f>
        <v>7.3727568000000003</v>
      </c>
      <c r="E320" s="144">
        <f t="shared" ca="1" si="2"/>
        <v>5.6712817897068762E-6</v>
      </c>
    </row>
    <row r="321" spans="1:21" ht="15.75" customHeight="1" x14ac:dyDescent="0.3">
      <c r="A321" s="140">
        <v>539835</v>
      </c>
      <c r="B321" s="141" t="s">
        <v>371</v>
      </c>
      <c r="C321" s="142">
        <f ca="1">IFERROR(__xludf.DUMMYFUNCTION("GOOGLEFINANCE(""bom:""&amp;A321,""price"")"),1.48)</f>
        <v>1.48</v>
      </c>
      <c r="D321" s="143">
        <f ca="1">IFERROR(__xludf.DUMMYFUNCTION("GOOGLEFINANCE(""bom:""&amp;A321,""marketcap"")/10000000"),4.44148)</f>
        <v>4.4414800000000003</v>
      </c>
      <c r="E321" s="144">
        <f t="shared" ca="1" si="2"/>
        <v>3.4164811517107548E-6</v>
      </c>
    </row>
    <row r="322" spans="1:21" ht="15.75" customHeight="1" x14ac:dyDescent="0.3">
      <c r="A322" s="140">
        <v>511688</v>
      </c>
      <c r="B322" s="141" t="s">
        <v>372</v>
      </c>
      <c r="C322" s="142">
        <f ca="1">IFERROR(__xludf.DUMMYFUNCTION("GOOGLEFINANCE(""bom:""&amp;A322,""price"")"),9.7)</f>
        <v>9.6999999999999993</v>
      </c>
      <c r="D322" s="143">
        <f ca="1">IFERROR(__xludf.DUMMYFUNCTION("GOOGLEFINANCE(""bom:""&amp;A322,""marketcap"")/10000000"),6.4504998)</f>
        <v>6.4504998000000002</v>
      </c>
      <c r="E322" s="144">
        <f t="shared" ca="1" si="2"/>
        <v>4.9618620337846825E-6</v>
      </c>
    </row>
    <row r="323" spans="1:21" ht="15.75" customHeight="1" x14ac:dyDescent="0.3">
      <c r="A323" s="140">
        <v>538857</v>
      </c>
      <c r="B323" s="141" t="s">
        <v>373</v>
      </c>
      <c r="C323" s="142">
        <f ca="1">IFERROR(__xludf.DUMMYFUNCTION("GOOGLEFINANCE(""bom:""&amp;A323,""price"")"),5.35)</f>
        <v>5.35</v>
      </c>
      <c r="D323" s="143">
        <f ca="1">IFERROR(__xludf.DUMMYFUNCTION("GOOGLEFINANCE(""bom:""&amp;A323,""marketcap"")/10000000"),5.3648568)</f>
        <v>5.3648568000000001</v>
      </c>
      <c r="E323" s="144">
        <f t="shared" ca="1" si="2"/>
        <v>4.1267622816780159E-6</v>
      </c>
    </row>
    <row r="324" spans="1:21" ht="15.75" customHeight="1" x14ac:dyDescent="0.3">
      <c r="A324" s="140">
        <v>538540</v>
      </c>
      <c r="B324" s="141" t="s">
        <v>374</v>
      </c>
      <c r="C324" s="142">
        <f ca="1">IFERROR(__xludf.DUMMYFUNCTION("GOOGLEFINANCE(""bom:""&amp;A324,""price"")"),1.38)</f>
        <v>1.38</v>
      </c>
      <c r="D324" s="143">
        <f ca="1">IFERROR(__xludf.DUMMYFUNCTION("GOOGLEFINANCE(""bom:""&amp;A324,""marketcap"")/10000000"),7.0603559)</f>
        <v>7.0603559000000002</v>
      </c>
      <c r="E324" s="144">
        <f t="shared" ca="1" si="2"/>
        <v>5.4309763539900717E-6</v>
      </c>
    </row>
    <row r="325" spans="1:21" ht="15.75" customHeight="1" x14ac:dyDescent="0.3">
      <c r="A325" s="140">
        <v>530187</v>
      </c>
      <c r="B325" s="141" t="s">
        <v>375</v>
      </c>
      <c r="C325" s="142">
        <f ca="1">IFERROR(__xludf.DUMMYFUNCTION("GOOGLEFINANCE(""bom:""&amp;A325,""price"")"),2.76)</f>
        <v>2.76</v>
      </c>
      <c r="D325" s="143">
        <f ca="1">IFERROR(__xludf.DUMMYFUNCTION("GOOGLEFINANCE(""bom:""&amp;A325,""marketcap"")/10000000"),4.6919999)</f>
        <v>4.6919998999999999</v>
      </c>
      <c r="E325" s="144">
        <f t="shared" ca="1" si="2"/>
        <v>3.6091864023205652E-6</v>
      </c>
    </row>
    <row r="326" spans="1:21" ht="15.75" customHeight="1" x14ac:dyDescent="0.3">
      <c r="A326" s="140">
        <v>531432</v>
      </c>
      <c r="B326" s="141" t="s">
        <v>376</v>
      </c>
      <c r="C326" s="142">
        <f ca="1">IFERROR(__xludf.DUMMYFUNCTION("GOOGLEFINANCE(""bom:""&amp;A326,""price"")"),7.89)</f>
        <v>7.89</v>
      </c>
      <c r="D326" s="143">
        <f ca="1">IFERROR(__xludf.DUMMYFUNCTION("GOOGLEFINANCE(""bom:""&amp;A326,""marketcap"")/10000000"),3.5299999)</f>
        <v>3.5299999</v>
      </c>
      <c r="E326" s="144">
        <f t="shared" ca="1" si="2"/>
        <v>2.7153512171372713E-6</v>
      </c>
    </row>
    <row r="327" spans="1:21" ht="15.75" customHeight="1" x14ac:dyDescent="0.3">
      <c r="A327" s="147"/>
      <c r="B327" s="147"/>
      <c r="C327" s="147"/>
      <c r="D327" s="147"/>
      <c r="E327" s="147"/>
      <c r="F327" s="148"/>
      <c r="G327" s="148"/>
      <c r="H327" s="148"/>
      <c r="I327" s="148"/>
      <c r="J327" s="148"/>
      <c r="K327" s="148"/>
      <c r="L327" s="148"/>
      <c r="M327" s="149"/>
      <c r="N327" s="149"/>
      <c r="O327" s="149"/>
      <c r="P327" s="149"/>
      <c r="Q327" s="149"/>
      <c r="R327" s="149"/>
      <c r="S327" s="149"/>
      <c r="T327" s="149"/>
      <c r="U327" s="149"/>
    </row>
    <row r="328" spans="1:21" ht="15.75" customHeight="1" x14ac:dyDescent="0.3">
      <c r="A328" s="137" t="s">
        <v>191</v>
      </c>
      <c r="B328" s="137" t="s">
        <v>167</v>
      </c>
      <c r="C328" s="137" t="s">
        <v>192</v>
      </c>
      <c r="D328" s="137" t="s">
        <v>5</v>
      </c>
      <c r="E328" s="137" t="s">
        <v>193</v>
      </c>
      <c r="F328" s="137" t="s">
        <v>194</v>
      </c>
      <c r="G328" s="137" t="s">
        <v>168</v>
      </c>
      <c r="H328" s="137" t="s">
        <v>169</v>
      </c>
      <c r="I328" s="137" t="s">
        <v>195</v>
      </c>
      <c r="J328" s="137" t="s">
        <v>196</v>
      </c>
      <c r="K328" s="137" t="s">
        <v>197</v>
      </c>
      <c r="L328" s="137" t="s">
        <v>198</v>
      </c>
      <c r="M328" s="138" t="s">
        <v>181</v>
      </c>
      <c r="N328" s="138" t="s">
        <v>199</v>
      </c>
      <c r="O328" s="138" t="s">
        <v>180</v>
      </c>
      <c r="P328" s="138" t="s">
        <v>182</v>
      </c>
      <c r="Q328" s="138" t="s">
        <v>183</v>
      </c>
      <c r="R328" s="139" t="s">
        <v>187</v>
      </c>
      <c r="S328" s="139" t="s">
        <v>200</v>
      </c>
      <c r="T328" s="139" t="s">
        <v>188</v>
      </c>
      <c r="U328" s="139" t="s">
        <v>189</v>
      </c>
    </row>
    <row r="329" spans="1:21" ht="15.75" customHeight="1" x14ac:dyDescent="0.3">
      <c r="B329" s="104" t="s">
        <v>142</v>
      </c>
      <c r="D329" s="143">
        <f ca="1">SUM(D141:D326)</f>
        <v>1300015.9528982011</v>
      </c>
      <c r="E329" s="144">
        <f ca="1">D329/$D$329</f>
        <v>1</v>
      </c>
      <c r="F329" s="142">
        <f t="shared" ref="F329:L329" si="9">SUM(F141:F326)</f>
        <v>82879.56</v>
      </c>
      <c r="G329" s="142">
        <f t="shared" si="9"/>
        <v>175933</v>
      </c>
      <c r="H329" s="142">
        <f t="shared" si="9"/>
        <v>56490</v>
      </c>
      <c r="I329" s="142">
        <f t="shared" si="9"/>
        <v>162163</v>
      </c>
      <c r="J329" s="142">
        <f t="shared" si="9"/>
        <v>126668</v>
      </c>
      <c r="K329" s="143">
        <f t="shared" si="9"/>
        <v>37078.85</v>
      </c>
      <c r="L329" s="142">
        <f t="shared" si="9"/>
        <v>43018</v>
      </c>
      <c r="M329" s="145">
        <f>(I329/J329)-1</f>
        <v>0.28022073451858409</v>
      </c>
      <c r="N329" s="145">
        <f>(K329/L329)-1</f>
        <v>-0.13806197405737142</v>
      </c>
      <c r="O329" s="145">
        <f>(G329/F329)^(1/5)-1</f>
        <v>0.16246523682418745</v>
      </c>
      <c r="P329" s="145">
        <f>H329/G329</f>
        <v>0.32108814150841514</v>
      </c>
      <c r="Q329" s="145">
        <f>K329/J329</f>
        <v>0.29272468184545425</v>
      </c>
      <c r="R329" s="122">
        <f>MEDIAN(R140:R326)</f>
        <v>0.17599999999999999</v>
      </c>
      <c r="S329" s="142">
        <f ca="1">SUM(S141:S326)</f>
        <v>839.29000000000008</v>
      </c>
      <c r="T329" s="150">
        <f t="shared" ref="T329:U329" ca="1" si="10">MEDIAN(T140:T326)</f>
        <v>17.8</v>
      </c>
      <c r="U329" s="122">
        <f t="shared" ca="1" si="10"/>
        <v>4.6325989748969398E-2</v>
      </c>
    </row>
    <row r="330" spans="1:21" ht="15.75" customHeight="1" x14ac:dyDescent="0.3"/>
    <row r="331" spans="1:21" ht="15.75" customHeight="1" x14ac:dyDescent="0.3"/>
    <row r="332" spans="1:21" ht="15.75" customHeight="1" x14ac:dyDescent="0.3"/>
    <row r="333" spans="1:21" ht="15.75" customHeight="1" x14ac:dyDescent="0.3"/>
    <row r="334" spans="1:21" ht="15.75" customHeight="1" x14ac:dyDescent="0.3"/>
    <row r="335" spans="1:21" ht="15.75" customHeight="1" x14ac:dyDescent="0.3"/>
    <row r="336" spans="1:21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140:D328" xr:uid="{00000000-0009-0000-0000-000000000000}">
    <sortState xmlns:xlrd2="http://schemas.microsoft.com/office/spreadsheetml/2017/richdata2" ref="A140:D328">
      <sortCondition descending="1" ref="D140:D328"/>
    </sortState>
  </autoFilter>
  <mergeCells count="1">
    <mergeCell ref="B2:N3"/>
  </mergeCells>
  <conditionalFormatting sqref="C41:C51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74:C83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08:C117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8:D20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41:G50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74:G83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08:H117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8:I16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41:K50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74:L83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08:L117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BAJFINANCE</vt:lpstr>
      <vt:lpstr> Non Banking Financial Company_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2024-08-12T09:55:43Z</dcterms:created>
  <dcterms:modified xsi:type="dcterms:W3CDTF">2024-08-12T09:56:13Z</dcterms:modified>
</cp:coreProperties>
</file>