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4\"/>
    </mc:Choice>
  </mc:AlternateContent>
  <xr:revisionPtr revIDLastSave="0" documentId="8_{C389C64F-4BE5-4523-8CA2-66B4B3E1B8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RFC" sheetId="1" r:id="rId1"/>
    <sheet name="IREDA" sheetId="2" r:id="rId2"/>
  </sheets>
  <calcPr calcId="191029"/>
</workbook>
</file>

<file path=xl/calcChain.xml><?xml version="1.0" encoding="utf-8"?>
<calcChain xmlns="http://schemas.openxmlformats.org/spreadsheetml/2006/main">
  <c r="U48" i="2" l="1"/>
  <c r="T48" i="2"/>
  <c r="S48" i="2"/>
  <c r="R48" i="2"/>
  <c r="U46" i="2"/>
  <c r="T46" i="2"/>
  <c r="U45" i="2"/>
  <c r="T45" i="2"/>
  <c r="U44" i="2"/>
  <c r="T44" i="2"/>
  <c r="U43" i="2"/>
  <c r="T43" i="2"/>
  <c r="U42" i="2"/>
  <c r="T42" i="2"/>
  <c r="M42" i="2"/>
  <c r="L42" i="2"/>
  <c r="U41" i="2"/>
  <c r="T41" i="2"/>
  <c r="U40" i="2"/>
  <c r="T40" i="2"/>
  <c r="O40" i="2"/>
  <c r="AD36" i="2"/>
  <c r="Y36" i="2"/>
  <c r="T36" i="2"/>
  <c r="AC35" i="2"/>
  <c r="AD35" i="2" s="1"/>
  <c r="AB35" i="2"/>
  <c r="Y35" i="2"/>
  <c r="X35" i="2"/>
  <c r="W35" i="2"/>
  <c r="T35" i="2"/>
  <c r="S35" i="2"/>
  <c r="R35" i="2"/>
  <c r="AD34" i="2"/>
  <c r="Y34" i="2"/>
  <c r="T34" i="2"/>
  <c r="G34" i="2"/>
  <c r="H34" i="2" s="1"/>
  <c r="E34" i="2"/>
  <c r="F34" i="2" s="1"/>
  <c r="F31" i="2" s="1"/>
  <c r="D34" i="2"/>
  <c r="D35" i="2" s="1"/>
  <c r="AD33" i="2"/>
  <c r="Y33" i="2"/>
  <c r="T33" i="2"/>
  <c r="AD32" i="2"/>
  <c r="Y32" i="2"/>
  <c r="T32" i="2"/>
  <c r="AD31" i="2"/>
  <c r="Y31" i="2"/>
  <c r="T31" i="2"/>
  <c r="AD30" i="2"/>
  <c r="Y30" i="2"/>
  <c r="T30" i="2"/>
  <c r="O27" i="2"/>
  <c r="N27" i="2"/>
  <c r="M27" i="2"/>
  <c r="L27" i="2"/>
  <c r="K27" i="2"/>
  <c r="H27" i="2"/>
  <c r="G27" i="2"/>
  <c r="F27" i="2"/>
  <c r="E27" i="2"/>
  <c r="D27" i="2"/>
  <c r="O26" i="2"/>
  <c r="N26" i="2"/>
  <c r="M26" i="2"/>
  <c r="G26" i="2"/>
  <c r="F26" i="2"/>
  <c r="E26" i="2"/>
  <c r="D26" i="2"/>
  <c r="O25" i="2"/>
  <c r="N25" i="2"/>
  <c r="M25" i="2"/>
  <c r="H25" i="2"/>
  <c r="G25" i="2"/>
  <c r="F25" i="2"/>
  <c r="E25" i="2"/>
  <c r="L21" i="2"/>
  <c r="K21" i="2"/>
  <c r="H21" i="2"/>
  <c r="H20" i="2"/>
  <c r="M19" i="2"/>
  <c r="H19" i="2"/>
  <c r="H18" i="2"/>
  <c r="H26" i="2" s="1"/>
  <c r="H17" i="2"/>
  <c r="H16" i="2"/>
  <c r="H15" i="2"/>
  <c r="H14" i="2"/>
  <c r="O11" i="2"/>
  <c r="M11" i="2"/>
  <c r="I11" i="2"/>
  <c r="E11" i="2"/>
  <c r="D11" i="2"/>
  <c r="C11" i="2"/>
  <c r="B11" i="2"/>
  <c r="M8" i="2"/>
  <c r="L8" i="2"/>
  <c r="K8" i="2"/>
  <c r="J8" i="2"/>
  <c r="I8" i="2"/>
  <c r="H8" i="2"/>
  <c r="G8" i="2"/>
  <c r="F8" i="2"/>
  <c r="E8" i="2"/>
  <c r="N7" i="2"/>
  <c r="N6" i="2"/>
  <c r="N8" i="2" s="1"/>
  <c r="D6" i="2"/>
  <c r="C6" i="2"/>
  <c r="L11" i="2" s="1"/>
  <c r="Y43" i="1"/>
  <c r="X43" i="1"/>
  <c r="AA43" i="1" s="1"/>
  <c r="AA41" i="1"/>
  <c r="AA40" i="1"/>
  <c r="Z40" i="1"/>
  <c r="S40" i="1"/>
  <c r="R40" i="1"/>
  <c r="U40" i="1" s="1"/>
  <c r="AA39" i="1"/>
  <c r="AA38" i="1"/>
  <c r="Z38" i="1"/>
  <c r="U38" i="1"/>
  <c r="M38" i="1"/>
  <c r="O36" i="1" s="1"/>
  <c r="N11" i="1" s="1"/>
  <c r="L38" i="1"/>
  <c r="AA37" i="1"/>
  <c r="Z37" i="1"/>
  <c r="U37" i="1"/>
  <c r="AD33" i="1"/>
  <c r="AC33" i="1"/>
  <c r="AB33" i="1"/>
  <c r="X33" i="1"/>
  <c r="Y33" i="1" s="1"/>
  <c r="W33" i="1"/>
  <c r="S33" i="1"/>
  <c r="R33" i="1"/>
  <c r="B11" i="1" s="1"/>
  <c r="O33" i="1"/>
  <c r="AD32" i="1"/>
  <c r="Y32" i="1"/>
  <c r="T32" i="1"/>
  <c r="G32" i="1"/>
  <c r="H32" i="1" s="1"/>
  <c r="E32" i="1"/>
  <c r="F32" i="1" s="1"/>
  <c r="F29" i="1" s="1"/>
  <c r="D32" i="1"/>
  <c r="D33" i="1" s="1"/>
  <c r="D34" i="1" s="1"/>
  <c r="AD31" i="1"/>
  <c r="Y31" i="1"/>
  <c r="T31" i="1"/>
  <c r="AD30" i="1"/>
  <c r="Y30" i="1"/>
  <c r="T30" i="1"/>
  <c r="AD29" i="1"/>
  <c r="Y29" i="1"/>
  <c r="T29" i="1"/>
  <c r="AD28" i="1"/>
  <c r="Y28" i="1"/>
  <c r="T28" i="1"/>
  <c r="AD27" i="1"/>
  <c r="Y27" i="1"/>
  <c r="T27" i="1"/>
  <c r="N25" i="1"/>
  <c r="M25" i="1"/>
  <c r="J25" i="1"/>
  <c r="I25" i="1"/>
  <c r="H25" i="1"/>
  <c r="G25" i="1"/>
  <c r="F25" i="1"/>
  <c r="E25" i="1"/>
  <c r="D25" i="1"/>
  <c r="N24" i="1"/>
  <c r="M24" i="1"/>
  <c r="L24" i="1"/>
  <c r="J24" i="1"/>
  <c r="I24" i="1"/>
  <c r="H24" i="1"/>
  <c r="G24" i="1"/>
  <c r="F24" i="1"/>
  <c r="E24" i="1"/>
  <c r="D24" i="1"/>
  <c r="Q20" i="1"/>
  <c r="L20" i="1"/>
  <c r="L25" i="1" s="1"/>
  <c r="K20" i="1"/>
  <c r="K25" i="1" s="1"/>
  <c r="Q19" i="1"/>
  <c r="L19" i="1"/>
  <c r="K19" i="1"/>
  <c r="K24" i="1" s="1"/>
  <c r="H19" i="1"/>
  <c r="Q18" i="1"/>
  <c r="L18" i="1"/>
  <c r="K18" i="1"/>
  <c r="H18" i="1"/>
  <c r="H17" i="1"/>
  <c r="H16" i="1"/>
  <c r="H15" i="1"/>
  <c r="H14" i="1"/>
  <c r="F11" i="1"/>
  <c r="E11" i="1"/>
  <c r="D11" i="1"/>
  <c r="R8" i="1"/>
  <c r="Q8" i="1"/>
  <c r="N8" i="1"/>
  <c r="M8" i="1"/>
  <c r="K8" i="1"/>
  <c r="J8" i="1"/>
  <c r="I8" i="1"/>
  <c r="H8" i="1"/>
  <c r="G8" i="1"/>
  <c r="F8" i="1"/>
  <c r="C11" i="1" s="1"/>
  <c r="E8" i="1"/>
  <c r="L7" i="1"/>
  <c r="L6" i="1"/>
  <c r="L8" i="1" s="1"/>
  <c r="D6" i="1"/>
  <c r="C6" i="1"/>
  <c r="C8" i="1" s="1"/>
  <c r="N11" i="2" l="1"/>
  <c r="K11" i="1"/>
  <c r="T33" i="1"/>
  <c r="Z39" i="1"/>
  <c r="Z41" i="1"/>
  <c r="D36" i="2"/>
  <c r="N40" i="2"/>
  <c r="N42" i="2"/>
  <c r="J11" i="1"/>
  <c r="M11" i="1"/>
  <c r="E33" i="1"/>
  <c r="D7" i="2"/>
  <c r="D8" i="2" s="1"/>
  <c r="D7" i="1"/>
  <c r="D8" i="1" s="1"/>
  <c r="N38" i="1"/>
  <c r="C8" i="2"/>
  <c r="E35" i="2"/>
  <c r="T38" i="1"/>
  <c r="T40" i="1"/>
  <c r="Z43" i="1"/>
  <c r="K11" i="2"/>
  <c r="T37" i="1"/>
  <c r="F33" i="1" l="1"/>
  <c r="E34" i="1"/>
  <c r="F35" i="2"/>
  <c r="E36" i="2"/>
  <c r="G33" i="1" l="1"/>
  <c r="F34" i="1"/>
  <c r="G35" i="2"/>
  <c r="F36" i="2"/>
  <c r="H35" i="2" l="1"/>
  <c r="G36" i="2"/>
  <c r="H36" i="2" s="1"/>
  <c r="H33" i="1"/>
  <c r="G34" i="1"/>
  <c r="H34" i="1" s="1"/>
</calcChain>
</file>

<file path=xl/sharedStrings.xml><?xml version="1.0" encoding="utf-8"?>
<sst xmlns="http://schemas.openxmlformats.org/spreadsheetml/2006/main" count="351" uniqueCount="149">
  <si>
    <t>IRFC</t>
  </si>
  <si>
    <t>MARKET</t>
  </si>
  <si>
    <t>INCOME</t>
  </si>
  <si>
    <t>BALANCESHEET</t>
  </si>
  <si>
    <t>CASHFLOW</t>
  </si>
  <si>
    <t>COMPANY</t>
  </si>
  <si>
    <t>PRICE</t>
  </si>
  <si>
    <t>MARKETCAP</t>
  </si>
  <si>
    <t>AUM</t>
  </si>
  <si>
    <t>SALES</t>
  </si>
  <si>
    <t>PROFIT</t>
  </si>
  <si>
    <t>EPS</t>
  </si>
  <si>
    <t>FV</t>
  </si>
  <si>
    <t>Equity</t>
  </si>
  <si>
    <t>Reserve</t>
  </si>
  <si>
    <t>BORROWING</t>
  </si>
  <si>
    <t>ASSETS</t>
  </si>
  <si>
    <t>LIABILITIES</t>
  </si>
  <si>
    <t>CFO</t>
  </si>
  <si>
    <t>CFI</t>
  </si>
  <si>
    <t>CFF</t>
  </si>
  <si>
    <t>NET CASHFLOW</t>
  </si>
  <si>
    <t>Last Year_23</t>
  </si>
  <si>
    <t>Growth</t>
  </si>
  <si>
    <t>MARGIN</t>
  </si>
  <si>
    <t>SALES GRO</t>
  </si>
  <si>
    <t>ROA</t>
  </si>
  <si>
    <t>ROE</t>
  </si>
  <si>
    <t>GEARING.R</t>
  </si>
  <si>
    <t>CRAR</t>
  </si>
  <si>
    <t>GNPA%</t>
  </si>
  <si>
    <t>NIM %</t>
  </si>
  <si>
    <t>PE</t>
  </si>
  <si>
    <t>F-YIELD</t>
  </si>
  <si>
    <t>BOOKVALUE</t>
  </si>
  <si>
    <t>P/BV X</t>
  </si>
  <si>
    <t>PEG</t>
  </si>
  <si>
    <t>Actual</t>
  </si>
  <si>
    <t>Year</t>
  </si>
  <si>
    <t>Sales</t>
  </si>
  <si>
    <t>Profit</t>
  </si>
  <si>
    <t>Margin</t>
  </si>
  <si>
    <t>PriceHigh</t>
  </si>
  <si>
    <t>PriceLow</t>
  </si>
  <si>
    <t>HPE</t>
  </si>
  <si>
    <t>LPE</t>
  </si>
  <si>
    <t>Researve</t>
  </si>
  <si>
    <t>NETNPA</t>
  </si>
  <si>
    <t>DIVIDEND</t>
  </si>
  <si>
    <t>DIV DSTB</t>
  </si>
  <si>
    <t>FY_18</t>
  </si>
  <si>
    <t>FY_19</t>
  </si>
  <si>
    <t>FY-20</t>
  </si>
  <si>
    <t>FY-21</t>
  </si>
  <si>
    <t>IPO</t>
  </si>
  <si>
    <t>FY-22</t>
  </si>
  <si>
    <t>FY_23</t>
  </si>
  <si>
    <t>FY_24</t>
  </si>
  <si>
    <t>GROWTH</t>
  </si>
  <si>
    <t>Growth 5y SHORTTERM</t>
  </si>
  <si>
    <t>Last Year Gr</t>
  </si>
  <si>
    <t>RESULT_FY24</t>
  </si>
  <si>
    <t>FY24</t>
  </si>
  <si>
    <t>FY23</t>
  </si>
  <si>
    <t>Q4_FY_24</t>
  </si>
  <si>
    <t>RESULT_9M_FY24</t>
  </si>
  <si>
    <t>9M_FY24</t>
  </si>
  <si>
    <t>9M_FY23</t>
  </si>
  <si>
    <t>Expectation</t>
  </si>
  <si>
    <t>YEAR</t>
  </si>
  <si>
    <t>TREND</t>
  </si>
  <si>
    <t>Q1_fy_24</t>
  </si>
  <si>
    <t>H1_fy_24</t>
  </si>
  <si>
    <t>9M_fy_24</t>
  </si>
  <si>
    <t>fy_24</t>
  </si>
  <si>
    <t>EST_FY25</t>
  </si>
  <si>
    <t>LONG TERM</t>
  </si>
  <si>
    <t>FY_2024</t>
  </si>
  <si>
    <t>COST</t>
  </si>
  <si>
    <t>FINANCE</t>
  </si>
  <si>
    <t>FAIRVALUE</t>
  </si>
  <si>
    <t>fy_2025</t>
  </si>
  <si>
    <t>Q1_fy24</t>
  </si>
  <si>
    <t>Q2_fy24</t>
  </si>
  <si>
    <t>Q3_fy24</t>
  </si>
  <si>
    <t>Q4_fy24</t>
  </si>
  <si>
    <t>EPS_23</t>
  </si>
  <si>
    <t>fy_2030</t>
  </si>
  <si>
    <t>fy_2035</t>
  </si>
  <si>
    <t>EPS_24</t>
  </si>
  <si>
    <t>F_EPS_25</t>
  </si>
  <si>
    <t>SEGMENT_FY24</t>
  </si>
  <si>
    <t>SHARE</t>
  </si>
  <si>
    <t>COST_FY24</t>
  </si>
  <si>
    <t>PE_23</t>
  </si>
  <si>
    <t>PE_24</t>
  </si>
  <si>
    <t>PE_25</t>
  </si>
  <si>
    <t>Interest Income</t>
  </si>
  <si>
    <t>Lease Income</t>
  </si>
  <si>
    <t>EMPLOYEE BENEFIT</t>
  </si>
  <si>
    <t>IMPARIMENT</t>
  </si>
  <si>
    <t>Fiscal</t>
  </si>
  <si>
    <t>Passengers in cr</t>
  </si>
  <si>
    <t>Passenger earnings in cr</t>
  </si>
  <si>
    <t>TOTAL</t>
  </si>
  <si>
    <t>OTHERCOST</t>
  </si>
  <si>
    <t>fy_2010</t>
  </si>
  <si>
    <t>D&amp;A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</si>
  <si>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</si>
  <si>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</si>
  <si>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</si>
  <si>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</si>
  <si>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</si>
  <si>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</si>
  <si>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</si>
  <si>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</si>
  <si>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fy_2019</t>
  </si>
  <si>
    <t>fy_2020</t>
  </si>
  <si>
    <t>fy_2022</t>
  </si>
  <si>
    <t>fy_2023</t>
  </si>
  <si>
    <t>IREDA</t>
  </si>
  <si>
    <t>ADVANCES</t>
  </si>
  <si>
    <t>Last Year_24</t>
  </si>
  <si>
    <t>YIELD@ADV</t>
  </si>
  <si>
    <t>COB</t>
  </si>
  <si>
    <t>NIM</t>
  </si>
  <si>
    <t>CRAR%</t>
  </si>
  <si>
    <t>YIELD</t>
  </si>
  <si>
    <t>REVENUE</t>
  </si>
  <si>
    <t>GROSS NPA%</t>
  </si>
  <si>
    <t>FY_17</t>
  </si>
  <si>
    <t>NOT LISTED</t>
  </si>
  <si>
    <t>Growth 5Year</t>
  </si>
  <si>
    <t>Growth 3Year</t>
  </si>
  <si>
    <t>Growth CY</t>
  </si>
  <si>
    <t>EST_GROTH</t>
  </si>
  <si>
    <t>H1_24</t>
  </si>
  <si>
    <t>RESULT</t>
  </si>
  <si>
    <t>Q4_FY_23</t>
  </si>
  <si>
    <t>9M_FY_24</t>
  </si>
  <si>
    <t>FY_2025</t>
  </si>
  <si>
    <t>TRAIL-EPS</t>
  </si>
  <si>
    <t>Q1_FY24</t>
  </si>
  <si>
    <t>Q2_FY24</t>
  </si>
  <si>
    <t>Q3_FY24</t>
  </si>
  <si>
    <t>Q4_FY24</t>
  </si>
  <si>
    <t>TRAIL_EPS</t>
  </si>
  <si>
    <t>TRANSACTION LOSS</t>
  </si>
  <si>
    <t>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</si>
</sst>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24">
    <font>
      <sz val="10"/>
      <color rgb="FF000000"/>
      <name val="Arial"/>
      <scheme val="minor"/>
    </font>
    <font>
      <sz val="11"/>
      <color theme="1"/>
      <name val="Calibri"/>
    </font>
    <font>
      <sz val="36"/>
      <color rgb="FFFFFFFF"/>
      <name val="Calibri"/>
    </font>
    <font>
      <b/>
      <sz val="11"/>
      <color rgb="FFFFFFFF"/>
      <name val="&quot;Source Code Pro&quot;"/>
    </font>
    <font>
      <sz val="11"/>
      <color theme="1"/>
      <name val="&quot;Source Code Pro&quot;"/>
    </font>
    <font>
      <sz val="10"/>
      <color theme="1"/>
      <name val="Arial"/>
      <scheme val="minor"/>
    </font>
    <font>
      <b/>
      <i/>
      <sz val="11"/>
      <color theme="1"/>
      <name val="Calibri"/>
    </font>
    <font>
      <b/>
      <i/>
      <sz val="11"/>
      <color theme="1"/>
      <name val="&quot;Source Code Pro&quot;"/>
    </font>
    <font>
      <sz val="11"/>
      <color rgb="FF9C0006"/>
      <name val="&quot;Source Code Pro&quot;"/>
    </font>
    <font>
      <b/>
      <i/>
      <sz val="11"/>
      <color rgb="FF000000"/>
      <name val="&quot;Source Code Pro&quot;"/>
    </font>
    <font>
      <sz val="11"/>
      <color rgb="FF000000"/>
      <name val="Calibri"/>
    </font>
    <font>
      <b/>
      <sz val="11"/>
      <color rgb="FFFFFFFF"/>
      <name val="Calibri"/>
    </font>
    <font>
      <b/>
      <i/>
      <sz val="11"/>
      <color rgb="FF7F7F7F"/>
      <name val="&quot;Source Code Pro&quot;"/>
    </font>
    <font>
      <sz val="33"/>
      <color theme="1"/>
      <name val="Calibri"/>
    </font>
    <font>
      <sz val="10"/>
      <name val="Arial"/>
    </font>
    <font>
      <sz val="11"/>
      <color rgb="FFFFFFFF"/>
      <name val="Calibri"/>
    </font>
    <font>
      <b/>
      <sz val="11"/>
      <color theme="1"/>
      <name val="&quot;Source Code Pro&quot;"/>
    </font>
    <font>
      <b/>
      <sz val="11"/>
      <color theme="1"/>
      <name val="Arial"/>
    </font>
    <font>
      <b/>
      <sz val="11"/>
      <color theme="1"/>
      <name val="Calibri"/>
    </font>
    <font>
      <sz val="20"/>
      <color theme="1"/>
      <name val="&quot;Source Code Pro&quot;"/>
    </font>
    <font>
      <i/>
      <u/>
      <sz val="11"/>
      <color theme="1"/>
      <name val="Arial"/>
    </font>
    <font>
      <i/>
      <u/>
      <sz val="11"/>
      <color theme="1"/>
      <name val="Arial"/>
    </font>
    <font>
      <i/>
      <u/>
      <sz val="11"/>
      <color theme="1"/>
      <name val="Calibri"/>
    </font>
    <font>
      <i/>
      <u/>
      <sz val="11"/>
      <color theme="1"/>
      <name val="Arial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4F81BD"/>
        <bgColor rgb="FF4F81BD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67C295"/>
        <bgColor rgb="FF67C295"/>
      </patternFill>
    </fill>
    <fill>
      <patternFill patternType="solid">
        <fgColor rgb="FFCDEBDC"/>
        <bgColor rgb="FFCDEBDC"/>
      </patternFill>
    </fill>
    <fill>
      <patternFill patternType="solid">
        <fgColor rgb="FFE8F6EF"/>
        <bgColor rgb="FFE8F6EF"/>
      </patternFill>
    </fill>
    <fill>
      <patternFill patternType="solid">
        <fgColor rgb="FFFEFFFF"/>
        <bgColor rgb="FFFEFFFF"/>
      </patternFill>
    </fill>
    <fill>
      <patternFill patternType="solid">
        <fgColor rgb="FFFEFDFD"/>
        <bgColor rgb="FFFEFDFD"/>
      </patternFill>
    </fill>
    <fill>
      <patternFill patternType="solid">
        <fgColor rgb="FFF9FDFB"/>
        <bgColor rgb="FFF9FDFB"/>
      </patternFill>
    </fill>
    <fill>
      <patternFill patternType="solid">
        <fgColor rgb="FFF5FBF8"/>
        <bgColor rgb="FFF5FBF8"/>
      </patternFill>
    </fill>
    <fill>
      <patternFill patternType="solid">
        <fgColor rgb="FFFAE8E7"/>
        <bgColor rgb="FFFAE8E7"/>
      </patternFill>
    </fill>
    <fill>
      <patternFill patternType="solid">
        <fgColor rgb="FFF1FAF6"/>
        <bgColor rgb="FFF1FAF6"/>
      </patternFill>
    </fill>
    <fill>
      <patternFill patternType="solid">
        <fgColor rgb="FF57BB8A"/>
        <bgColor rgb="FF57BB8A"/>
      </patternFill>
    </fill>
    <fill>
      <patternFill patternType="solid">
        <fgColor rgb="FFFBFEFC"/>
        <bgColor rgb="FFFBFEFC"/>
      </patternFill>
    </fill>
    <fill>
      <patternFill patternType="solid">
        <fgColor rgb="FFD9D9D9"/>
        <bgColor rgb="FFD9D9D9"/>
      </patternFill>
    </fill>
    <fill>
      <patternFill patternType="solid">
        <fgColor rgb="FF59BC8C"/>
        <bgColor rgb="FF59BC8C"/>
      </patternFill>
    </fill>
    <fill>
      <patternFill patternType="solid">
        <fgColor rgb="FFFCFEFD"/>
        <bgColor rgb="FFFCFEFD"/>
      </patternFill>
    </fill>
    <fill>
      <patternFill patternType="solid">
        <fgColor rgb="FFFDF7F6"/>
        <bgColor rgb="FFFDF7F6"/>
      </patternFill>
    </fill>
    <fill>
      <patternFill patternType="solid">
        <fgColor rgb="FFF4C9C6"/>
        <bgColor rgb="FFF4C9C6"/>
      </patternFill>
    </fill>
    <fill>
      <patternFill patternType="solid">
        <fgColor rgb="FFE67C73"/>
        <bgColor rgb="FFE67C73"/>
      </patternFill>
    </fill>
    <fill>
      <patternFill patternType="solid">
        <fgColor rgb="FFADDEC6"/>
        <bgColor rgb="FFADDEC6"/>
      </patternFill>
    </fill>
    <fill>
      <patternFill patternType="solid">
        <fgColor rgb="FF79C9A2"/>
        <bgColor rgb="FF79C9A2"/>
      </patternFill>
    </fill>
    <fill>
      <patternFill patternType="solid">
        <fgColor rgb="FFF3FAF7"/>
        <bgColor rgb="FFF3FAF7"/>
      </patternFill>
    </fill>
    <fill>
      <patternFill patternType="solid">
        <fgColor rgb="FFF9DBD8"/>
        <bgColor rgb="FFF9DBD8"/>
      </patternFill>
    </fill>
    <fill>
      <patternFill patternType="solid">
        <fgColor rgb="FFEBF7F1"/>
        <bgColor rgb="FFEBF7F1"/>
      </patternFill>
    </fill>
    <fill>
      <patternFill patternType="solid">
        <fgColor rgb="FFC0E6D3"/>
        <bgColor rgb="FFC0E6D3"/>
      </patternFill>
    </fill>
    <fill>
      <patternFill patternType="solid">
        <fgColor rgb="FF85CEAA"/>
        <bgColor rgb="FF85CEAA"/>
      </patternFill>
    </fill>
    <fill>
      <patternFill patternType="solid">
        <fgColor rgb="FFB7E2CD"/>
        <bgColor rgb="FFB7E2CD"/>
      </patternFill>
    </fill>
    <fill>
      <patternFill patternType="solid">
        <fgColor rgb="FFACDEC6"/>
        <bgColor rgb="FFACDEC6"/>
      </patternFill>
    </fill>
    <fill>
      <patternFill patternType="solid">
        <fgColor rgb="FFDAF0E5"/>
        <bgColor rgb="FFDAF0E5"/>
      </patternFill>
    </fill>
    <fill>
      <patternFill patternType="solid">
        <fgColor rgb="FFFEFEFE"/>
        <bgColor rgb="FFFEFEFE"/>
      </patternFill>
    </fill>
    <fill>
      <patternFill patternType="solid">
        <fgColor rgb="FFE1F3EA"/>
        <bgColor rgb="FFE1F3EA"/>
      </patternFill>
    </fill>
    <fill>
      <patternFill patternType="solid">
        <fgColor rgb="FFD9F0E5"/>
        <bgColor rgb="FFD9F0E5"/>
      </patternFill>
    </fill>
    <fill>
      <patternFill patternType="solid">
        <fgColor rgb="FFFDF5F4"/>
        <bgColor rgb="FFFDF5F4"/>
      </patternFill>
    </fill>
    <fill>
      <patternFill patternType="solid">
        <fgColor rgb="FFECF8F2"/>
        <bgColor rgb="FFECF8F2"/>
      </patternFill>
    </fill>
    <fill>
      <patternFill patternType="solid">
        <fgColor rgb="FFF6D4D1"/>
        <bgColor rgb="FFF6D4D1"/>
      </patternFill>
    </fill>
    <fill>
      <patternFill patternType="solid">
        <fgColor rgb="FFFEFBFB"/>
        <bgColor rgb="FFFEFBFB"/>
      </patternFill>
    </fill>
    <fill>
      <patternFill patternType="solid">
        <fgColor rgb="FF63BE7B"/>
        <bgColor rgb="FF63BE7B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4" fontId="1" fillId="2" borderId="0" xfId="0" applyNumberFormat="1" applyFont="1" applyFill="1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9" fontId="1" fillId="2" borderId="1" xfId="0" applyNumberFormat="1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3" fillId="4" borderId="3" xfId="0" applyFont="1" applyFill="1" applyBorder="1"/>
    <xf numFmtId="0" fontId="4" fillId="0" borderId="2" xfId="0" applyFont="1" applyBorder="1"/>
    <xf numFmtId="2" fontId="4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5" fillId="0" borderId="3" xfId="0" applyFont="1" applyBorder="1"/>
    <xf numFmtId="9" fontId="1" fillId="0" borderId="0" xfId="0" applyNumberFormat="1" applyFont="1"/>
    <xf numFmtId="0" fontId="1" fillId="0" borderId="3" xfId="0" applyFont="1" applyBorder="1"/>
    <xf numFmtId="1" fontId="1" fillId="0" borderId="3" xfId="0" applyNumberFormat="1" applyFont="1" applyBorder="1"/>
    <xf numFmtId="0" fontId="6" fillId="5" borderId="3" xfId="0" applyFont="1" applyFill="1" applyBorder="1"/>
    <xf numFmtId="9" fontId="6" fillId="5" borderId="3" xfId="0" applyNumberFormat="1" applyFont="1" applyFill="1" applyBorder="1"/>
    <xf numFmtId="4" fontId="1" fillId="0" borderId="0" xfId="0" applyNumberFormat="1" applyFont="1"/>
    <xf numFmtId="4" fontId="1" fillId="2" borderId="4" xfId="0" applyNumberFormat="1" applyFont="1" applyFill="1" applyBorder="1"/>
    <xf numFmtId="9" fontId="3" fillId="4" borderId="2" xfId="0" applyNumberFormat="1" applyFont="1" applyFill="1" applyBorder="1"/>
    <xf numFmtId="9" fontId="7" fillId="6" borderId="5" xfId="0" applyNumberFormat="1" applyFont="1" applyFill="1" applyBorder="1" applyAlignment="1">
      <alignment horizontal="right"/>
    </xf>
    <xf numFmtId="164" fontId="7" fillId="6" borderId="5" xfId="0" applyNumberFormat="1" applyFont="1" applyFill="1" applyBorder="1" applyAlignment="1">
      <alignment horizontal="right"/>
    </xf>
    <xf numFmtId="165" fontId="7" fillId="6" borderId="5" xfId="0" applyNumberFormat="1" applyFont="1" applyFill="1" applyBorder="1" applyAlignment="1">
      <alignment horizontal="right"/>
    </xf>
    <xf numFmtId="10" fontId="7" fillId="6" borderId="5" xfId="0" applyNumberFormat="1" applyFont="1" applyFill="1" applyBorder="1" applyAlignment="1">
      <alignment horizontal="right"/>
    </xf>
    <xf numFmtId="1" fontId="7" fillId="6" borderId="5" xfId="0" applyNumberFormat="1" applyFont="1" applyFill="1" applyBorder="1" applyAlignment="1">
      <alignment horizontal="right"/>
    </xf>
    <xf numFmtId="166" fontId="7" fillId="6" borderId="5" xfId="0" applyNumberFormat="1" applyFont="1" applyFill="1" applyBorder="1" applyAlignment="1">
      <alignment horizontal="right"/>
    </xf>
    <xf numFmtId="0" fontId="1" fillId="0" borderId="1" xfId="0" applyFont="1" applyBorder="1"/>
    <xf numFmtId="1" fontId="1" fillId="0" borderId="0" xfId="0" applyNumberFormat="1" applyFont="1"/>
    <xf numFmtId="165" fontId="3" fillId="4" borderId="2" xfId="0" applyNumberFormat="1" applyFont="1" applyFill="1" applyBorder="1"/>
    <xf numFmtId="0" fontId="1" fillId="2" borderId="2" xfId="0" applyFont="1" applyFill="1" applyBorder="1"/>
    <xf numFmtId="0" fontId="4" fillId="2" borderId="2" xfId="0" applyFont="1" applyFill="1" applyBorder="1"/>
    <xf numFmtId="1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9" fontId="4" fillId="7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165" fontId="1" fillId="0" borderId="2" xfId="0" applyNumberFormat="1" applyFont="1" applyBorder="1"/>
    <xf numFmtId="1" fontId="8" fillId="2" borderId="2" xfId="0" applyNumberFormat="1" applyFont="1" applyFill="1" applyBorder="1" applyAlignment="1">
      <alignment horizontal="right"/>
    </xf>
    <xf numFmtId="0" fontId="1" fillId="2" borderId="4" xfId="0" applyFont="1" applyFill="1" applyBorder="1"/>
    <xf numFmtId="1" fontId="4" fillId="8" borderId="2" xfId="0" applyNumberFormat="1" applyFont="1" applyFill="1" applyBorder="1" applyAlignment="1">
      <alignment horizontal="right"/>
    </xf>
    <xf numFmtId="1" fontId="4" fillId="9" borderId="2" xfId="0" applyNumberFormat="1" applyFont="1" applyFill="1" applyBorder="1" applyAlignment="1">
      <alignment horizontal="right"/>
    </xf>
    <xf numFmtId="166" fontId="5" fillId="0" borderId="3" xfId="0" applyNumberFormat="1" applyFont="1" applyBorder="1"/>
    <xf numFmtId="9" fontId="5" fillId="0" borderId="3" xfId="0" applyNumberFormat="1" applyFont="1" applyBorder="1"/>
    <xf numFmtId="1" fontId="4" fillId="10" borderId="2" xfId="0" applyNumberFormat="1" applyFont="1" applyFill="1" applyBorder="1" applyAlignment="1">
      <alignment horizontal="right"/>
    </xf>
    <xf numFmtId="165" fontId="5" fillId="0" borderId="3" xfId="0" applyNumberFormat="1" applyFont="1" applyBorder="1"/>
    <xf numFmtId="10" fontId="5" fillId="0" borderId="0" xfId="0" applyNumberFormat="1" applyFont="1"/>
    <xf numFmtId="1" fontId="5" fillId="0" borderId="0" xfId="0" applyNumberFormat="1" applyFont="1"/>
    <xf numFmtId="165" fontId="5" fillId="0" borderId="0" xfId="0" applyNumberFormat="1" applyFont="1"/>
    <xf numFmtId="165" fontId="3" fillId="0" borderId="0" xfId="0" applyNumberFormat="1" applyFont="1"/>
    <xf numFmtId="0" fontId="1" fillId="0" borderId="4" xfId="0" applyFont="1" applyBorder="1"/>
    <xf numFmtId="9" fontId="9" fillId="2" borderId="2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9" fontId="10" fillId="2" borderId="3" xfId="0" applyNumberFormat="1" applyFont="1" applyFill="1" applyBorder="1"/>
    <xf numFmtId="0" fontId="11" fillId="4" borderId="2" xfId="0" applyFont="1" applyFill="1" applyBorder="1"/>
    <xf numFmtId="0" fontId="4" fillId="0" borderId="2" xfId="0" applyFont="1" applyBorder="1" applyAlignment="1">
      <alignment horizontal="right"/>
    </xf>
    <xf numFmtId="9" fontId="4" fillId="11" borderId="2" xfId="0" applyNumberFormat="1" applyFont="1" applyFill="1" applyBorder="1" applyAlignment="1">
      <alignment horizontal="right"/>
    </xf>
    <xf numFmtId="0" fontId="4" fillId="0" borderId="3" xfId="0" applyFont="1" applyBorder="1"/>
    <xf numFmtId="0" fontId="12" fillId="2" borderId="2" xfId="0" applyFont="1" applyFill="1" applyBorder="1"/>
    <xf numFmtId="9" fontId="12" fillId="2" borderId="2" xfId="0" applyNumberFormat="1" applyFont="1" applyFill="1" applyBorder="1" applyAlignment="1">
      <alignment horizontal="right"/>
    </xf>
    <xf numFmtId="9" fontId="4" fillId="2" borderId="2" xfId="0" applyNumberFormat="1" applyFont="1" applyFill="1" applyBorder="1" applyAlignment="1">
      <alignment horizontal="right"/>
    </xf>
    <xf numFmtId="9" fontId="4" fillId="12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9" fontId="4" fillId="13" borderId="2" xfId="0" applyNumberFormat="1" applyFont="1" applyFill="1" applyBorder="1" applyAlignment="1">
      <alignment horizontal="right"/>
    </xf>
    <xf numFmtId="9" fontId="4" fillId="14" borderId="2" xfId="0" applyNumberFormat="1" applyFont="1" applyFill="1" applyBorder="1" applyAlignment="1">
      <alignment horizontal="right"/>
    </xf>
    <xf numFmtId="9" fontId="4" fillId="15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9" fontId="4" fillId="8" borderId="2" xfId="0" applyNumberFormat="1" applyFont="1" applyFill="1" applyBorder="1" applyAlignment="1">
      <alignment horizontal="right"/>
    </xf>
    <xf numFmtId="9" fontId="4" fillId="16" borderId="2" xfId="0" applyNumberFormat="1" applyFont="1" applyFill="1" applyBorder="1" applyAlignment="1">
      <alignment horizontal="right"/>
    </xf>
    <xf numFmtId="9" fontId="4" fillId="17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1" fontId="4" fillId="18" borderId="2" xfId="0" applyNumberFormat="1" applyFont="1" applyFill="1" applyBorder="1" applyAlignment="1">
      <alignment horizontal="right"/>
    </xf>
    <xf numFmtId="166" fontId="4" fillId="18" borderId="2" xfId="0" applyNumberFormat="1" applyFont="1" applyFill="1" applyBorder="1" applyAlignment="1">
      <alignment horizontal="right"/>
    </xf>
    <xf numFmtId="1" fontId="3" fillId="4" borderId="3" xfId="0" applyNumberFormat="1" applyFont="1" applyFill="1" applyBorder="1"/>
    <xf numFmtId="166" fontId="4" fillId="2" borderId="2" xfId="0" applyNumberFormat="1" applyFont="1" applyFill="1" applyBorder="1"/>
    <xf numFmtId="2" fontId="4" fillId="2" borderId="2" xfId="0" applyNumberFormat="1" applyFont="1" applyFill="1" applyBorder="1" applyAlignment="1">
      <alignment horizontal="right"/>
    </xf>
    <xf numFmtId="9" fontId="4" fillId="19" borderId="2" xfId="0" applyNumberFormat="1" applyFont="1" applyFill="1" applyBorder="1" applyAlignment="1">
      <alignment horizontal="right"/>
    </xf>
    <xf numFmtId="166" fontId="4" fillId="2" borderId="3" xfId="0" applyNumberFormat="1" applyFont="1" applyFill="1" applyBorder="1"/>
    <xf numFmtId="2" fontId="4" fillId="2" borderId="3" xfId="0" applyNumberFormat="1" applyFont="1" applyFill="1" applyBorder="1" applyAlignment="1">
      <alignment horizontal="right"/>
    </xf>
    <xf numFmtId="9" fontId="4" fillId="20" borderId="3" xfId="0" applyNumberFormat="1" applyFont="1" applyFill="1" applyBorder="1" applyAlignment="1">
      <alignment horizontal="right"/>
    </xf>
    <xf numFmtId="1" fontId="4" fillId="2" borderId="3" xfId="0" applyNumberFormat="1" applyFont="1" applyFill="1" applyBorder="1"/>
    <xf numFmtId="9" fontId="1" fillId="0" borderId="4" xfId="0" applyNumberFormat="1" applyFont="1" applyBorder="1"/>
    <xf numFmtId="165" fontId="4" fillId="2" borderId="3" xfId="0" applyNumberFormat="1" applyFont="1" applyFill="1" applyBorder="1" applyAlignment="1">
      <alignment horizontal="right"/>
    </xf>
    <xf numFmtId="9" fontId="4" fillId="21" borderId="3" xfId="0" applyNumberFormat="1" applyFont="1" applyFill="1" applyBorder="1" applyAlignment="1">
      <alignment horizontal="right"/>
    </xf>
    <xf numFmtId="9" fontId="4" fillId="22" borderId="3" xfId="0" applyNumberFormat="1" applyFont="1" applyFill="1" applyBorder="1" applyAlignment="1">
      <alignment horizontal="right"/>
    </xf>
    <xf numFmtId="9" fontId="1" fillId="0" borderId="1" xfId="0" applyNumberFormat="1" applyFont="1" applyBorder="1"/>
    <xf numFmtId="0" fontId="4" fillId="0" borderId="0" xfId="0" applyFont="1"/>
    <xf numFmtId="10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4" fillId="2" borderId="0" xfId="0" applyFont="1" applyFill="1"/>
    <xf numFmtId="10" fontId="4" fillId="2" borderId="0" xfId="0" applyNumberFormat="1" applyFont="1" applyFill="1" applyAlignment="1">
      <alignment horizontal="right"/>
    </xf>
    <xf numFmtId="9" fontId="4" fillId="23" borderId="0" xfId="0" applyNumberFormat="1" applyFont="1" applyFill="1" applyAlignment="1">
      <alignment horizontal="right"/>
    </xf>
    <xf numFmtId="1" fontId="3" fillId="4" borderId="2" xfId="0" applyNumberFormat="1" applyFont="1" applyFill="1" applyBorder="1" applyAlignment="1">
      <alignment horizontal="center"/>
    </xf>
    <xf numFmtId="2" fontId="4" fillId="24" borderId="2" xfId="0" applyNumberFormat="1" applyFont="1" applyFill="1" applyBorder="1" applyAlignment="1">
      <alignment horizontal="center"/>
    </xf>
    <xf numFmtId="2" fontId="4" fillId="25" borderId="2" xfId="0" applyNumberFormat="1" applyFont="1" applyFill="1" applyBorder="1" applyAlignment="1">
      <alignment horizontal="center"/>
    </xf>
    <xf numFmtId="166" fontId="4" fillId="16" borderId="2" xfId="0" applyNumberFormat="1" applyFont="1" applyFill="1" applyBorder="1" applyAlignment="1">
      <alignment horizontal="center"/>
    </xf>
    <xf numFmtId="1" fontId="1" fillId="0" borderId="4" xfId="0" applyNumberFormat="1" applyFont="1" applyBorder="1"/>
    <xf numFmtId="9" fontId="4" fillId="26" borderId="2" xfId="0" applyNumberFormat="1" applyFont="1" applyFill="1" applyBorder="1" applyAlignment="1">
      <alignment horizontal="right"/>
    </xf>
    <xf numFmtId="1" fontId="4" fillId="23" borderId="2" xfId="0" applyNumberFormat="1" applyFont="1" applyFill="1" applyBorder="1" applyAlignment="1">
      <alignment horizontal="center"/>
    </xf>
    <xf numFmtId="1" fontId="4" fillId="27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9" fontId="4" fillId="28" borderId="2" xfId="0" applyNumberFormat="1" applyFont="1" applyFill="1" applyBorder="1" applyAlignment="1">
      <alignment horizontal="right"/>
    </xf>
    <xf numFmtId="9" fontId="4" fillId="29" borderId="2" xfId="0" applyNumberFormat="1" applyFont="1" applyFill="1" applyBorder="1" applyAlignment="1">
      <alignment horizontal="right"/>
    </xf>
    <xf numFmtId="9" fontId="4" fillId="30" borderId="2" xfId="0" applyNumberFormat="1" applyFont="1" applyFill="1" applyBorder="1" applyAlignment="1">
      <alignment horizontal="right"/>
    </xf>
    <xf numFmtId="9" fontId="4" fillId="31" borderId="2" xfId="0" applyNumberFormat="1" applyFont="1" applyFill="1" applyBorder="1" applyAlignment="1">
      <alignment horizontal="right"/>
    </xf>
    <xf numFmtId="9" fontId="4" fillId="32" borderId="2" xfId="0" applyNumberFormat="1" applyFont="1" applyFill="1" applyBorder="1" applyAlignment="1">
      <alignment horizontal="right"/>
    </xf>
    <xf numFmtId="9" fontId="4" fillId="33" borderId="2" xfId="0" applyNumberFormat="1" applyFont="1" applyFill="1" applyBorder="1" applyAlignment="1">
      <alignment horizontal="right"/>
    </xf>
    <xf numFmtId="9" fontId="4" fillId="23" borderId="2" xfId="0" applyNumberFormat="1" applyFont="1" applyFill="1" applyBorder="1" applyAlignment="1">
      <alignment horizontal="right"/>
    </xf>
    <xf numFmtId="0" fontId="15" fillId="3" borderId="3" xfId="0" applyFont="1" applyFill="1" applyBorder="1"/>
    <xf numFmtId="0" fontId="16" fillId="0" borderId="2" xfId="0" applyFont="1" applyBorder="1"/>
    <xf numFmtId="0" fontId="16" fillId="2" borderId="2" xfId="0" applyFont="1" applyFill="1" applyBorder="1" applyAlignment="1">
      <alignment horizontal="right"/>
    </xf>
    <xf numFmtId="9" fontId="16" fillId="34" borderId="2" xfId="0" applyNumberFormat="1" applyFont="1" applyFill="1" applyBorder="1" applyAlignment="1">
      <alignment horizontal="right"/>
    </xf>
    <xf numFmtId="9" fontId="4" fillId="35" borderId="2" xfId="0" applyNumberFormat="1" applyFont="1" applyFill="1" applyBorder="1" applyAlignment="1">
      <alignment horizontal="right"/>
    </xf>
    <xf numFmtId="0" fontId="1" fillId="2" borderId="3" xfId="0" applyFont="1" applyFill="1" applyBorder="1"/>
    <xf numFmtId="1" fontId="1" fillId="2" borderId="3" xfId="0" applyNumberFormat="1" applyFont="1" applyFill="1" applyBorder="1"/>
    <xf numFmtId="9" fontId="4" fillId="36" borderId="2" xfId="0" applyNumberFormat="1" applyFont="1" applyFill="1" applyBorder="1" applyAlignment="1">
      <alignment horizontal="right"/>
    </xf>
    <xf numFmtId="9" fontId="4" fillId="37" borderId="2" xfId="0" applyNumberFormat="1" applyFont="1" applyFill="1" applyBorder="1" applyAlignment="1">
      <alignment horizontal="right"/>
    </xf>
    <xf numFmtId="9" fontId="4" fillId="38" borderId="2" xfId="0" applyNumberFormat="1" applyFont="1" applyFill="1" applyBorder="1" applyAlignment="1">
      <alignment horizontal="right"/>
    </xf>
    <xf numFmtId="9" fontId="4" fillId="39" borderId="2" xfId="0" applyNumberFormat="1" applyFont="1" applyFill="1" applyBorder="1" applyAlignment="1">
      <alignment horizontal="right"/>
    </xf>
    <xf numFmtId="9" fontId="5" fillId="0" borderId="0" xfId="0" applyNumberFormat="1" applyFont="1"/>
    <xf numFmtId="9" fontId="4" fillId="40" borderId="2" xfId="0" applyNumberFormat="1" applyFont="1" applyFill="1" applyBorder="1" applyAlignment="1">
      <alignment horizontal="right"/>
    </xf>
    <xf numFmtId="0" fontId="17" fillId="2" borderId="2" xfId="0" applyFont="1" applyFill="1" applyBorder="1"/>
    <xf numFmtId="0" fontId="17" fillId="2" borderId="2" xfId="0" applyFont="1" applyFill="1" applyBorder="1" applyAlignment="1">
      <alignment horizontal="right"/>
    </xf>
    <xf numFmtId="9" fontId="18" fillId="0" borderId="2" xfId="0" applyNumberFormat="1" applyFont="1" applyBorder="1" applyAlignment="1">
      <alignment horizontal="right"/>
    </xf>
    <xf numFmtId="9" fontId="17" fillId="2" borderId="2" xfId="0" applyNumberFormat="1" applyFont="1" applyFill="1" applyBorder="1" applyAlignment="1">
      <alignment horizontal="right"/>
    </xf>
    <xf numFmtId="9" fontId="1" fillId="2" borderId="0" xfId="0" applyNumberFormat="1" applyFont="1" applyFill="1"/>
    <xf numFmtId="166" fontId="5" fillId="0" borderId="0" xfId="0" applyNumberFormat="1" applyFont="1"/>
    <xf numFmtId="10" fontId="1" fillId="2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right"/>
    </xf>
    <xf numFmtId="9" fontId="6" fillId="0" borderId="0" xfId="0" applyNumberFormat="1" applyFont="1" applyAlignment="1">
      <alignment horizontal="right"/>
    </xf>
    <xf numFmtId="3" fontId="1" fillId="2" borderId="0" xfId="0" applyNumberFormat="1" applyFont="1" applyFill="1"/>
    <xf numFmtId="165" fontId="1" fillId="2" borderId="0" xfId="0" applyNumberFormat="1" applyFont="1" applyFill="1"/>
    <xf numFmtId="0" fontId="5" fillId="0" borderId="0" xfId="0" applyFont="1"/>
    <xf numFmtId="2" fontId="1" fillId="0" borderId="3" xfId="0" applyNumberFormat="1" applyFont="1" applyBorder="1"/>
    <xf numFmtId="3" fontId="7" fillId="6" borderId="5" xfId="0" applyNumberFormat="1" applyFont="1" applyFill="1" applyBorder="1" applyAlignment="1">
      <alignment horizontal="right"/>
    </xf>
    <xf numFmtId="0" fontId="10" fillId="41" borderId="3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3" fontId="4" fillId="42" borderId="3" xfId="0" applyNumberFormat="1" applyFont="1" applyFill="1" applyBorder="1" applyAlignment="1">
      <alignment horizontal="right"/>
    </xf>
    <xf numFmtId="9" fontId="9" fillId="2" borderId="3" xfId="0" applyNumberFormat="1" applyFont="1" applyFill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9" fontId="1" fillId="2" borderId="3" xfId="0" applyNumberFormat="1" applyFont="1" applyFill="1" applyBorder="1"/>
    <xf numFmtId="9" fontId="12" fillId="2" borderId="3" xfId="0" applyNumberFormat="1" applyFont="1" applyFill="1" applyBorder="1" applyAlignment="1">
      <alignment horizontal="right"/>
    </xf>
    <xf numFmtId="9" fontId="12" fillId="42" borderId="3" xfId="0" applyNumberFormat="1" applyFont="1" applyFill="1" applyBorder="1" applyAlignment="1">
      <alignment horizontal="right"/>
    </xf>
    <xf numFmtId="3" fontId="12" fillId="42" borderId="3" xfId="0" applyNumberFormat="1" applyFont="1" applyFill="1" applyBorder="1" applyAlignment="1">
      <alignment horizontal="right"/>
    </xf>
    <xf numFmtId="9" fontId="10" fillId="0" borderId="3" xfId="0" applyNumberFormat="1" applyFont="1" applyBorder="1"/>
    <xf numFmtId="165" fontId="10" fillId="0" borderId="3" xfId="0" applyNumberFormat="1" applyFont="1" applyBorder="1"/>
    <xf numFmtId="0" fontId="1" fillId="42" borderId="3" xfId="0" applyFont="1" applyFill="1" applyBorder="1"/>
    <xf numFmtId="9" fontId="1" fillId="0" borderId="3" xfId="0" applyNumberFormat="1" applyFont="1" applyBorder="1"/>
    <xf numFmtId="0" fontId="11" fillId="4" borderId="3" xfId="0" applyFont="1" applyFill="1" applyBorder="1"/>
    <xf numFmtId="9" fontId="4" fillId="2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9" fontId="4" fillId="11" borderId="3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9" fontId="4" fillId="12" borderId="3" xfId="0" applyNumberFormat="1" applyFont="1" applyFill="1" applyBorder="1" applyAlignment="1">
      <alignment horizontal="right"/>
    </xf>
    <xf numFmtId="9" fontId="4" fillId="13" borderId="3" xfId="0" applyNumberFormat="1" applyFont="1" applyFill="1" applyBorder="1" applyAlignment="1">
      <alignment horizontal="right"/>
    </xf>
    <xf numFmtId="9" fontId="4" fillId="14" borderId="3" xfId="0" applyNumberFormat="1" applyFont="1" applyFill="1" applyBorder="1" applyAlignment="1">
      <alignment horizontal="right"/>
    </xf>
    <xf numFmtId="9" fontId="4" fillId="15" borderId="3" xfId="0" applyNumberFormat="1" applyFont="1" applyFill="1" applyBorder="1" applyAlignment="1">
      <alignment horizontal="right"/>
    </xf>
    <xf numFmtId="10" fontId="5" fillId="0" borderId="3" xfId="0" applyNumberFormat="1" applyFont="1" applyBorder="1"/>
    <xf numFmtId="0" fontId="4" fillId="2" borderId="3" xfId="0" applyFont="1" applyFill="1" applyBorder="1" applyAlignment="1">
      <alignment horizontal="right"/>
    </xf>
    <xf numFmtId="9" fontId="4" fillId="17" borderId="3" xfId="0" applyNumberFormat="1" applyFont="1" applyFill="1" applyBorder="1" applyAlignment="1">
      <alignment horizontal="right"/>
    </xf>
    <xf numFmtId="165" fontId="4" fillId="23" borderId="3" xfId="0" applyNumberFormat="1" applyFont="1" applyFill="1" applyBorder="1" applyAlignment="1">
      <alignment horizontal="right"/>
    </xf>
    <xf numFmtId="10" fontId="4" fillId="2" borderId="3" xfId="0" applyNumberFormat="1" applyFont="1" applyFill="1" applyBorder="1" applyAlignment="1">
      <alignment horizontal="right"/>
    </xf>
    <xf numFmtId="0" fontId="5" fillId="0" borderId="1" xfId="0" applyFont="1" applyBorder="1"/>
    <xf numFmtId="0" fontId="20" fillId="2" borderId="2" xfId="0" applyFont="1" applyFill="1" applyBorder="1"/>
    <xf numFmtId="0" fontId="21" fillId="2" borderId="2" xfId="0" applyFont="1" applyFill="1" applyBorder="1" applyAlignment="1">
      <alignment horizontal="right"/>
    </xf>
    <xf numFmtId="9" fontId="22" fillId="0" borderId="2" xfId="0" applyNumberFormat="1" applyFont="1" applyBorder="1" applyAlignment="1">
      <alignment horizontal="right"/>
    </xf>
    <xf numFmtId="9" fontId="23" fillId="2" borderId="2" xfId="0" applyNumberFormat="1" applyFont="1" applyFill="1" applyBorder="1" applyAlignment="1">
      <alignment horizontal="right"/>
    </xf>
    <xf numFmtId="3" fontId="5" fillId="0" borderId="0" xfId="0" applyNumberFormat="1" applyFont="1"/>
    <xf numFmtId="0" fontId="2" fillId="3" borderId="0" xfId="0" applyFont="1" applyFill="1" applyAlignment="1">
      <alignment horizontal="center"/>
    </xf>
    <xf numFmtId="0" fontId="0" fillId="0" borderId="0" xfId="0"/>
    <xf numFmtId="166" fontId="13" fillId="6" borderId="4" xfId="0" applyNumberFormat="1" applyFont="1" applyFill="1" applyBorder="1" applyAlignment="1">
      <alignment horizontal="center" vertical="center"/>
    </xf>
    <xf numFmtId="0" fontId="14" fillId="0" borderId="4" xfId="0" applyFont="1" applyBorder="1"/>
    <xf numFmtId="0" fontId="14" fillId="0" borderId="2" xfId="0" applyFont="1" applyBorder="1"/>
    <xf numFmtId="1" fontId="19" fillId="2" borderId="0" xfId="0" applyNumberFormat="1" applyFont="1" applyFill="1" applyAlignment="1">
      <alignment horizontal="center" vertical="center"/>
    </xf>
    <xf numFmtId="0" fontId="1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IRFC!$D$13</c:f>
              <c:strCache>
                <c:ptCount val="1"/>
                <c:pt idx="0">
                  <c:v>AUM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IRFC!$C$14:$C$21</c:f>
              <c:strCache>
                <c:ptCount val="7"/>
                <c:pt idx="0">
                  <c:v>FY_18</c:v>
                </c:pt>
                <c:pt idx="1">
                  <c:v>FY_19</c:v>
                </c:pt>
                <c:pt idx="2">
                  <c:v>FY-20</c:v>
                </c:pt>
                <c:pt idx="3">
                  <c:v>FY-21</c:v>
                </c:pt>
                <c:pt idx="4">
                  <c:v>FY-22</c:v>
                </c:pt>
                <c:pt idx="5">
                  <c:v>FY_23</c:v>
                </c:pt>
                <c:pt idx="6">
                  <c:v>FY_24</c:v>
                </c:pt>
              </c:strCache>
            </c:strRef>
          </c:cat>
          <c:val>
            <c:numRef>
              <c:f>IRFC!$D$14:$D$21</c:f>
              <c:numCache>
                <c:formatCode>General</c:formatCode>
                <c:ptCount val="8"/>
                <c:pt idx="0">
                  <c:v>155500</c:v>
                </c:pt>
                <c:pt idx="1">
                  <c:v>203047</c:v>
                </c:pt>
                <c:pt idx="2">
                  <c:v>270500</c:v>
                </c:pt>
                <c:pt idx="3">
                  <c:v>368000</c:v>
                </c:pt>
                <c:pt idx="4">
                  <c:v>429824</c:v>
                </c:pt>
                <c:pt idx="5">
                  <c:v>466938</c:v>
                </c:pt>
                <c:pt idx="6">
                  <c:v>464641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E1C-4AAA-9A6A-1C7E6EF3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355451"/>
        <c:axId val="1553667950"/>
      </c:barChart>
      <c:catAx>
        <c:axId val="16883554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3667950"/>
        <c:crosses val="autoZero"/>
        <c:auto val="1"/>
        <c:lblAlgn val="ctr"/>
        <c:lblOffset val="100"/>
        <c:noMultiLvlLbl val="1"/>
      </c:catAx>
      <c:valAx>
        <c:axId val="15536679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83554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REVENUE IN CR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IRFC!$E$13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IRFC!$C$14:$C$20</c:f>
              <c:strCache>
                <c:ptCount val="7"/>
                <c:pt idx="0">
                  <c:v>FY_18</c:v>
                </c:pt>
                <c:pt idx="1">
                  <c:v>FY_19</c:v>
                </c:pt>
                <c:pt idx="2">
                  <c:v>FY-20</c:v>
                </c:pt>
                <c:pt idx="3">
                  <c:v>FY-21</c:v>
                </c:pt>
                <c:pt idx="4">
                  <c:v>FY-22</c:v>
                </c:pt>
                <c:pt idx="5">
                  <c:v>FY_23</c:v>
                </c:pt>
                <c:pt idx="6">
                  <c:v>FY_24</c:v>
                </c:pt>
              </c:strCache>
            </c:strRef>
          </c:cat>
          <c:val>
            <c:numRef>
              <c:f>IRFC!$E$14:$E$20</c:f>
              <c:numCache>
                <c:formatCode>0</c:formatCode>
                <c:ptCount val="7"/>
                <c:pt idx="0">
                  <c:v>9207</c:v>
                </c:pt>
                <c:pt idx="1">
                  <c:v>10987</c:v>
                </c:pt>
                <c:pt idx="2">
                  <c:v>13421</c:v>
                </c:pt>
                <c:pt idx="3">
                  <c:v>15770</c:v>
                </c:pt>
                <c:pt idx="4">
                  <c:v>20301</c:v>
                </c:pt>
                <c:pt idx="5">
                  <c:v>23731</c:v>
                </c:pt>
                <c:pt idx="6">
                  <c:v>26655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6C2-4E28-86F2-176625F05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837187"/>
        <c:axId val="671662761"/>
      </c:barChart>
      <c:catAx>
        <c:axId val="8648371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1662761"/>
        <c:crosses val="autoZero"/>
        <c:auto val="1"/>
        <c:lblAlgn val="ctr"/>
        <c:lblOffset val="100"/>
        <c:noMultiLvlLbl val="1"/>
      </c:catAx>
      <c:valAx>
        <c:axId val="6716627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6483718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PROFIT IN CR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IRFC!$F$13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IRFC!$C$14:$C$20</c:f>
              <c:strCache>
                <c:ptCount val="7"/>
                <c:pt idx="0">
                  <c:v>FY_18</c:v>
                </c:pt>
                <c:pt idx="1">
                  <c:v>FY_19</c:v>
                </c:pt>
                <c:pt idx="2">
                  <c:v>FY-20</c:v>
                </c:pt>
                <c:pt idx="3">
                  <c:v>FY-21</c:v>
                </c:pt>
                <c:pt idx="4">
                  <c:v>FY-22</c:v>
                </c:pt>
                <c:pt idx="5">
                  <c:v>FY_23</c:v>
                </c:pt>
                <c:pt idx="6">
                  <c:v>FY_24</c:v>
                </c:pt>
              </c:strCache>
            </c:strRef>
          </c:cat>
          <c:val>
            <c:numRef>
              <c:f>IRFC!$F$14:$F$20</c:f>
              <c:numCache>
                <c:formatCode>0</c:formatCode>
                <c:ptCount val="7"/>
                <c:pt idx="0">
                  <c:v>2001</c:v>
                </c:pt>
                <c:pt idx="1">
                  <c:v>2139</c:v>
                </c:pt>
                <c:pt idx="2">
                  <c:v>3192</c:v>
                </c:pt>
                <c:pt idx="3">
                  <c:v>4416</c:v>
                </c:pt>
                <c:pt idx="4">
                  <c:v>6089</c:v>
                </c:pt>
                <c:pt idx="5">
                  <c:v>6167</c:v>
                </c:pt>
                <c:pt idx="6">
                  <c:v>6412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A86-4216-8DBD-1F9274C67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843281"/>
        <c:axId val="624893319"/>
      </c:barChart>
      <c:catAx>
        <c:axId val="17668432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24893319"/>
        <c:crosses val="autoZero"/>
        <c:auto val="1"/>
        <c:lblAlgn val="ctr"/>
        <c:lblOffset val="100"/>
        <c:noMultiLvlLbl val="1"/>
      </c:catAx>
      <c:valAx>
        <c:axId val="6248933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668432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69</xdr:row>
      <xdr:rowOff>57150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942975</xdr:colOff>
      <xdr:row>69</xdr:row>
      <xdr:rowOff>57150</xdr:rowOff>
    </xdr:from>
    <xdr:ext cx="5715000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942975</xdr:colOff>
      <xdr:row>87</xdr:row>
      <xdr:rowOff>19050</xdr:rowOff>
    </xdr:from>
    <xdr:ext cx="5715000" cy="35337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352425</xdr:colOff>
      <xdr:row>35</xdr:row>
      <xdr:rowOff>-152400</xdr:rowOff>
    </xdr:from>
    <xdr:ext cx="7724775" cy="7724775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37</xdr:row>
      <xdr:rowOff>-161925</xdr:rowOff>
    </xdr:from>
    <xdr:ext cx="5505450" cy="55054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P983"/>
  <sheetViews>
    <sheetView showGridLines="0" tabSelected="1" workbookViewId="0"/>
  </sheetViews>
  <sheetFormatPr defaultColWidth="12.6640625" defaultRowHeight="15.75" customHeight="1"/>
  <cols>
    <col min="1" max="1" width="5.77734375" customWidth="1"/>
    <col min="3" max="3" width="15.6640625" customWidth="1"/>
    <col min="12" max="12" width="14.21875" customWidth="1"/>
    <col min="17" max="17" width="19.44140625" customWidth="1"/>
    <col min="23" max="23" width="14.6640625" customWidth="1"/>
  </cols>
  <sheetData>
    <row r="1" spans="1:42" ht="15.75" customHeight="1">
      <c r="A1" s="1"/>
      <c r="B1" s="172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.75" customHeight="1">
      <c r="A2" s="1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3"/>
      <c r="AJ2" s="3"/>
      <c r="AK2" s="3"/>
      <c r="AL2" s="3"/>
      <c r="AM2" s="3"/>
      <c r="AN2" s="3"/>
      <c r="AO2" s="3"/>
      <c r="AP2" s="3"/>
    </row>
    <row r="3" spans="1:42" ht="15.75" customHeight="1">
      <c r="A3" s="1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  <c r="AL3" s="3"/>
      <c r="AM3" s="3"/>
      <c r="AN3" s="3"/>
      <c r="AO3" s="3"/>
      <c r="AP3" s="3"/>
    </row>
    <row r="4" spans="1:42" ht="15.75" customHeight="1">
      <c r="A4" s="1"/>
      <c r="B4" s="4" t="s">
        <v>1</v>
      </c>
      <c r="C4" s="5"/>
      <c r="D4" s="4"/>
      <c r="E4" s="4" t="s">
        <v>2</v>
      </c>
      <c r="F4" s="4"/>
      <c r="G4" s="4"/>
      <c r="H4" s="4"/>
      <c r="I4" s="4"/>
      <c r="J4" s="4" t="s">
        <v>3</v>
      </c>
      <c r="K4" s="4"/>
      <c r="L4" s="4"/>
      <c r="N4" s="4"/>
      <c r="O4" s="4" t="s">
        <v>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3"/>
      <c r="AI4" s="3"/>
      <c r="AJ4" s="3"/>
      <c r="AK4" s="3"/>
      <c r="AL4" s="3"/>
      <c r="AM4" s="3"/>
      <c r="AN4" s="3"/>
      <c r="AO4" s="3"/>
      <c r="AP4" s="3"/>
    </row>
    <row r="5" spans="1:42" ht="15.75" customHeight="1"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7" t="s">
        <v>17</v>
      </c>
      <c r="O5" s="8" t="s">
        <v>18</v>
      </c>
      <c r="P5" s="8" t="s">
        <v>19</v>
      </c>
      <c r="Q5" s="8" t="s">
        <v>20</v>
      </c>
      <c r="R5" s="8" t="s">
        <v>21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3"/>
      <c r="AI5" s="3"/>
      <c r="AJ5" s="3"/>
      <c r="AK5" s="3"/>
      <c r="AL5" s="3"/>
      <c r="AM5" s="3"/>
      <c r="AN5" s="3"/>
      <c r="AO5" s="3"/>
      <c r="AP5" s="3"/>
    </row>
    <row r="6" spans="1:42" ht="15.75" customHeight="1">
      <c r="B6" s="9" t="s">
        <v>0</v>
      </c>
      <c r="C6" s="10">
        <f ca="1">IFERROR(__xludf.DUMMYFUNCTION("GOOGLEFINANCE(""NSE:""&amp;B6,""PRICE"")"),174.85)</f>
        <v>174.85</v>
      </c>
      <c r="D6" s="11">
        <f ca="1">IFERROR(__xludf.DUMMYFUNCTION("GOOGLEFINANCE(""NSE:""&amp;B6,""MARKETCAP"")/10000000"),228345.99975)</f>
        <v>228345.99974999999</v>
      </c>
      <c r="E6" s="12">
        <v>464641</v>
      </c>
      <c r="F6" s="13">
        <v>26655</v>
      </c>
      <c r="G6" s="13">
        <v>6412</v>
      </c>
      <c r="H6" s="14">
        <v>4.91</v>
      </c>
      <c r="I6" s="15">
        <v>10</v>
      </c>
      <c r="J6" s="11">
        <v>13069</v>
      </c>
      <c r="K6" s="12">
        <v>36110</v>
      </c>
      <c r="L6" s="12">
        <f>225094+186937</f>
        <v>412031</v>
      </c>
      <c r="M6" s="12">
        <v>485082</v>
      </c>
      <c r="N6" s="12">
        <v>435903</v>
      </c>
      <c r="O6" s="16">
        <v>7914</v>
      </c>
      <c r="P6" s="16">
        <v>-7.0000000000000007E-2</v>
      </c>
      <c r="Q6" s="16">
        <v>-8046</v>
      </c>
      <c r="R6" s="16">
        <v>306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"/>
      <c r="AI6" s="3"/>
      <c r="AJ6" s="3"/>
      <c r="AK6" s="17"/>
      <c r="AL6" s="17"/>
      <c r="AM6" s="17"/>
      <c r="AN6" s="17"/>
      <c r="AO6" s="17"/>
      <c r="AP6" s="3"/>
    </row>
    <row r="7" spans="1:42" ht="15.75" customHeight="1">
      <c r="B7" s="18" t="s">
        <v>22</v>
      </c>
      <c r="C7" s="18">
        <v>142</v>
      </c>
      <c r="D7" s="19">
        <f ca="1">C7*D6/C6</f>
        <v>185445.42158707464</v>
      </c>
      <c r="E7" s="18">
        <v>466148</v>
      </c>
      <c r="F7" s="18">
        <v>23731</v>
      </c>
      <c r="G7" s="18">
        <v>6167</v>
      </c>
      <c r="H7" s="18">
        <v>4.72</v>
      </c>
      <c r="I7" s="18">
        <v>10</v>
      </c>
      <c r="J7" s="11">
        <v>13069</v>
      </c>
      <c r="K7" s="18">
        <v>31611</v>
      </c>
      <c r="L7" s="18">
        <f>202835+216094</f>
        <v>418929</v>
      </c>
      <c r="M7" s="18">
        <v>490358</v>
      </c>
      <c r="N7" s="18">
        <v>445678</v>
      </c>
      <c r="O7" s="16">
        <v>-28855</v>
      </c>
      <c r="P7" s="16">
        <v>0.09</v>
      </c>
      <c r="Q7" s="16">
        <v>28643</v>
      </c>
      <c r="R7" s="16">
        <v>60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17"/>
      <c r="AL7" s="17"/>
      <c r="AM7" s="17"/>
      <c r="AN7" s="17"/>
      <c r="AO7" s="17"/>
      <c r="AP7" s="3"/>
    </row>
    <row r="8" spans="1:42" ht="15.75" customHeight="1">
      <c r="B8" s="20" t="s">
        <v>23</v>
      </c>
      <c r="C8" s="21">
        <f t="shared" ref="C8:N8" ca="1" si="0">(C6/C7)-1</f>
        <v>0.23133802816901405</v>
      </c>
      <c r="D8" s="21">
        <f t="shared" ca="1" si="0"/>
        <v>0.23133802816901405</v>
      </c>
      <c r="E8" s="21">
        <f t="shared" si="0"/>
        <v>-3.2328788281833498E-3</v>
      </c>
      <c r="F8" s="21">
        <f t="shared" si="0"/>
        <v>0.12321436096245408</v>
      </c>
      <c r="G8" s="21">
        <f t="shared" si="0"/>
        <v>3.9727582292849117E-2</v>
      </c>
      <c r="H8" s="21">
        <f t="shared" si="0"/>
        <v>4.0254237288135597E-2</v>
      </c>
      <c r="I8" s="21">
        <f t="shared" si="0"/>
        <v>0</v>
      </c>
      <c r="J8" s="21">
        <f t="shared" si="0"/>
        <v>0</v>
      </c>
      <c r="K8" s="21">
        <f t="shared" si="0"/>
        <v>0.14232387460061369</v>
      </c>
      <c r="L8" s="21">
        <f t="shared" si="0"/>
        <v>-1.6465797306942198E-2</v>
      </c>
      <c r="M8" s="21">
        <f t="shared" si="0"/>
        <v>-1.0759485926608692E-2</v>
      </c>
      <c r="N8" s="21">
        <f t="shared" si="0"/>
        <v>-2.1932875304592092E-2</v>
      </c>
      <c r="O8" s="21">
        <v>1.27</v>
      </c>
      <c r="P8" s="21">
        <v>1.78</v>
      </c>
      <c r="Q8" s="21">
        <f t="shared" ref="Q8:R8" si="1">(Q6/Q7)-1</f>
        <v>-1.2809063296442411</v>
      </c>
      <c r="R8" s="21">
        <f t="shared" si="1"/>
        <v>4.0999999999999996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17"/>
      <c r="AL8" s="17"/>
      <c r="AM8" s="17"/>
      <c r="AN8" s="17"/>
      <c r="AO8" s="17"/>
      <c r="AP8" s="3"/>
    </row>
    <row r="9" spans="1:42" ht="15.75" customHeight="1">
      <c r="A9" s="22"/>
      <c r="B9" s="17"/>
      <c r="C9" s="3"/>
      <c r="D9" s="3"/>
      <c r="E9" s="3"/>
      <c r="F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17"/>
      <c r="AL9" s="17"/>
      <c r="AM9" s="17"/>
      <c r="AN9" s="17"/>
      <c r="AO9" s="17"/>
      <c r="AP9" s="3"/>
    </row>
    <row r="10" spans="1:42" ht="15.75" customHeight="1">
      <c r="A10" s="23"/>
      <c r="B10" s="6" t="s">
        <v>24</v>
      </c>
      <c r="C10" s="6" t="s">
        <v>25</v>
      </c>
      <c r="D10" s="6" t="s">
        <v>26</v>
      </c>
      <c r="E10" s="24" t="s">
        <v>27</v>
      </c>
      <c r="F10" s="6" t="s">
        <v>28</v>
      </c>
      <c r="G10" s="6" t="s">
        <v>29</v>
      </c>
      <c r="H10" s="6" t="s">
        <v>30</v>
      </c>
      <c r="I10" s="6" t="s">
        <v>31</v>
      </c>
      <c r="J10" s="6" t="s">
        <v>32</v>
      </c>
      <c r="K10" s="6" t="s">
        <v>33</v>
      </c>
      <c r="L10" s="6" t="s">
        <v>34</v>
      </c>
      <c r="M10" s="6" t="s">
        <v>35</v>
      </c>
      <c r="N10" s="6" t="s">
        <v>36</v>
      </c>
      <c r="O10" s="3"/>
      <c r="P10" s="3"/>
      <c r="Q10" s="2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3"/>
      <c r="AG10" s="3"/>
      <c r="AH10" s="3"/>
      <c r="AI10" s="3"/>
      <c r="AJ10" s="3"/>
      <c r="AK10" s="17"/>
      <c r="AL10" s="17"/>
      <c r="AM10" s="17"/>
      <c r="AN10" s="17"/>
      <c r="AO10" s="17"/>
      <c r="AP10" s="3"/>
    </row>
    <row r="11" spans="1:42" ht="15.75" customHeight="1">
      <c r="A11" s="23"/>
      <c r="B11" s="25">
        <f>R33</f>
        <v>0.24055524291877697</v>
      </c>
      <c r="C11" s="25">
        <f>F8</f>
        <v>0.12321436096245408</v>
      </c>
      <c r="D11" s="25">
        <f>G6/M6</f>
        <v>1.3218383695952437E-2</v>
      </c>
      <c r="E11" s="25">
        <f>G6/(K6+J6)</f>
        <v>0.13038085361638097</v>
      </c>
      <c r="F11" s="26">
        <f>L6/(J6+K6)</f>
        <v>8.3781898777933677</v>
      </c>
      <c r="G11" s="25">
        <v>5.2119999999999997</v>
      </c>
      <c r="H11" s="27">
        <v>0</v>
      </c>
      <c r="I11" s="28">
        <v>1.4200000000000001E-2</v>
      </c>
      <c r="J11" s="29">
        <f ca="1">C6/H6</f>
        <v>35.610997963340118</v>
      </c>
      <c r="K11" s="27">
        <f ca="1">H6/C6</f>
        <v>2.8081212467829571E-2</v>
      </c>
      <c r="L11" s="29">
        <v>34.79</v>
      </c>
      <c r="M11" s="30">
        <f ca="1">C6/L11</f>
        <v>5.0258695027306697</v>
      </c>
      <c r="N11" s="30">
        <f>O36</f>
        <v>7.1717171717171713</v>
      </c>
      <c r="O11" s="3"/>
      <c r="P11" s="3"/>
      <c r="Q11" s="2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"/>
      <c r="AG11" s="3"/>
      <c r="AH11" s="3"/>
      <c r="AI11" s="3"/>
      <c r="AJ11" s="3"/>
      <c r="AK11" s="17"/>
      <c r="AL11" s="17"/>
      <c r="AM11" s="17"/>
      <c r="AN11" s="3"/>
      <c r="AO11" s="3"/>
      <c r="AP11" s="3"/>
    </row>
    <row r="12" spans="1:42" ht="15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1"/>
      <c r="S12" s="3"/>
      <c r="T12" s="3"/>
      <c r="U12" s="3"/>
      <c r="V12" s="3"/>
      <c r="W12" s="3"/>
      <c r="X12" s="2"/>
      <c r="Y12" s="2"/>
      <c r="Z12" s="2"/>
      <c r="AA12" s="2"/>
      <c r="AB12" s="2"/>
      <c r="AC12" s="2"/>
      <c r="AD12" s="2"/>
      <c r="AE12" s="2"/>
      <c r="AF12" s="3"/>
      <c r="AG12" s="3"/>
      <c r="AH12" s="3"/>
      <c r="AI12" s="3"/>
      <c r="AJ12" s="32"/>
      <c r="AK12" s="32"/>
      <c r="AL12" s="32"/>
      <c r="AM12" s="32"/>
      <c r="AN12" s="32"/>
      <c r="AO12" s="32"/>
      <c r="AP12" s="3"/>
    </row>
    <row r="13" spans="1:42" ht="15.75" customHeight="1">
      <c r="B13" s="6" t="s">
        <v>37</v>
      </c>
      <c r="C13" s="6" t="s">
        <v>38</v>
      </c>
      <c r="D13" s="6" t="s">
        <v>8</v>
      </c>
      <c r="E13" s="6" t="s">
        <v>39</v>
      </c>
      <c r="F13" s="6" t="s">
        <v>40</v>
      </c>
      <c r="G13" s="6" t="s">
        <v>11</v>
      </c>
      <c r="H13" s="6" t="s">
        <v>41</v>
      </c>
      <c r="I13" s="6" t="s">
        <v>42</v>
      </c>
      <c r="J13" s="6" t="s">
        <v>43</v>
      </c>
      <c r="K13" s="6" t="s">
        <v>44</v>
      </c>
      <c r="L13" s="6" t="s">
        <v>45</v>
      </c>
      <c r="M13" s="6" t="s">
        <v>13</v>
      </c>
      <c r="N13" s="6" t="s">
        <v>46</v>
      </c>
      <c r="O13" s="33" t="s">
        <v>47</v>
      </c>
      <c r="P13" s="6" t="s">
        <v>48</v>
      </c>
      <c r="Q13" s="6" t="s">
        <v>49</v>
      </c>
      <c r="S13" s="3"/>
      <c r="T13" s="3"/>
      <c r="U13" s="3"/>
      <c r="V13" s="3"/>
      <c r="W13" s="3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2"/>
      <c r="AK13" s="3"/>
      <c r="AL13" s="32"/>
      <c r="AM13" s="32"/>
      <c r="AN13" s="32"/>
      <c r="AO13" s="32"/>
      <c r="AP13" s="3"/>
    </row>
    <row r="14" spans="1:42" ht="15.75" customHeight="1">
      <c r="B14" s="34"/>
      <c r="C14" s="35" t="s">
        <v>50</v>
      </c>
      <c r="D14" s="34">
        <v>155500</v>
      </c>
      <c r="E14" s="36">
        <v>9207</v>
      </c>
      <c r="F14" s="36">
        <v>2001</v>
      </c>
      <c r="G14" s="37">
        <v>3.07</v>
      </c>
      <c r="H14" s="38">
        <f t="shared" ref="H14:H19" si="2">F14/E14</f>
        <v>0.21733463668947539</v>
      </c>
      <c r="I14" s="36"/>
      <c r="J14" s="36"/>
      <c r="K14" s="36"/>
      <c r="L14" s="36"/>
      <c r="M14" s="36">
        <v>6526</v>
      </c>
      <c r="N14" s="39">
        <v>13798</v>
      </c>
      <c r="O14" s="40"/>
      <c r="S14" s="32"/>
      <c r="T14" s="32"/>
      <c r="U14" s="3"/>
      <c r="V14" s="3"/>
      <c r="W14" s="3"/>
      <c r="X14" s="2"/>
      <c r="Y14" s="2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15.75" customHeight="1">
      <c r="B15" s="34"/>
      <c r="C15" s="35" t="s">
        <v>51</v>
      </c>
      <c r="D15" s="34">
        <v>203047</v>
      </c>
      <c r="E15" s="36">
        <v>10987</v>
      </c>
      <c r="F15" s="41">
        <v>2139</v>
      </c>
      <c r="G15" s="37">
        <v>3.26</v>
      </c>
      <c r="H15" s="38">
        <f t="shared" si="2"/>
        <v>0.19468462728679348</v>
      </c>
      <c r="I15" s="36"/>
      <c r="J15" s="36"/>
      <c r="K15" s="36"/>
      <c r="L15" s="36"/>
      <c r="M15" s="36">
        <v>9380</v>
      </c>
      <c r="N15" s="39">
        <v>15485</v>
      </c>
      <c r="O15" s="40"/>
      <c r="S15" s="32"/>
      <c r="T15" s="3"/>
      <c r="U15" s="3"/>
      <c r="V15" s="3"/>
      <c r="W15" s="3"/>
      <c r="X15" s="2"/>
      <c r="Y15" s="2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2"/>
      <c r="AK15" s="3"/>
      <c r="AL15" s="32"/>
      <c r="AM15" s="32"/>
      <c r="AN15" s="32"/>
      <c r="AO15" s="32"/>
      <c r="AP15" s="3"/>
    </row>
    <row r="16" spans="1:42" ht="15.75" customHeight="1">
      <c r="B16" s="34"/>
      <c r="C16" s="35" t="s">
        <v>52</v>
      </c>
      <c r="D16" s="34">
        <v>270500</v>
      </c>
      <c r="E16" s="36">
        <v>13421</v>
      </c>
      <c r="F16" s="36">
        <v>3192</v>
      </c>
      <c r="G16" s="37">
        <v>3.4</v>
      </c>
      <c r="H16" s="38">
        <f t="shared" si="2"/>
        <v>0.23783622680873259</v>
      </c>
      <c r="I16" s="36"/>
      <c r="J16" s="36"/>
      <c r="K16" s="36"/>
      <c r="L16" s="36"/>
      <c r="M16" s="36">
        <v>11880</v>
      </c>
      <c r="N16" s="39">
        <v>18419</v>
      </c>
      <c r="O16" s="40"/>
      <c r="S16" s="32"/>
      <c r="T16" s="3"/>
      <c r="U16" s="3"/>
      <c r="V16" s="3"/>
      <c r="W16" s="3"/>
      <c r="X16" s="2"/>
      <c r="Y16" s="2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2"/>
      <c r="AK16" s="3"/>
      <c r="AL16" s="32"/>
      <c r="AM16" s="32"/>
      <c r="AN16" s="32"/>
      <c r="AO16" s="32"/>
      <c r="AP16" s="3"/>
    </row>
    <row r="17" spans="1:42" ht="15.75" customHeight="1">
      <c r="A17" s="42"/>
      <c r="B17" s="34"/>
      <c r="C17" s="35" t="s">
        <v>53</v>
      </c>
      <c r="D17" s="34">
        <v>368000</v>
      </c>
      <c r="E17" s="36">
        <v>15770</v>
      </c>
      <c r="F17" s="36">
        <v>4416</v>
      </c>
      <c r="G17" s="37">
        <v>3.66</v>
      </c>
      <c r="H17" s="38">
        <f t="shared" si="2"/>
        <v>0.28002536461636018</v>
      </c>
      <c r="I17" s="36"/>
      <c r="J17" s="36"/>
      <c r="K17" s="36"/>
      <c r="L17" s="36"/>
      <c r="M17" s="36">
        <v>13068</v>
      </c>
      <c r="N17" s="39">
        <v>22844</v>
      </c>
      <c r="O17" s="40">
        <v>0</v>
      </c>
      <c r="S17" s="32"/>
      <c r="T17" s="3"/>
      <c r="U17" s="3"/>
      <c r="V17" s="3"/>
      <c r="W17" s="3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ht="15.75" customHeight="1">
      <c r="A18" s="42"/>
      <c r="B18" s="34" t="s">
        <v>54</v>
      </c>
      <c r="C18" s="35" t="s">
        <v>55</v>
      </c>
      <c r="D18" s="34">
        <v>429824</v>
      </c>
      <c r="E18" s="36">
        <v>20301</v>
      </c>
      <c r="F18" s="41">
        <v>6089</v>
      </c>
      <c r="G18" s="37">
        <v>4.66</v>
      </c>
      <c r="H18" s="38">
        <f t="shared" si="2"/>
        <v>0.29993596374562831</v>
      </c>
      <c r="I18" s="36">
        <v>26.7</v>
      </c>
      <c r="J18" s="36">
        <v>20.8</v>
      </c>
      <c r="K18" s="43">
        <f t="shared" ref="K18:K20" si="3">I18/G18</f>
        <v>5.7296137339055795</v>
      </c>
      <c r="L18" s="44">
        <f t="shared" ref="L18:L20" si="4">J18/G18</f>
        <v>4.4635193133047206</v>
      </c>
      <c r="M18" s="36">
        <v>13068</v>
      </c>
      <c r="N18" s="39">
        <v>27927</v>
      </c>
      <c r="O18" s="40">
        <v>0</v>
      </c>
      <c r="P18" s="45">
        <v>0.77</v>
      </c>
      <c r="Q18" s="46">
        <f t="shared" ref="Q18:Q20" si="5">P18/G18</f>
        <v>0.16523605150214593</v>
      </c>
      <c r="S18" s="32"/>
      <c r="T18" s="3"/>
      <c r="U18" s="3"/>
      <c r="V18" s="3"/>
      <c r="W18" s="3"/>
      <c r="X18" s="2"/>
      <c r="Y18" s="2"/>
      <c r="Z18" s="2"/>
      <c r="AA18" s="2"/>
      <c r="AB18" s="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15.75" customHeight="1">
      <c r="A19" s="42"/>
      <c r="B19" s="34"/>
      <c r="C19" s="35" t="s">
        <v>56</v>
      </c>
      <c r="D19" s="34">
        <v>466938</v>
      </c>
      <c r="E19" s="47">
        <v>23731</v>
      </c>
      <c r="F19" s="36">
        <v>6167</v>
      </c>
      <c r="G19" s="37">
        <v>4.72</v>
      </c>
      <c r="H19" s="38">
        <f t="shared" si="2"/>
        <v>0.25987105473852767</v>
      </c>
      <c r="I19" s="36">
        <v>37.1</v>
      </c>
      <c r="J19" s="36">
        <v>19.3</v>
      </c>
      <c r="K19" s="43">
        <f t="shared" si="3"/>
        <v>7.8601694915254248</v>
      </c>
      <c r="L19" s="44">
        <f t="shared" si="4"/>
        <v>4.0889830508474576</v>
      </c>
      <c r="M19" s="36">
        <v>13068</v>
      </c>
      <c r="N19" s="39">
        <v>32401</v>
      </c>
      <c r="O19" s="40">
        <v>0</v>
      </c>
      <c r="P19" s="16">
        <v>1.5</v>
      </c>
      <c r="Q19" s="46">
        <f t="shared" si="5"/>
        <v>0.31779661016949157</v>
      </c>
      <c r="S19" s="32"/>
      <c r="T19" s="3"/>
      <c r="U19" s="3"/>
      <c r="V19" s="3"/>
      <c r="W19" s="3"/>
      <c r="X19" s="2"/>
      <c r="Y19" s="2"/>
      <c r="Z19" s="2"/>
      <c r="AA19" s="2"/>
      <c r="AB19" s="2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15.75" customHeight="1">
      <c r="B20" s="16"/>
      <c r="C20" s="35" t="s">
        <v>57</v>
      </c>
      <c r="D20" s="34">
        <v>464641</v>
      </c>
      <c r="E20" s="47">
        <v>26655</v>
      </c>
      <c r="F20" s="36">
        <v>6412</v>
      </c>
      <c r="G20" s="37">
        <v>4.9000000000000004</v>
      </c>
      <c r="H20" s="38">
        <v>0.24</v>
      </c>
      <c r="I20" s="36">
        <v>192</v>
      </c>
      <c r="J20" s="36">
        <v>27</v>
      </c>
      <c r="K20" s="43">
        <f t="shared" si="3"/>
        <v>39.183673469387749</v>
      </c>
      <c r="L20" s="44">
        <f t="shared" si="4"/>
        <v>5.5102040816326525</v>
      </c>
      <c r="M20" s="36">
        <v>13068</v>
      </c>
      <c r="N20" s="39">
        <v>36110</v>
      </c>
      <c r="O20" s="48">
        <v>0</v>
      </c>
      <c r="P20" s="16">
        <v>1.5</v>
      </c>
      <c r="Q20" s="46">
        <f t="shared" si="5"/>
        <v>0.30612244897959179</v>
      </c>
      <c r="S20" s="32"/>
      <c r="T20" s="3"/>
      <c r="U20" s="3"/>
      <c r="V20" s="3"/>
      <c r="W20" s="3"/>
      <c r="X20" s="2"/>
      <c r="Y20" s="2"/>
      <c r="Z20" s="2"/>
      <c r="AA20" s="2"/>
      <c r="AB20" s="2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15.75" customHeight="1">
      <c r="D21" s="49"/>
      <c r="M21" s="50"/>
      <c r="P21" s="5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15.75" customHeight="1">
      <c r="AH22" s="3"/>
      <c r="AI22" s="3"/>
      <c r="AJ22" s="3"/>
      <c r="AK22" s="3"/>
      <c r="AL22" s="3"/>
      <c r="AM22" s="3"/>
      <c r="AN22" s="2"/>
      <c r="AO22" s="2"/>
      <c r="AP22" s="2"/>
    </row>
    <row r="23" spans="1:42" ht="15.75" customHeight="1">
      <c r="A23" s="42"/>
      <c r="B23" s="6" t="s">
        <v>58</v>
      </c>
      <c r="C23" s="6" t="s">
        <v>38</v>
      </c>
      <c r="D23" s="6" t="s">
        <v>8</v>
      </c>
      <c r="E23" s="6" t="s">
        <v>39</v>
      </c>
      <c r="F23" s="6" t="s">
        <v>40</v>
      </c>
      <c r="G23" s="6" t="s">
        <v>11</v>
      </c>
      <c r="H23" s="6" t="s">
        <v>41</v>
      </c>
      <c r="I23" s="6" t="s">
        <v>42</v>
      </c>
      <c r="J23" s="6" t="s">
        <v>43</v>
      </c>
      <c r="K23" s="6" t="s">
        <v>44</v>
      </c>
      <c r="L23" s="6" t="s">
        <v>45</v>
      </c>
      <c r="M23" s="6" t="s">
        <v>13</v>
      </c>
      <c r="N23" s="8" t="s">
        <v>46</v>
      </c>
      <c r="O23" s="52"/>
      <c r="P23" s="3"/>
      <c r="Q23" s="3"/>
      <c r="R23" s="3"/>
      <c r="S23" s="3"/>
      <c r="T23" s="3"/>
      <c r="U23" s="3"/>
      <c r="V23" s="3"/>
      <c r="W23" s="3"/>
      <c r="X23" s="3"/>
      <c r="Y23" s="2"/>
      <c r="Z23" s="2"/>
      <c r="AA23" s="2"/>
      <c r="AB23" s="2"/>
      <c r="AC23" s="3"/>
      <c r="AD23" s="3"/>
      <c r="AE23" s="3"/>
      <c r="AF23" s="3"/>
      <c r="AG23" s="3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5.75" customHeight="1">
      <c r="A24" s="2"/>
      <c r="B24" s="53"/>
      <c r="C24" s="6" t="s">
        <v>59</v>
      </c>
      <c r="D24" s="54">
        <f t="shared" ref="D24:E24" si="6">(D20/D15)^(1/5)-1</f>
        <v>0.18006027421015713</v>
      </c>
      <c r="E24" s="54">
        <f t="shared" si="6"/>
        <v>0.19393287991192931</v>
      </c>
      <c r="F24" s="54">
        <f>(F19/F14)^(1/5)-1</f>
        <v>0.25246434697354814</v>
      </c>
      <c r="G24" s="54">
        <f>(G19/G14)^(1/2)-1</f>
        <v>0.23994325813225115</v>
      </c>
      <c r="H24" s="54">
        <f>MEDIAN(H15:H20)</f>
        <v>0.24993552736926383</v>
      </c>
      <c r="I24" s="54">
        <f t="shared" ref="I24:J24" si="7">(I20/I18)^(1/2)-1</f>
        <v>1.6816060926159637</v>
      </c>
      <c r="J24" s="54">
        <f t="shared" si="7"/>
        <v>0.13933178796912493</v>
      </c>
      <c r="K24" s="55">
        <f t="shared" ref="K24:L24" si="8">AVERAGE(K18:K20)</f>
        <v>17.591152231606252</v>
      </c>
      <c r="L24" s="55">
        <f t="shared" si="8"/>
        <v>4.6875688152616108</v>
      </c>
      <c r="M24" s="56">
        <f t="shared" ref="M24:N24" si="9">(M20/M15)^(1/5)-1</f>
        <v>6.8565768591237086E-2</v>
      </c>
      <c r="N24" s="56">
        <f t="shared" si="9"/>
        <v>0.1845223395918032</v>
      </c>
      <c r="O24" s="3"/>
      <c r="P24" s="3"/>
      <c r="Q24" s="32"/>
      <c r="R24" s="3"/>
      <c r="S24" s="3"/>
      <c r="T24" s="3"/>
      <c r="U24" s="3"/>
      <c r="V24" s="3"/>
      <c r="W24" s="3"/>
      <c r="X24" s="3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5.75" customHeight="1">
      <c r="A25" s="2"/>
      <c r="B25" s="53"/>
      <c r="C25" s="6" t="s">
        <v>60</v>
      </c>
      <c r="D25" s="54">
        <f t="shared" ref="D25:G25" si="10">(D20/D19)-1</f>
        <v>-4.9192826456617711E-3</v>
      </c>
      <c r="E25" s="54">
        <f t="shared" si="10"/>
        <v>0.12321436096245408</v>
      </c>
      <c r="F25" s="54">
        <f t="shared" si="10"/>
        <v>3.9727582292849117E-2</v>
      </c>
      <c r="G25" s="54">
        <f t="shared" si="10"/>
        <v>3.8135593220339103E-2</v>
      </c>
      <c r="H25" s="54">
        <f>H20</f>
        <v>0.24</v>
      </c>
      <c r="I25" s="54">
        <f t="shared" ref="I25:J25" si="11">(I20/I19)-1</f>
        <v>4.1752021563342314</v>
      </c>
      <c r="J25" s="54">
        <f t="shared" si="11"/>
        <v>0.39896373056994805</v>
      </c>
      <c r="K25" s="55">
        <f t="shared" ref="K25:L25" si="12">K20</f>
        <v>39.183673469387749</v>
      </c>
      <c r="L25" s="55">
        <f t="shared" si="12"/>
        <v>5.5102040816326525</v>
      </c>
      <c r="M25" s="54">
        <f t="shared" ref="M25:N25" si="13">(M20/M19)-1</f>
        <v>0</v>
      </c>
      <c r="N25" s="54">
        <f t="shared" si="13"/>
        <v>0.11447177556248267</v>
      </c>
      <c r="O25" s="3"/>
      <c r="P25" s="3"/>
      <c r="Q25" s="32"/>
      <c r="R25" s="3"/>
      <c r="S25" s="3"/>
      <c r="T25" s="3"/>
      <c r="U25" s="3"/>
      <c r="V25" s="3"/>
      <c r="W25" s="3"/>
      <c r="X25" s="3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5.75" customHeight="1">
      <c r="A26" s="2"/>
      <c r="B26" s="31"/>
      <c r="C26" s="31"/>
      <c r="D26" s="31"/>
      <c r="E26" s="31"/>
      <c r="F26" s="31"/>
      <c r="G26" s="31"/>
      <c r="H26" s="31"/>
      <c r="I26" s="3"/>
      <c r="J26" s="31"/>
      <c r="K26" s="31"/>
      <c r="L26" s="31"/>
      <c r="M26" s="31"/>
      <c r="N26" s="31"/>
      <c r="O26" s="31"/>
      <c r="P26" s="53"/>
      <c r="Q26" s="6" t="s">
        <v>61</v>
      </c>
      <c r="R26" s="6" t="s">
        <v>62</v>
      </c>
      <c r="S26" s="6" t="s">
        <v>63</v>
      </c>
      <c r="T26" s="57" t="s">
        <v>58</v>
      </c>
      <c r="U26" s="3"/>
      <c r="V26" s="6" t="s">
        <v>64</v>
      </c>
      <c r="W26" s="6" t="s">
        <v>64</v>
      </c>
      <c r="X26" s="6" t="s">
        <v>64</v>
      </c>
      <c r="Y26" s="57" t="s">
        <v>58</v>
      </c>
      <c r="Z26" s="2"/>
      <c r="AA26" s="8" t="s">
        <v>65</v>
      </c>
      <c r="AB26" s="6" t="s">
        <v>66</v>
      </c>
      <c r="AC26" s="6" t="s">
        <v>67</v>
      </c>
      <c r="AD26" s="57" t="s">
        <v>58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5.75" customHeight="1">
      <c r="A27" s="42"/>
      <c r="B27" s="6" t="s">
        <v>68</v>
      </c>
      <c r="C27" s="6" t="s">
        <v>69</v>
      </c>
      <c r="D27" s="6" t="s">
        <v>8</v>
      </c>
      <c r="E27" s="6" t="s">
        <v>39</v>
      </c>
      <c r="F27" s="6" t="s">
        <v>40</v>
      </c>
      <c r="G27" s="6" t="s">
        <v>11</v>
      </c>
      <c r="H27" s="6" t="s">
        <v>41</v>
      </c>
      <c r="I27" s="53"/>
      <c r="J27" s="6" t="s">
        <v>70</v>
      </c>
      <c r="K27" s="6" t="s">
        <v>71</v>
      </c>
      <c r="L27" s="6" t="s">
        <v>72</v>
      </c>
      <c r="M27" s="6" t="s">
        <v>73</v>
      </c>
      <c r="N27" s="6" t="s">
        <v>74</v>
      </c>
      <c r="O27" s="6" t="s">
        <v>75</v>
      </c>
      <c r="P27" s="53"/>
      <c r="Q27" s="9" t="s">
        <v>8</v>
      </c>
      <c r="R27" s="58">
        <v>464641</v>
      </c>
      <c r="S27" s="58">
        <v>466148</v>
      </c>
      <c r="T27" s="59">
        <f t="shared" ref="T27:T32" si="14">(R27/S27)^(1/1)-1</f>
        <v>-3.2328788281833498E-3</v>
      </c>
      <c r="U27" s="3"/>
      <c r="V27" s="9" t="s">
        <v>8</v>
      </c>
      <c r="W27" s="58">
        <v>464641</v>
      </c>
      <c r="X27" s="58">
        <v>466148</v>
      </c>
      <c r="Y27" s="59">
        <f t="shared" ref="Y27:Y32" si="15">(W27/X27)^(1/1)-1</f>
        <v>-3.2328788281833498E-3</v>
      </c>
      <c r="Z27" s="2"/>
      <c r="AA27" s="60" t="s">
        <v>8</v>
      </c>
      <c r="AB27" s="58"/>
      <c r="AC27" s="58"/>
      <c r="AD27" s="59" t="e">
        <f t="shared" ref="AD27:AD32" si="16">(AB27/AC27)^(1/1)-1</f>
        <v>#DIV/0!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4.4">
      <c r="A28" s="2"/>
      <c r="B28" s="53"/>
      <c r="C28" s="61" t="s">
        <v>76</v>
      </c>
      <c r="D28" s="54">
        <v>0.12</v>
      </c>
      <c r="E28" s="54">
        <v>0.15</v>
      </c>
      <c r="F28" s="54">
        <v>0.15</v>
      </c>
      <c r="G28" s="54">
        <v>0.15</v>
      </c>
      <c r="H28" s="62">
        <v>0.25</v>
      </c>
      <c r="I28" s="53"/>
      <c r="J28" s="35" t="s">
        <v>9</v>
      </c>
      <c r="K28" s="63">
        <v>0.19</v>
      </c>
      <c r="L28" s="63">
        <v>0.18</v>
      </c>
      <c r="M28" s="63">
        <v>0.14000000000000001</v>
      </c>
      <c r="N28" s="63">
        <v>0.12</v>
      </c>
      <c r="O28" s="63">
        <v>0.12</v>
      </c>
      <c r="P28" s="53"/>
      <c r="Q28" s="9" t="s">
        <v>9</v>
      </c>
      <c r="R28" s="58">
        <v>26655</v>
      </c>
      <c r="S28" s="58">
        <v>23721</v>
      </c>
      <c r="T28" s="64">
        <f t="shared" si="14"/>
        <v>0.12368787150626037</v>
      </c>
      <c r="U28" s="65"/>
      <c r="V28" s="9" t="s">
        <v>9</v>
      </c>
      <c r="W28" s="58">
        <v>6473</v>
      </c>
      <c r="X28" s="58">
        <v>6193</v>
      </c>
      <c r="Y28" s="66">
        <f t="shared" si="15"/>
        <v>4.5212336508961837E-2</v>
      </c>
      <c r="Z28" s="2"/>
      <c r="AA28" s="60" t="s">
        <v>9</v>
      </c>
      <c r="AB28" s="58">
        <v>20187</v>
      </c>
      <c r="AC28" s="58">
        <v>17655</v>
      </c>
      <c r="AD28" s="64">
        <f t="shared" si="16"/>
        <v>0.14341546304163133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4.4">
      <c r="A29" s="2"/>
      <c r="B29" s="53"/>
      <c r="C29" s="61" t="s">
        <v>77</v>
      </c>
      <c r="D29" s="54">
        <v>0.05</v>
      </c>
      <c r="E29" s="54">
        <v>0.12</v>
      </c>
      <c r="F29" s="54">
        <f>(F32/F20)-1</f>
        <v>0.16397379912663768</v>
      </c>
      <c r="G29" s="54">
        <v>0.16</v>
      </c>
      <c r="H29" s="62">
        <v>0.25</v>
      </c>
      <c r="I29" s="53"/>
      <c r="J29" s="35" t="s">
        <v>10</v>
      </c>
      <c r="K29" s="63">
        <v>-0.06</v>
      </c>
      <c r="L29" s="63">
        <v>-0.08</v>
      </c>
      <c r="M29" s="63">
        <v>-0.06</v>
      </c>
      <c r="N29" s="63">
        <v>0.04</v>
      </c>
      <c r="O29" s="63">
        <v>0.16</v>
      </c>
      <c r="P29" s="53"/>
      <c r="Q29" s="9" t="s">
        <v>78</v>
      </c>
      <c r="R29" s="58">
        <v>20243</v>
      </c>
      <c r="S29" s="58">
        <v>17595</v>
      </c>
      <c r="T29" s="67">
        <f t="shared" si="14"/>
        <v>0.15049730036942321</v>
      </c>
      <c r="U29" s="3"/>
      <c r="V29" s="9" t="s">
        <v>78</v>
      </c>
      <c r="W29" s="58">
        <v>4760</v>
      </c>
      <c r="X29" s="58">
        <v>4945</v>
      </c>
      <c r="Y29" s="68">
        <f t="shared" si="15"/>
        <v>-3.7411526794742134E-2</v>
      </c>
      <c r="Z29" s="2"/>
      <c r="AA29" s="60" t="s">
        <v>78</v>
      </c>
      <c r="AB29" s="58">
        <v>15483</v>
      </c>
      <c r="AC29" s="58">
        <v>12650</v>
      </c>
      <c r="AD29" s="67">
        <f t="shared" si="16"/>
        <v>0.22395256916996042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4.4">
      <c r="A30" s="2"/>
      <c r="B30" s="3"/>
      <c r="C30" s="31"/>
      <c r="D30" s="31"/>
      <c r="E30" s="31"/>
      <c r="F30" s="31"/>
      <c r="G30" s="31"/>
      <c r="H30" s="31"/>
      <c r="I30" s="53"/>
      <c r="J30" s="35" t="s">
        <v>24</v>
      </c>
      <c r="K30" s="69">
        <v>0.23300000000000001</v>
      </c>
      <c r="L30" s="69">
        <v>0.23100000000000001</v>
      </c>
      <c r="M30" s="69">
        <v>0.23300000000000001</v>
      </c>
      <c r="N30" s="69">
        <v>0.24099999999999999</v>
      </c>
      <c r="O30" s="69">
        <v>0.25</v>
      </c>
      <c r="P30" s="53"/>
      <c r="Q30" s="9" t="s">
        <v>79</v>
      </c>
      <c r="R30" s="58">
        <v>20101</v>
      </c>
      <c r="S30" s="58">
        <v>17447</v>
      </c>
      <c r="T30" s="59">
        <f t="shared" si="14"/>
        <v>0.1521178426090446</v>
      </c>
      <c r="U30" s="3"/>
      <c r="V30" s="9" t="s">
        <v>79</v>
      </c>
      <c r="W30" s="58">
        <v>4724</v>
      </c>
      <c r="X30" s="58">
        <v>4894</v>
      </c>
      <c r="Y30" s="70">
        <f t="shared" si="15"/>
        <v>-3.4736411932979161E-2</v>
      </c>
      <c r="Z30" s="2"/>
      <c r="AA30" s="60" t="s">
        <v>79</v>
      </c>
      <c r="AB30" s="58">
        <v>15367</v>
      </c>
      <c r="AC30" s="58">
        <v>12552</v>
      </c>
      <c r="AD30" s="59">
        <f t="shared" si="16"/>
        <v>0.22426704907584449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4.4">
      <c r="A31" s="2"/>
      <c r="B31" s="53"/>
      <c r="C31" s="6" t="s">
        <v>38</v>
      </c>
      <c r="D31" s="6" t="s">
        <v>8</v>
      </c>
      <c r="E31" s="6" t="s">
        <v>39</v>
      </c>
      <c r="F31" s="6" t="s">
        <v>40</v>
      </c>
      <c r="G31" s="6" t="s">
        <v>11</v>
      </c>
      <c r="H31" s="6" t="s">
        <v>80</v>
      </c>
      <c r="I31" s="17"/>
      <c r="J31" s="31"/>
      <c r="K31" s="31"/>
      <c r="L31" s="31"/>
      <c r="M31" s="31"/>
      <c r="N31" s="31"/>
      <c r="O31" s="31"/>
      <c r="P31" s="53"/>
      <c r="Q31" s="35" t="s">
        <v>10</v>
      </c>
      <c r="R31" s="39">
        <v>6412</v>
      </c>
      <c r="S31" s="39">
        <v>6167</v>
      </c>
      <c r="T31" s="71">
        <f t="shared" si="14"/>
        <v>3.9727582292849117E-2</v>
      </c>
      <c r="U31" s="65"/>
      <c r="V31" s="35" t="s">
        <v>10</v>
      </c>
      <c r="W31" s="39">
        <v>1717</v>
      </c>
      <c r="X31" s="39">
        <v>1285</v>
      </c>
      <c r="Y31" s="72">
        <f t="shared" si="15"/>
        <v>0.33618677042801548</v>
      </c>
      <c r="Z31" s="2"/>
      <c r="AA31" s="73" t="s">
        <v>10</v>
      </c>
      <c r="AB31" s="39">
        <v>4710</v>
      </c>
      <c r="AC31" s="39">
        <v>5009</v>
      </c>
      <c r="AD31" s="71">
        <f t="shared" si="16"/>
        <v>-5.9692553403873028E-2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4.4">
      <c r="A32" s="2"/>
      <c r="B32" s="53"/>
      <c r="C32" s="35" t="s">
        <v>81</v>
      </c>
      <c r="D32" s="74">
        <f t="shared" ref="D32:E32" si="17">FV(D29,1,0,-D20,0)</f>
        <v>487873.05000000005</v>
      </c>
      <c r="E32" s="74">
        <f t="shared" si="17"/>
        <v>29853.600000000002</v>
      </c>
      <c r="F32" s="74">
        <f>E32*H29</f>
        <v>7463.4000000000005</v>
      </c>
      <c r="G32" s="75">
        <f>FV(G29,1,0,-G20,0)</f>
        <v>5.6840000000000002</v>
      </c>
      <c r="H32" s="74">
        <f t="shared" ref="H32:H34" si="18">G32*15</f>
        <v>85.26</v>
      </c>
      <c r="I32" s="53"/>
      <c r="J32" s="76" t="s">
        <v>11</v>
      </c>
      <c r="K32" s="76" t="s">
        <v>82</v>
      </c>
      <c r="L32" s="76" t="s">
        <v>83</v>
      </c>
      <c r="M32" s="76" t="s">
        <v>84</v>
      </c>
      <c r="N32" s="76" t="s">
        <v>85</v>
      </c>
      <c r="O32" s="76" t="s">
        <v>86</v>
      </c>
      <c r="P32" s="53"/>
      <c r="Q32" s="77" t="s">
        <v>11</v>
      </c>
      <c r="R32" s="78">
        <v>4.91</v>
      </c>
      <c r="S32" s="78">
        <v>4.72</v>
      </c>
      <c r="T32" s="79">
        <f t="shared" si="14"/>
        <v>4.0254237288135597E-2</v>
      </c>
      <c r="U32" s="3"/>
      <c r="V32" s="80" t="s">
        <v>11</v>
      </c>
      <c r="W32" s="81">
        <v>1.32</v>
      </c>
      <c r="X32" s="81">
        <v>1.02</v>
      </c>
      <c r="Y32" s="82">
        <f t="shared" si="15"/>
        <v>0.29411764705882359</v>
      </c>
      <c r="Z32" s="2"/>
      <c r="AA32" s="80" t="s">
        <v>11</v>
      </c>
      <c r="AB32" s="78">
        <v>3.6</v>
      </c>
      <c r="AC32" s="78">
        <v>3.83</v>
      </c>
      <c r="AD32" s="79">
        <f t="shared" si="16"/>
        <v>-6.0052219321148792E-2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4.4">
      <c r="A33" s="2"/>
      <c r="B33" s="53"/>
      <c r="C33" s="35" t="s">
        <v>87</v>
      </c>
      <c r="D33" s="74">
        <f t="shared" ref="D33:E33" si="19">FV(D28,5,0,-D32,0)</f>
        <v>859799.01212491805</v>
      </c>
      <c r="E33" s="74">
        <f t="shared" si="19"/>
        <v>60046.252932749987</v>
      </c>
      <c r="F33" s="74">
        <f>E33*H28</f>
        <v>15011.563233187497</v>
      </c>
      <c r="G33" s="74">
        <f>(F33*G32)/F32</f>
        <v>11.432554253749997</v>
      </c>
      <c r="H33" s="74">
        <f t="shared" si="18"/>
        <v>171.48831380624995</v>
      </c>
      <c r="I33" s="53"/>
      <c r="J33" s="83" t="s">
        <v>11</v>
      </c>
      <c r="K33" s="16">
        <v>1.2</v>
      </c>
      <c r="L33" s="16">
        <v>1.2</v>
      </c>
      <c r="M33" s="16">
        <v>1.23</v>
      </c>
      <c r="N33" s="16">
        <v>1.32</v>
      </c>
      <c r="O33" s="81">
        <f>SUM(K33:N33)</f>
        <v>4.95</v>
      </c>
      <c r="P33" s="84"/>
      <c r="Q33" s="80" t="s">
        <v>24</v>
      </c>
      <c r="R33" s="85">
        <f t="shared" ref="R33:S33" si="20">R31/R28</f>
        <v>0.24055524291877697</v>
      </c>
      <c r="S33" s="85">
        <f t="shared" si="20"/>
        <v>0.25998060790017286</v>
      </c>
      <c r="T33" s="86">
        <f>R33-S33</f>
        <v>-1.9425364981395882E-2</v>
      </c>
      <c r="U33" s="65"/>
      <c r="V33" s="80" t="s">
        <v>24</v>
      </c>
      <c r="W33" s="85">
        <f t="shared" ref="W33:X33" si="21">W31/W28</f>
        <v>0.26525567742932182</v>
      </c>
      <c r="X33" s="85">
        <f t="shared" si="21"/>
        <v>0.20749233005005652</v>
      </c>
      <c r="Y33" s="87">
        <f>W33-X33</f>
        <v>5.7763347379265306E-2</v>
      </c>
      <c r="Z33" s="2"/>
      <c r="AA33" s="80" t="s">
        <v>24</v>
      </c>
      <c r="AB33" s="85">
        <f t="shared" ref="AB33:AC33" si="22">AB31/AB28</f>
        <v>0.23331847228414326</v>
      </c>
      <c r="AC33" s="85">
        <f t="shared" si="22"/>
        <v>0.28371566128575476</v>
      </c>
      <c r="AD33" s="86">
        <f>AB33-AC33</f>
        <v>-5.0397189001611498E-2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4.4">
      <c r="A34" s="2"/>
      <c r="B34" s="53"/>
      <c r="C34" s="35" t="s">
        <v>88</v>
      </c>
      <c r="D34" s="74">
        <f>FV(10%,5,0,-D33,0)</f>
        <v>1384714.9070173022</v>
      </c>
      <c r="E34" s="74">
        <f t="shared" ref="E34:G34" si="23">FV(15%,5,0,-E33,0)</f>
        <v>120774.4624187296</v>
      </c>
      <c r="F34" s="74">
        <f t="shared" si="23"/>
        <v>30193.6156046824</v>
      </c>
      <c r="G34" s="74">
        <f t="shared" si="23"/>
        <v>22.994950169763747</v>
      </c>
      <c r="H34" s="74">
        <f t="shared" si="18"/>
        <v>344.92425254645622</v>
      </c>
      <c r="I34" s="3"/>
      <c r="J34" s="3"/>
      <c r="K34" s="17"/>
      <c r="L34" s="88"/>
      <c r="M34" s="88"/>
      <c r="N34" s="31"/>
      <c r="O34" s="31"/>
      <c r="P34" s="3"/>
      <c r="Q34" s="89"/>
      <c r="R34" s="90"/>
      <c r="S34" s="90"/>
      <c r="T34" s="91"/>
      <c r="U34" s="3"/>
      <c r="V34" s="3"/>
      <c r="W34" s="92"/>
      <c r="X34" s="93"/>
      <c r="Y34" s="93"/>
      <c r="Z34" s="94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4.4">
      <c r="A35" s="2"/>
      <c r="B35" s="3"/>
      <c r="C35" s="3"/>
      <c r="D35" s="3"/>
      <c r="E35" s="32"/>
      <c r="F35" s="32"/>
      <c r="G35" s="32"/>
      <c r="H35" s="32"/>
      <c r="I35" s="3"/>
      <c r="J35" s="3"/>
      <c r="K35" s="53"/>
      <c r="L35" s="95" t="s">
        <v>86</v>
      </c>
      <c r="M35" s="95" t="s">
        <v>89</v>
      </c>
      <c r="N35" s="95" t="s">
        <v>90</v>
      </c>
      <c r="O35" s="95" t="s">
        <v>36</v>
      </c>
      <c r="P35" s="3"/>
      <c r="Q35" s="31"/>
      <c r="R35" s="31"/>
      <c r="S35" s="31"/>
      <c r="T35" s="31"/>
      <c r="U35" s="31"/>
      <c r="V35" s="3"/>
      <c r="W35" s="31"/>
      <c r="X35" s="31"/>
      <c r="Y35" s="31"/>
      <c r="Z35" s="31"/>
      <c r="AA35" s="31"/>
      <c r="AB35" s="3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4.4">
      <c r="A36" s="3"/>
      <c r="B36" s="3"/>
      <c r="C36" s="3"/>
      <c r="D36" s="3"/>
      <c r="E36" s="17"/>
      <c r="F36" s="32"/>
      <c r="G36" s="32"/>
      <c r="H36" s="32"/>
      <c r="I36" s="3"/>
      <c r="J36" s="3"/>
      <c r="K36" s="53"/>
      <c r="L36" s="96">
        <v>4.8499999999999996</v>
      </c>
      <c r="M36" s="97">
        <v>4.95</v>
      </c>
      <c r="N36" s="98">
        <v>5.7</v>
      </c>
      <c r="O36" s="174">
        <f>M38/4</f>
        <v>7.1717171717171713</v>
      </c>
      <c r="P36" s="53"/>
      <c r="Q36" s="6" t="s">
        <v>91</v>
      </c>
      <c r="R36" s="6" t="s">
        <v>62</v>
      </c>
      <c r="S36" s="6" t="s">
        <v>63</v>
      </c>
      <c r="T36" s="57" t="s">
        <v>92</v>
      </c>
      <c r="U36" s="57" t="s">
        <v>58</v>
      </c>
      <c r="V36" s="53"/>
      <c r="W36" s="6" t="s">
        <v>93</v>
      </c>
      <c r="X36" s="6" t="s">
        <v>62</v>
      </c>
      <c r="Y36" s="6" t="s">
        <v>63</v>
      </c>
      <c r="Z36" s="57" t="s">
        <v>92</v>
      </c>
      <c r="AA36" s="57" t="s">
        <v>58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4.4">
      <c r="A37" s="2"/>
      <c r="B37" s="3"/>
      <c r="C37" s="3"/>
      <c r="D37" s="3"/>
      <c r="E37" s="17"/>
      <c r="F37" s="32"/>
      <c r="G37" s="32"/>
      <c r="H37" s="32"/>
      <c r="I37" s="3"/>
      <c r="J37" s="32"/>
      <c r="K37" s="99"/>
      <c r="L37" s="95" t="s">
        <v>94</v>
      </c>
      <c r="M37" s="95" t="s">
        <v>95</v>
      </c>
      <c r="N37" s="95" t="s">
        <v>96</v>
      </c>
      <c r="O37" s="175"/>
      <c r="P37" s="53"/>
      <c r="Q37" s="9" t="s">
        <v>97</v>
      </c>
      <c r="R37" s="58">
        <v>8823</v>
      </c>
      <c r="S37" s="58">
        <v>7547</v>
      </c>
      <c r="T37" s="71">
        <f t="shared" ref="T37:T38" si="24">R37/$R$40</f>
        <v>0.3311564013061592</v>
      </c>
      <c r="U37" s="59">
        <f t="shared" ref="U37:U38" si="25">(R37/S37)^(1/1)-1</f>
        <v>0.1690738041605937</v>
      </c>
      <c r="V37" s="53"/>
      <c r="W37" s="9" t="s">
        <v>79</v>
      </c>
      <c r="X37" s="58">
        <v>20101</v>
      </c>
      <c r="Y37" s="58">
        <v>17447</v>
      </c>
      <c r="Z37" s="71">
        <f t="shared" ref="Z37:Z41" si="26">X37/$X$43</f>
        <v>0.99303428514968872</v>
      </c>
      <c r="AA37" s="100">
        <f t="shared" ref="AA37:AA41" si="27">X37/Y37-1</f>
        <v>0.1521178426090446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4.4">
      <c r="A38" s="2"/>
      <c r="B38" s="3"/>
      <c r="C38" s="3"/>
      <c r="D38" s="3"/>
      <c r="E38" s="17"/>
      <c r="F38" s="32"/>
      <c r="G38" s="32"/>
      <c r="H38" s="32"/>
      <c r="I38" s="3"/>
      <c r="J38" s="3"/>
      <c r="K38" s="53"/>
      <c r="L38" s="101">
        <f>31.75/L36</f>
        <v>6.5463917525773203</v>
      </c>
      <c r="M38" s="102">
        <f>C7/M36</f>
        <v>28.686868686868685</v>
      </c>
      <c r="N38" s="103">
        <f ca="1">C6/N36</f>
        <v>30.675438596491226</v>
      </c>
      <c r="O38" s="176"/>
      <c r="P38" s="53"/>
      <c r="Q38" s="35" t="s">
        <v>98</v>
      </c>
      <c r="R38" s="39">
        <v>17820</v>
      </c>
      <c r="S38" s="39">
        <v>16174</v>
      </c>
      <c r="T38" s="71">
        <f t="shared" si="24"/>
        <v>0.6688435986938408</v>
      </c>
      <c r="U38" s="104">
        <f t="shared" si="25"/>
        <v>0.10176827006306421</v>
      </c>
      <c r="V38" s="53"/>
      <c r="W38" s="35" t="s">
        <v>99</v>
      </c>
      <c r="X38" s="39">
        <v>11</v>
      </c>
      <c r="Y38" s="39">
        <v>13</v>
      </c>
      <c r="Z38" s="105">
        <f t="shared" si="26"/>
        <v>5.4342456279023817E-4</v>
      </c>
      <c r="AA38" s="106">
        <f t="shared" si="27"/>
        <v>-0.15384615384615385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4.4">
      <c r="A39" s="2"/>
      <c r="B39" s="3"/>
      <c r="C39" s="3"/>
      <c r="D39" s="3"/>
      <c r="E39" s="32"/>
      <c r="F39" s="32"/>
      <c r="G39" s="32"/>
      <c r="H39" s="32"/>
      <c r="I39" s="3"/>
      <c r="J39" s="3"/>
      <c r="K39" s="3"/>
      <c r="L39" s="3"/>
      <c r="M39" s="3"/>
      <c r="N39" s="3"/>
      <c r="O39" s="3"/>
      <c r="P39" s="53"/>
      <c r="Q39" s="9"/>
      <c r="R39" s="39"/>
      <c r="S39" s="39"/>
      <c r="T39" s="107"/>
      <c r="U39" s="108"/>
      <c r="V39" s="53"/>
      <c r="W39" s="9" t="s">
        <v>100</v>
      </c>
      <c r="X39" s="58">
        <v>-4</v>
      </c>
      <c r="Y39" s="58">
        <v>-3</v>
      </c>
      <c r="Z39" s="109">
        <f t="shared" si="26"/>
        <v>-1.9760893192372295E-4</v>
      </c>
      <c r="AA39" s="110">
        <f t="shared" si="27"/>
        <v>0.33333333333333326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4.4">
      <c r="A40" s="2"/>
      <c r="B40" s="3"/>
      <c r="C40" s="3"/>
      <c r="D40" s="3"/>
      <c r="E40" s="32"/>
      <c r="F40" s="32"/>
      <c r="G40" s="32"/>
      <c r="H40" s="32"/>
      <c r="I40" s="3"/>
      <c r="J40" s="111" t="s">
        <v>101</v>
      </c>
      <c r="K40" s="111" t="s">
        <v>102</v>
      </c>
      <c r="L40" s="111" t="s">
        <v>103</v>
      </c>
      <c r="M40" s="3"/>
      <c r="N40" s="3"/>
      <c r="O40" s="3"/>
      <c r="P40" s="53"/>
      <c r="Q40" s="112" t="s">
        <v>104</v>
      </c>
      <c r="R40" s="113">
        <f t="shared" ref="R40:S40" si="28">SUM(R37:R39)</f>
        <v>26643</v>
      </c>
      <c r="S40" s="113">
        <f t="shared" si="28"/>
        <v>23721</v>
      </c>
      <c r="T40" s="71">
        <f>R40/$R$40</f>
        <v>1</v>
      </c>
      <c r="U40" s="114">
        <f>(R40/S40)-1</f>
        <v>0.12318199064120394</v>
      </c>
      <c r="V40" s="53"/>
      <c r="W40" s="77" t="s">
        <v>105</v>
      </c>
      <c r="X40" s="36">
        <v>125</v>
      </c>
      <c r="Y40" s="36">
        <v>124</v>
      </c>
      <c r="Z40" s="115">
        <f t="shared" si="26"/>
        <v>6.1752791226163421E-3</v>
      </c>
      <c r="AA40" s="71">
        <f t="shared" si="27"/>
        <v>8.0645161290322509E-3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4.4">
      <c r="A41" s="2"/>
      <c r="B41" s="3"/>
      <c r="C41" s="3"/>
      <c r="D41" s="3"/>
      <c r="E41" s="32"/>
      <c r="F41" s="32"/>
      <c r="G41" s="32"/>
      <c r="H41" s="32"/>
      <c r="I41" s="3"/>
      <c r="J41" s="116" t="s">
        <v>106</v>
      </c>
      <c r="K41" s="117">
        <v>483.3</v>
      </c>
      <c r="L41" s="18">
        <v>10500</v>
      </c>
      <c r="M41" s="3"/>
      <c r="N41" s="3"/>
      <c r="O41" s="3"/>
      <c r="P41" s="53"/>
      <c r="Q41" s="9"/>
      <c r="R41" s="39"/>
      <c r="S41" s="39"/>
      <c r="T41" s="118"/>
      <c r="U41" s="119"/>
      <c r="V41" s="53"/>
      <c r="W41" s="77" t="s">
        <v>107</v>
      </c>
      <c r="X41" s="58">
        <v>9</v>
      </c>
      <c r="Y41" s="58">
        <v>14</v>
      </c>
      <c r="Z41" s="120">
        <f t="shared" si="26"/>
        <v>4.4462009682837665E-4</v>
      </c>
      <c r="AA41" s="121">
        <f t="shared" si="27"/>
        <v>-0.3571428571428571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4.4">
      <c r="A42" s="2"/>
      <c r="B42" s="2"/>
      <c r="C42" s="2"/>
      <c r="D42" s="2"/>
      <c r="E42" s="2"/>
      <c r="F42" s="2"/>
      <c r="G42" s="2"/>
      <c r="H42" s="2"/>
      <c r="I42" s="2"/>
      <c r="J42" s="116" t="s">
        <v>108</v>
      </c>
      <c r="K42" s="117">
        <v>765.1</v>
      </c>
      <c r="L42" s="18">
        <v>25700</v>
      </c>
      <c r="M42" s="2"/>
      <c r="N42" s="2"/>
      <c r="O42" s="2"/>
      <c r="T42" s="122"/>
      <c r="U42" s="122"/>
      <c r="V42" s="42"/>
      <c r="W42" s="77"/>
      <c r="X42" s="36"/>
      <c r="Y42" s="36"/>
      <c r="Z42" s="63"/>
      <c r="AA42" s="123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4.4">
      <c r="A43" s="2"/>
      <c r="B43" s="2"/>
      <c r="C43" s="2"/>
      <c r="D43" s="2"/>
      <c r="E43" s="2"/>
      <c r="F43" s="2"/>
      <c r="G43" s="2"/>
      <c r="H43" s="2"/>
      <c r="I43" s="2"/>
      <c r="J43" s="116" t="s">
        <v>109</v>
      </c>
      <c r="K43" s="117">
        <v>822.4</v>
      </c>
      <c r="L43" s="18">
        <v>28200</v>
      </c>
      <c r="M43" s="2"/>
      <c r="N43" s="2"/>
      <c r="O43" s="2"/>
      <c r="T43" s="122"/>
      <c r="U43" s="122"/>
      <c r="V43" s="42"/>
      <c r="W43" s="124" t="s">
        <v>104</v>
      </c>
      <c r="X43" s="125">
        <f t="shared" ref="X43:Y43" si="29">SUM(X37:X42)</f>
        <v>20242</v>
      </c>
      <c r="Y43" s="125">
        <f t="shared" si="29"/>
        <v>17595</v>
      </c>
      <c r="Z43" s="126">
        <f>X43/$X$43</f>
        <v>1</v>
      </c>
      <c r="AA43" s="127">
        <f>X43/Y43-1</f>
        <v>0.15044046604148908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4.4">
      <c r="A44" s="2"/>
      <c r="B44" s="2"/>
      <c r="C44" s="2"/>
      <c r="D44" s="2"/>
      <c r="E44" s="2"/>
      <c r="F44" s="2"/>
      <c r="G44" s="2"/>
      <c r="H44" s="2"/>
      <c r="I44" s="2"/>
      <c r="J44" s="116" t="s">
        <v>110</v>
      </c>
      <c r="K44" s="117">
        <v>842.1</v>
      </c>
      <c r="L44" s="18">
        <v>31300</v>
      </c>
      <c r="M44" s="2"/>
      <c r="N44" s="2"/>
      <c r="O44" s="2"/>
      <c r="T44" s="122"/>
      <c r="U44" s="122"/>
      <c r="V44" s="4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4.4">
      <c r="A45" s="2"/>
      <c r="B45" s="2"/>
      <c r="C45" s="2"/>
      <c r="D45" s="128"/>
      <c r="E45" s="2"/>
      <c r="F45" s="2"/>
      <c r="G45" s="2"/>
      <c r="H45" s="2"/>
      <c r="I45" s="2"/>
      <c r="J45" s="116" t="s">
        <v>111</v>
      </c>
      <c r="K45" s="117">
        <v>839.7</v>
      </c>
      <c r="L45" s="18">
        <v>36500</v>
      </c>
      <c r="M45" s="2"/>
      <c r="N45" s="2"/>
      <c r="O45" s="2"/>
      <c r="Q45" s="129"/>
      <c r="T45" s="122"/>
      <c r="U45" s="12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4.4">
      <c r="A46" s="2"/>
      <c r="B46" s="2"/>
      <c r="C46" s="2"/>
      <c r="D46" s="2"/>
      <c r="E46" s="2"/>
      <c r="F46" s="2"/>
      <c r="G46" s="2"/>
      <c r="H46" s="2"/>
      <c r="I46" s="2"/>
      <c r="J46" s="116" t="s">
        <v>112</v>
      </c>
      <c r="K46" s="117">
        <v>822.4</v>
      </c>
      <c r="L46" s="18">
        <v>42200</v>
      </c>
      <c r="M46" s="2"/>
      <c r="N46" s="2"/>
      <c r="O46" s="2"/>
      <c r="R46" s="50"/>
      <c r="S46" s="50"/>
      <c r="T46" s="122"/>
      <c r="U46" s="12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4.4">
      <c r="A47" s="2"/>
      <c r="B47" s="2"/>
      <c r="C47" s="2"/>
      <c r="D47" s="2"/>
      <c r="E47" s="2"/>
      <c r="F47" s="2"/>
      <c r="G47" s="2"/>
      <c r="H47" s="2"/>
      <c r="I47" s="2"/>
      <c r="J47" s="116" t="s">
        <v>113</v>
      </c>
      <c r="K47" s="117">
        <v>810.7</v>
      </c>
      <c r="L47" s="18">
        <v>44300</v>
      </c>
      <c r="M47" s="2"/>
      <c r="N47" s="2"/>
      <c r="O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4.4">
      <c r="A48" s="2"/>
      <c r="B48" s="2"/>
      <c r="C48" s="2"/>
      <c r="D48" s="130"/>
      <c r="E48" s="2"/>
      <c r="F48" s="2"/>
      <c r="G48" s="2"/>
      <c r="H48" s="2"/>
      <c r="I48" s="2"/>
      <c r="J48" s="116" t="s">
        <v>114</v>
      </c>
      <c r="K48" s="117">
        <v>811.6</v>
      </c>
      <c r="L48" s="18">
        <v>46300</v>
      </c>
      <c r="M48" s="2"/>
      <c r="N48" s="2"/>
      <c r="O48" s="2"/>
      <c r="P48" s="2"/>
      <c r="Q48" s="131"/>
      <c r="R48" s="132"/>
      <c r="S48" s="132"/>
      <c r="T48" s="133"/>
      <c r="U48" s="13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4.4">
      <c r="A49" s="2"/>
      <c r="B49" s="2"/>
      <c r="C49" s="2"/>
      <c r="D49" s="2"/>
      <c r="E49" s="2"/>
      <c r="F49" s="2"/>
      <c r="G49" s="2"/>
      <c r="H49" s="2"/>
      <c r="I49" s="2"/>
      <c r="J49" s="116" t="s">
        <v>115</v>
      </c>
      <c r="K49" s="117">
        <v>828.6</v>
      </c>
      <c r="L49" s="18">
        <v>48600</v>
      </c>
      <c r="M49" s="2"/>
      <c r="N49" s="2"/>
      <c r="O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4.4">
      <c r="A50" s="2"/>
      <c r="B50" s="2"/>
      <c r="C50" s="2"/>
      <c r="D50" s="128"/>
      <c r="E50" s="2"/>
      <c r="F50" s="2"/>
      <c r="G50" s="2"/>
      <c r="H50" s="2"/>
      <c r="I50" s="2"/>
      <c r="J50" s="116" t="s">
        <v>116</v>
      </c>
      <c r="K50" s="117">
        <v>843.9</v>
      </c>
      <c r="L50" s="18">
        <v>51100</v>
      </c>
      <c r="M50" s="2"/>
      <c r="N50" s="2"/>
      <c r="O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4.4">
      <c r="A51" s="2"/>
      <c r="B51" s="2"/>
      <c r="C51" s="2"/>
      <c r="D51" s="2"/>
      <c r="E51" s="2"/>
      <c r="F51" s="2"/>
      <c r="G51" s="2"/>
      <c r="H51" s="2"/>
      <c r="I51" s="2"/>
      <c r="J51" s="116" t="s">
        <v>117</v>
      </c>
      <c r="K51" s="117">
        <v>808.6</v>
      </c>
      <c r="L51" s="18">
        <v>50700</v>
      </c>
      <c r="M51" s="2"/>
      <c r="N51" s="2"/>
      <c r="O51" s="2"/>
      <c r="R51" s="122"/>
      <c r="S51" s="122"/>
      <c r="T51" s="12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4.4">
      <c r="A52" s="2"/>
      <c r="B52" s="2"/>
      <c r="C52" s="2"/>
      <c r="D52" s="2"/>
      <c r="E52" s="2"/>
      <c r="F52" s="2"/>
      <c r="G52" s="2"/>
      <c r="H52" s="2"/>
      <c r="I52" s="2"/>
      <c r="J52" s="116" t="s">
        <v>118</v>
      </c>
      <c r="K52" s="116"/>
      <c r="L52" s="116">
        <v>39214</v>
      </c>
      <c r="M52" s="2"/>
      <c r="N52" s="2"/>
      <c r="O52" s="2"/>
      <c r="R52" s="122"/>
      <c r="S52" s="51"/>
      <c r="T52" s="12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4.4">
      <c r="A53" s="2"/>
      <c r="B53" s="2"/>
      <c r="C53" s="2"/>
      <c r="D53" s="2"/>
      <c r="E53" s="2"/>
      <c r="F53" s="2"/>
      <c r="G53" s="2"/>
      <c r="H53" s="2"/>
      <c r="I53" s="2"/>
      <c r="J53" s="116" t="s">
        <v>119</v>
      </c>
      <c r="K53" s="116"/>
      <c r="L53" s="116">
        <v>63300</v>
      </c>
      <c r="M53" s="2"/>
      <c r="N53" s="2"/>
      <c r="O53" s="2"/>
      <c r="R53" s="122"/>
      <c r="S53" s="122"/>
      <c r="T53" s="12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4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R54" s="122"/>
      <c r="S54" s="122"/>
      <c r="T54" s="12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4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4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R56" s="122"/>
      <c r="S56" s="122"/>
      <c r="T56" s="12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4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4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4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4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4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4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4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4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4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4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4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4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4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4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4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4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4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4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4.4">
      <c r="A75" s="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4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4.4">
      <c r="A77" s="2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4.4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4.4">
      <c r="A79" s="2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4.4">
      <c r="A80" s="2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4.4">
      <c r="A81" s="2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4.4">
      <c r="A82" s="2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4.4">
      <c r="A83" s="2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4.4">
      <c r="A84" s="2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4.4">
      <c r="A85" s="2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4.4">
      <c r="A86" s="2"/>
      <c r="E86" s="3"/>
      <c r="F86" s="3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4.4">
      <c r="A87" s="2"/>
      <c r="E87" s="3"/>
      <c r="F87" s="3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4.4">
      <c r="A88" s="2"/>
      <c r="E88" s="3"/>
      <c r="F88" s="3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4.4">
      <c r="A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4.4">
      <c r="A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4.4">
      <c r="A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4.4">
      <c r="A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4.4">
      <c r="A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4.4">
      <c r="A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4.4">
      <c r="A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4.4">
      <c r="A96" s="2"/>
      <c r="B96" s="2"/>
      <c r="C96" s="2"/>
      <c r="D96" s="13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4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4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4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4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4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4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4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4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4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4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4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4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4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4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4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4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4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4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4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4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4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4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4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4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4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4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4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4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4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4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4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4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4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4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4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4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4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4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4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4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4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4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4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4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4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4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4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4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4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4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4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4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4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4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4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4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4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4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4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4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4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4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4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4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4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4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4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4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4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4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4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4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4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4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4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4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4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4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4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4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4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4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4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4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4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4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4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4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4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4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4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4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4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4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4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4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4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4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4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4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4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4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4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4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4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4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4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4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4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4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4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4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4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4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4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4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4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4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4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4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4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4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4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4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4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4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4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4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4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4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4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4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4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4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4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4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4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4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4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4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4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4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4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4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4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4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4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4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4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4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4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4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4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4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4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4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4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4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4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4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4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4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4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4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4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4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4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4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4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4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4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4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4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4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4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4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4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4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4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4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4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4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4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4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4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4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4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4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4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4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4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4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4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4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4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4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4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4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4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4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4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4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4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4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4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4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4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4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4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4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4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4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4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4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4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4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4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4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4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4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4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4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4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4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4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4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4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4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4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4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4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4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4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4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4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4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4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4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4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4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4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4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4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4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4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4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4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4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4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4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4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4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4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4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4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4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4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4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4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4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4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4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4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4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4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4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4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4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4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4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4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4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4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4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4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4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4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4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4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4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4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4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4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4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4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4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4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4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4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4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4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4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4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4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4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4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4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4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4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4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4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4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4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4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4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4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4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4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4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4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4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4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4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4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4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4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4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4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4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4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4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4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4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4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4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4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4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4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4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4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4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4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4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4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4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4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4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4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4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4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4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4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4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4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4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4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4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4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4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4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4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4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4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4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4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4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4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4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4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4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4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4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4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4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4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4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4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4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4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4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4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4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4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4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4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4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4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4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4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4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4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4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4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4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4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4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4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4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4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4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4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4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4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4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4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4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4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4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4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4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4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4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4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4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4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4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4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4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4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4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4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4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4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4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4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4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4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4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4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4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4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4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4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4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4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4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4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4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4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4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4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4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4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4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4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4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4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4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4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4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4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4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4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4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4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4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4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4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4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4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4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4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4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4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4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4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4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4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4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4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4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4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4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4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4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4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4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4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4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4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4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4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4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4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4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4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4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4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4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4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4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4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4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4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4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4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4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4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4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4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4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4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4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4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4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4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4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4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4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4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4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4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4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4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4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4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4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4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4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4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4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4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4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4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4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4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4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4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4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4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4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4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4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4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4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4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4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4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4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4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4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4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4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4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4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4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4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4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4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4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4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4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4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4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4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4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4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4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4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4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4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4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4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4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4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4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4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4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4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4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4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4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4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4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4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4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4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4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4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4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4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4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4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4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4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4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4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4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4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4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4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4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4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4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4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4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4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4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4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4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4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4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4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4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4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4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4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4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4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4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4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4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4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4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4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4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4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4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4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4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4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4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4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4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4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4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4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4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4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4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4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4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4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4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4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4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4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4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4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4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4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4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4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4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4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4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4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4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4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4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4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4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4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4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4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4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4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4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4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4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4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4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4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4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4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4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4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4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4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4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4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4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4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4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4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4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4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4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4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4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4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4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4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4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4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4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4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4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4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4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4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4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4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4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4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4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4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4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4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4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4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4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4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4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4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4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4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4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4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4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4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4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4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4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4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4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4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4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4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4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4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4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4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4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4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4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4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4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4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4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4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4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4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4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4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4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4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4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4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4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4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4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4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4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4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4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4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4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4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4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4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4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4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4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4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4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4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4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4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4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4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4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4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4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4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4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4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4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4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4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4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4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4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4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4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4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4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4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4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4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4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4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4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4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4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4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4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4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4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4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4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4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4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4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4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4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4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4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4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4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4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4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4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4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4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4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4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4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4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4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4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4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4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4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4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4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4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4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4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4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4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4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4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4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4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4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4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4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4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4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4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4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4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4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4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4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4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4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4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4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4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4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4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4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4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4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4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4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4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4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4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4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4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4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4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4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4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4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4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4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4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4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4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4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4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4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4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4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4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4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4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4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4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4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4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4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4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4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4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4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4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4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4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4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4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4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4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4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4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4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4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4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4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4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4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4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4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</sheetData>
  <mergeCells count="2">
    <mergeCell ref="B1:Q3"/>
    <mergeCell ref="O36:O38"/>
  </mergeCells>
  <conditionalFormatting sqref="D14:D20">
    <cfRule type="colorScale" priority="1">
      <colorScale>
        <cfvo type="min"/>
        <cfvo type="max"/>
        <color rgb="FFFFFFFF"/>
        <color rgb="FF57BB8A"/>
      </colorScale>
    </cfRule>
  </conditionalFormatting>
  <conditionalFormatting sqref="D24:G25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8:G29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4:E20">
    <cfRule type="colorScale" priority="2">
      <colorScale>
        <cfvo type="min"/>
        <cfvo type="max"/>
        <color rgb="FFFFFFFF"/>
        <color rgb="FF57BB8A"/>
      </colorScale>
    </cfRule>
  </conditionalFormatting>
  <conditionalFormatting sqref="F14:F2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4:G2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4:H2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4:H2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8:J20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4:J25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40:K51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8:L20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24:L25">
    <cfRule type="colorScale" priority="17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K28:N28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0:N30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3:N33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40:L53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38:N38">
    <cfRule type="colorScale" priority="2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M14:M20">
    <cfRule type="colorScale" priority="8">
      <colorScale>
        <cfvo type="min"/>
        <cfvo type="max"/>
        <color rgb="FFFFFFFF"/>
        <color rgb="FF57BB8A"/>
      </colorScale>
    </cfRule>
  </conditionalFormatting>
  <conditionalFormatting sqref="M24:N25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4:N20">
    <cfRule type="colorScale" priority="9">
      <colorScale>
        <cfvo type="min"/>
        <cfvo type="max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P984"/>
  <sheetViews>
    <sheetView showGridLines="0" workbookViewId="0">
      <selection activeCell="B16" sqref="B16"/>
    </sheetView>
  </sheetViews>
  <sheetFormatPr defaultColWidth="12.6640625" defaultRowHeight="15.75" customHeight="1"/>
  <cols>
    <col min="1" max="1" width="5.77734375" customWidth="1"/>
    <col min="12" max="12" width="14.21875" customWidth="1"/>
    <col min="17" max="17" width="17.88671875" customWidth="1"/>
    <col min="23" max="23" width="14.6640625" customWidth="1"/>
  </cols>
  <sheetData>
    <row r="1" spans="1:42" ht="15.75" customHeight="1">
      <c r="A1" s="1"/>
      <c r="B1" s="172" t="s">
        <v>120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.75" customHeight="1">
      <c r="A2" s="1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3"/>
      <c r="AJ2" s="3"/>
      <c r="AK2" s="3"/>
      <c r="AL2" s="3"/>
      <c r="AM2" s="3"/>
      <c r="AN2" s="3"/>
      <c r="AO2" s="3"/>
      <c r="AP2" s="3"/>
    </row>
    <row r="3" spans="1:42" ht="15.75" customHeight="1">
      <c r="A3" s="1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  <c r="AL3" s="3"/>
      <c r="AM3" s="3"/>
      <c r="AN3" s="3"/>
      <c r="AO3" s="3"/>
      <c r="AP3" s="3"/>
    </row>
    <row r="4" spans="1:42" ht="15.75" customHeight="1">
      <c r="A4" s="1"/>
      <c r="B4" s="4" t="s">
        <v>1</v>
      </c>
      <c r="C4" s="5"/>
      <c r="D4" s="4"/>
      <c r="E4" s="4" t="s">
        <v>2</v>
      </c>
      <c r="F4" s="4"/>
      <c r="G4" s="4"/>
      <c r="H4" s="4"/>
      <c r="I4" s="4"/>
      <c r="J4" s="4" t="s">
        <v>3</v>
      </c>
      <c r="K4" s="4"/>
      <c r="L4" s="4"/>
      <c r="N4" s="4"/>
      <c r="O4" s="13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3"/>
      <c r="AI4" s="3"/>
      <c r="AJ4" s="3"/>
      <c r="AK4" s="3"/>
      <c r="AL4" s="3"/>
      <c r="AM4" s="3"/>
      <c r="AN4" s="3"/>
      <c r="AO4" s="3"/>
      <c r="AP4" s="3"/>
    </row>
    <row r="5" spans="1:42" ht="15.75" customHeight="1"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121</v>
      </c>
      <c r="M5" s="6" t="s">
        <v>16</v>
      </c>
      <c r="N5" s="7" t="s">
        <v>17</v>
      </c>
      <c r="O5" s="136"/>
      <c r="P5" s="136"/>
      <c r="Q5" s="136"/>
      <c r="R5" s="13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3"/>
      <c r="AI5" s="3"/>
      <c r="AJ5" s="3"/>
      <c r="AK5" s="3"/>
      <c r="AL5" s="3"/>
      <c r="AM5" s="3"/>
      <c r="AN5" s="3"/>
      <c r="AO5" s="3"/>
      <c r="AP5" s="3"/>
    </row>
    <row r="6" spans="1:42" ht="15.75" customHeight="1">
      <c r="B6" s="9" t="s">
        <v>120</v>
      </c>
      <c r="C6" s="15">
        <f ca="1">IFERROR(__xludf.DUMMYFUNCTION("GOOGLEFINANCE(""NSE:""&amp;B6,""PRICE"")"),179.1)</f>
        <v>179.1</v>
      </c>
      <c r="D6" s="11">
        <f ca="1">IFERROR(__xludf.DUMMYFUNCTION("GOOGLEFINANCE(""NSE:""&amp;B6,""MARKETCAP"")/10000000"),48140.5234705)</f>
        <v>48140.523470499997</v>
      </c>
      <c r="E6" s="18">
        <v>59698</v>
      </c>
      <c r="F6" s="18">
        <v>4963</v>
      </c>
      <c r="G6" s="18">
        <v>1252</v>
      </c>
      <c r="H6" s="18">
        <v>5.16</v>
      </c>
      <c r="I6" s="15">
        <v>10</v>
      </c>
      <c r="J6" s="11">
        <v>2687</v>
      </c>
      <c r="K6" s="12">
        <v>5871</v>
      </c>
      <c r="L6" s="12">
        <v>58775</v>
      </c>
      <c r="M6" s="12">
        <v>62600</v>
      </c>
      <c r="N6" s="11">
        <f t="shared" ref="N6:N7" si="0">M6-K6-J6</f>
        <v>54042</v>
      </c>
      <c r="O6" s="136"/>
      <c r="P6" s="136"/>
      <c r="Q6" s="136"/>
      <c r="R6" s="13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"/>
      <c r="AI6" s="3"/>
      <c r="AJ6" s="3"/>
      <c r="AK6" s="17"/>
      <c r="AL6" s="17"/>
      <c r="AM6" s="17"/>
      <c r="AN6" s="17"/>
      <c r="AO6" s="17"/>
      <c r="AP6" s="3"/>
    </row>
    <row r="7" spans="1:42" ht="15.75" customHeight="1">
      <c r="B7" s="18" t="s">
        <v>122</v>
      </c>
      <c r="C7" s="18">
        <v>136</v>
      </c>
      <c r="D7" s="19">
        <f ca="1">C7*D6/C6</f>
        <v>36555.618045717478</v>
      </c>
      <c r="E7" s="18">
        <v>47076</v>
      </c>
      <c r="F7" s="19">
        <v>3482</v>
      </c>
      <c r="G7" s="19">
        <v>865</v>
      </c>
      <c r="H7" s="137">
        <v>3.78</v>
      </c>
      <c r="I7" s="18">
        <v>10</v>
      </c>
      <c r="J7" s="11">
        <v>2285</v>
      </c>
      <c r="K7" s="18">
        <v>3651</v>
      </c>
      <c r="L7" s="18">
        <v>46227</v>
      </c>
      <c r="M7" s="18">
        <v>50447</v>
      </c>
      <c r="N7" s="11">
        <f t="shared" si="0"/>
        <v>44511</v>
      </c>
      <c r="O7" s="136"/>
      <c r="P7" s="136"/>
      <c r="Q7" s="136"/>
      <c r="R7" s="136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17"/>
      <c r="AL7" s="17"/>
      <c r="AM7" s="17"/>
      <c r="AN7" s="17"/>
      <c r="AO7" s="17"/>
      <c r="AP7" s="3"/>
    </row>
    <row r="8" spans="1:42" ht="15.75" customHeight="1">
      <c r="B8" s="20" t="s">
        <v>23</v>
      </c>
      <c r="C8" s="21">
        <f t="shared" ref="C8:N8" ca="1" si="1">(C6/C7)-1</f>
        <v>0.31691176470588234</v>
      </c>
      <c r="D8" s="21">
        <f t="shared" ca="1" si="1"/>
        <v>0.31691176470588212</v>
      </c>
      <c r="E8" s="21">
        <f t="shared" si="1"/>
        <v>0.2681196363327385</v>
      </c>
      <c r="F8" s="21">
        <f t="shared" si="1"/>
        <v>0.42533026995979317</v>
      </c>
      <c r="G8" s="21">
        <f t="shared" si="1"/>
        <v>0.44739884393063578</v>
      </c>
      <c r="H8" s="21">
        <f t="shared" si="1"/>
        <v>0.36507936507936511</v>
      </c>
      <c r="I8" s="21">
        <f t="shared" si="1"/>
        <v>0</v>
      </c>
      <c r="J8" s="21">
        <f t="shared" si="1"/>
        <v>0.17592997811816202</v>
      </c>
      <c r="K8" s="21">
        <f t="shared" si="1"/>
        <v>0.60805258833196385</v>
      </c>
      <c r="L8" s="21">
        <f t="shared" si="1"/>
        <v>0.27144309602613181</v>
      </c>
      <c r="M8" s="21">
        <f t="shared" si="1"/>
        <v>0.24090629769857475</v>
      </c>
      <c r="N8" s="21">
        <f t="shared" si="1"/>
        <v>0.21412684504953838</v>
      </c>
      <c r="O8" s="122"/>
      <c r="P8" s="122"/>
      <c r="Q8" s="122"/>
      <c r="R8" s="12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17"/>
      <c r="AL8" s="17"/>
      <c r="AM8" s="17"/>
      <c r="AN8" s="17"/>
      <c r="AO8" s="17"/>
      <c r="AP8" s="3"/>
    </row>
    <row r="9" spans="1:42" ht="15.75" customHeight="1">
      <c r="A9" s="22"/>
      <c r="B9" s="17"/>
      <c r="C9" s="3"/>
      <c r="D9" s="3"/>
      <c r="E9" s="3"/>
      <c r="F9" s="3"/>
      <c r="H9" s="3"/>
      <c r="I9" s="3"/>
      <c r="J9" s="3"/>
      <c r="K9" s="3"/>
      <c r="L9" s="3"/>
      <c r="M9" s="3"/>
      <c r="N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17"/>
      <c r="AL9" s="17"/>
      <c r="AM9" s="17"/>
      <c r="AN9" s="17"/>
      <c r="AO9" s="17"/>
      <c r="AP9" s="3"/>
    </row>
    <row r="10" spans="1:42" ht="15.75" customHeight="1">
      <c r="A10" s="23"/>
      <c r="B10" s="6" t="s">
        <v>24</v>
      </c>
      <c r="C10" s="6" t="s">
        <v>25</v>
      </c>
      <c r="D10" s="6" t="s">
        <v>26</v>
      </c>
      <c r="E10" s="24" t="s">
        <v>27</v>
      </c>
      <c r="F10" s="6" t="s">
        <v>123</v>
      </c>
      <c r="G10" s="6" t="s">
        <v>124</v>
      </c>
      <c r="H10" s="6" t="s">
        <v>125</v>
      </c>
      <c r="I10" s="6" t="s">
        <v>30</v>
      </c>
      <c r="J10" s="6" t="s">
        <v>126</v>
      </c>
      <c r="K10" s="6" t="s">
        <v>127</v>
      </c>
      <c r="L10" s="6" t="s">
        <v>32</v>
      </c>
      <c r="M10" s="6" t="s">
        <v>34</v>
      </c>
      <c r="N10" s="6" t="s">
        <v>35</v>
      </c>
      <c r="O10" s="6" t="s">
        <v>36</v>
      </c>
      <c r="P10" s="3"/>
      <c r="Q10" s="2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3"/>
      <c r="AG10" s="3"/>
      <c r="AH10" s="3"/>
      <c r="AI10" s="3"/>
      <c r="AJ10" s="3"/>
      <c r="AK10" s="17"/>
      <c r="AL10" s="17"/>
      <c r="AM10" s="17"/>
      <c r="AN10" s="17"/>
      <c r="AO10" s="17"/>
      <c r="AP10" s="3"/>
    </row>
    <row r="11" spans="1:42" ht="15.75" customHeight="1">
      <c r="A11" s="23"/>
      <c r="B11" s="25">
        <f>R35</f>
        <v>0.25221595487510073</v>
      </c>
      <c r="C11" s="25">
        <f>T31</f>
        <v>0.42561746122917854</v>
      </c>
      <c r="D11" s="25">
        <f>G6/M6</f>
        <v>0.02</v>
      </c>
      <c r="E11" s="25">
        <f>G6/(J6+K6)</f>
        <v>0.1462958635195139</v>
      </c>
      <c r="F11" s="26">
        <v>9.8699999999999992</v>
      </c>
      <c r="G11" s="25">
        <v>7.8200000000000006E-2</v>
      </c>
      <c r="H11" s="27">
        <v>3.2000000000000001E-2</v>
      </c>
      <c r="I11" s="28">
        <f>R36</f>
        <v>2.3599999999999999E-2</v>
      </c>
      <c r="J11" s="29">
        <v>23.9</v>
      </c>
      <c r="K11" s="27">
        <f ca="1">H6/C6</f>
        <v>2.8810720268006702E-2</v>
      </c>
      <c r="L11" s="138">
        <f ca="1">C6/H6</f>
        <v>34.70930232558139</v>
      </c>
      <c r="M11" s="29">
        <f>(K6+J6)/(J6/I6)</f>
        <v>31.849646445850393</v>
      </c>
      <c r="N11" s="30">
        <f ca="1">C6/M11</f>
        <v>5.6232963309184383</v>
      </c>
      <c r="O11" s="30">
        <f>O40</f>
        <v>1.0627656914228558</v>
      </c>
      <c r="P11" s="3"/>
      <c r="Q11" s="2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"/>
      <c r="AG11" s="3"/>
      <c r="AH11" s="3"/>
      <c r="AI11" s="3"/>
      <c r="AJ11" s="3"/>
      <c r="AK11" s="17"/>
      <c r="AL11" s="17"/>
      <c r="AM11" s="17"/>
      <c r="AN11" s="3"/>
      <c r="AO11" s="3"/>
      <c r="AP11" s="3"/>
    </row>
    <row r="12" spans="1:42" ht="15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1"/>
      <c r="S12" s="3"/>
      <c r="T12" s="3"/>
      <c r="U12" s="3"/>
      <c r="V12" s="3"/>
      <c r="W12" s="3"/>
      <c r="X12" s="2"/>
      <c r="Y12" s="2"/>
      <c r="Z12" s="2"/>
      <c r="AA12" s="2"/>
      <c r="AB12" s="2"/>
      <c r="AC12" s="2"/>
      <c r="AD12" s="2"/>
      <c r="AE12" s="2"/>
      <c r="AF12" s="3"/>
      <c r="AG12" s="3"/>
      <c r="AH12" s="3"/>
      <c r="AI12" s="3"/>
      <c r="AJ12" s="32"/>
      <c r="AK12" s="32"/>
      <c r="AL12" s="32"/>
      <c r="AM12" s="32"/>
      <c r="AN12" s="32"/>
      <c r="AO12" s="32"/>
      <c r="AP12" s="3"/>
    </row>
    <row r="13" spans="1:42" ht="15.75" customHeight="1">
      <c r="B13" s="6" t="s">
        <v>37</v>
      </c>
      <c r="C13" s="6" t="s">
        <v>38</v>
      </c>
      <c r="D13" s="6" t="s">
        <v>8</v>
      </c>
      <c r="E13" s="6" t="s">
        <v>128</v>
      </c>
      <c r="F13" s="6" t="s">
        <v>40</v>
      </c>
      <c r="G13" s="6" t="s">
        <v>11</v>
      </c>
      <c r="H13" s="6" t="s">
        <v>41</v>
      </c>
      <c r="I13" s="6" t="s">
        <v>42</v>
      </c>
      <c r="J13" s="6" t="s">
        <v>43</v>
      </c>
      <c r="K13" s="6" t="s">
        <v>44</v>
      </c>
      <c r="L13" s="6" t="s">
        <v>45</v>
      </c>
      <c r="M13" s="6" t="s">
        <v>13</v>
      </c>
      <c r="N13" s="6" t="s">
        <v>46</v>
      </c>
      <c r="O13" s="6" t="s">
        <v>129</v>
      </c>
      <c r="P13" s="136"/>
      <c r="Q13" s="136"/>
      <c r="S13" s="3"/>
      <c r="T13" s="3"/>
      <c r="U13" s="3"/>
      <c r="V13" s="3"/>
      <c r="W13" s="3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2"/>
      <c r="AK13" s="3"/>
      <c r="AL13" s="32"/>
      <c r="AM13" s="32"/>
      <c r="AN13" s="32"/>
      <c r="AO13" s="32"/>
      <c r="AP13" s="3"/>
    </row>
    <row r="14" spans="1:42" ht="15.75" customHeight="1">
      <c r="C14" s="6" t="s">
        <v>130</v>
      </c>
      <c r="D14" s="34"/>
      <c r="E14" s="34">
        <v>1331</v>
      </c>
      <c r="F14" s="36">
        <v>210</v>
      </c>
      <c r="G14" s="78">
        <v>267.74</v>
      </c>
      <c r="H14" s="38">
        <f t="shared" ref="H14:H21" si="2">F14/E14</f>
        <v>0.15777610818933133</v>
      </c>
      <c r="I14" s="177" t="s">
        <v>131</v>
      </c>
      <c r="J14" s="173"/>
      <c r="K14" s="173"/>
      <c r="L14" s="175"/>
      <c r="M14" s="36">
        <v>785</v>
      </c>
      <c r="N14" s="39">
        <v>1643</v>
      </c>
      <c r="O14" s="40"/>
      <c r="P14" s="50"/>
      <c r="Q14" s="122"/>
      <c r="S14" s="32"/>
      <c r="T14" s="32"/>
      <c r="U14" s="3"/>
      <c r="V14" s="3"/>
      <c r="W14" s="3"/>
      <c r="X14" s="2"/>
      <c r="Y14" s="2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ht="15.75" customHeight="1">
      <c r="C15" s="6" t="s">
        <v>50</v>
      </c>
      <c r="D15" s="34"/>
      <c r="E15" s="34">
        <v>1810</v>
      </c>
      <c r="F15" s="36">
        <v>405</v>
      </c>
      <c r="G15" s="78">
        <v>5.17</v>
      </c>
      <c r="H15" s="38">
        <f t="shared" si="2"/>
        <v>0.22375690607734808</v>
      </c>
      <c r="I15" s="173"/>
      <c r="J15" s="173"/>
      <c r="K15" s="173"/>
      <c r="L15" s="175"/>
      <c r="M15" s="36">
        <v>785</v>
      </c>
      <c r="N15" s="39">
        <v>1661</v>
      </c>
      <c r="O15" s="40"/>
      <c r="P15" s="50"/>
      <c r="Q15" s="122"/>
      <c r="S15" s="32"/>
      <c r="T15" s="32"/>
      <c r="U15" s="3"/>
      <c r="V15" s="3"/>
      <c r="W15" s="3"/>
      <c r="X15" s="2"/>
      <c r="Y15" s="2"/>
      <c r="Z15" s="2"/>
      <c r="AA15" s="2"/>
      <c r="AB15" s="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5.75" customHeight="1">
      <c r="C16" s="6" t="s">
        <v>51</v>
      </c>
      <c r="D16" s="34"/>
      <c r="E16" s="34">
        <v>2020</v>
      </c>
      <c r="F16" s="41">
        <v>250</v>
      </c>
      <c r="G16" s="78">
        <v>3.18</v>
      </c>
      <c r="H16" s="38">
        <f t="shared" si="2"/>
        <v>0.12376237623762376</v>
      </c>
      <c r="I16" s="173"/>
      <c r="J16" s="173"/>
      <c r="K16" s="173"/>
      <c r="L16" s="175"/>
      <c r="M16" s="36">
        <v>785</v>
      </c>
      <c r="N16" s="39">
        <v>1800</v>
      </c>
      <c r="O16" s="40"/>
      <c r="S16" s="32"/>
      <c r="T16" s="3"/>
      <c r="U16" s="3"/>
      <c r="V16" s="3"/>
      <c r="W16" s="3"/>
      <c r="X16" s="2"/>
      <c r="Y16" s="2"/>
      <c r="Z16" s="2"/>
      <c r="AA16" s="2"/>
      <c r="AB16" s="2"/>
      <c r="AC16" s="3"/>
      <c r="AD16" s="3"/>
      <c r="AE16" s="3"/>
      <c r="AF16" s="3"/>
      <c r="AG16" s="3"/>
      <c r="AH16" s="3"/>
      <c r="AI16" s="3"/>
      <c r="AJ16" s="32"/>
      <c r="AK16" s="3"/>
      <c r="AL16" s="32"/>
      <c r="AM16" s="32"/>
      <c r="AN16" s="32"/>
      <c r="AO16" s="32"/>
      <c r="AP16" s="3"/>
    </row>
    <row r="17" spans="1:42" ht="15.75" customHeight="1">
      <c r="C17" s="6" t="s">
        <v>52</v>
      </c>
      <c r="D17" s="34"/>
      <c r="E17" s="34">
        <v>2369</v>
      </c>
      <c r="F17" s="36">
        <v>215</v>
      </c>
      <c r="G17" s="78">
        <v>2.74</v>
      </c>
      <c r="H17" s="38">
        <f t="shared" si="2"/>
        <v>9.0755593077247787E-2</v>
      </c>
      <c r="I17" s="173"/>
      <c r="J17" s="173"/>
      <c r="K17" s="173"/>
      <c r="L17" s="175"/>
      <c r="M17" s="36">
        <v>785</v>
      </c>
      <c r="N17" s="39">
        <v>1737</v>
      </c>
      <c r="O17" s="40"/>
      <c r="S17" s="32"/>
      <c r="T17" s="3"/>
      <c r="U17" s="3"/>
      <c r="V17" s="3"/>
      <c r="W17" s="3"/>
      <c r="X17" s="2"/>
      <c r="Y17" s="2"/>
      <c r="Z17" s="2"/>
      <c r="AA17" s="2"/>
      <c r="AB17" s="2"/>
      <c r="AC17" s="3"/>
      <c r="AD17" s="3"/>
      <c r="AE17" s="3"/>
      <c r="AF17" s="3"/>
      <c r="AG17" s="3"/>
      <c r="AH17" s="3"/>
      <c r="AI17" s="3"/>
      <c r="AJ17" s="32"/>
      <c r="AK17" s="3"/>
      <c r="AL17" s="32"/>
      <c r="AM17" s="32"/>
      <c r="AN17" s="32"/>
      <c r="AO17" s="32"/>
      <c r="AP17" s="3"/>
    </row>
    <row r="18" spans="1:42" ht="15.75" customHeight="1">
      <c r="A18" s="42"/>
      <c r="C18" s="6" t="s">
        <v>53</v>
      </c>
      <c r="D18" s="139">
        <v>27854</v>
      </c>
      <c r="E18" s="36">
        <v>2655</v>
      </c>
      <c r="F18" s="36">
        <v>347</v>
      </c>
      <c r="G18" s="78">
        <v>4.41</v>
      </c>
      <c r="H18" s="38">
        <f t="shared" si="2"/>
        <v>0.13069679849340865</v>
      </c>
      <c r="I18" s="173"/>
      <c r="J18" s="173"/>
      <c r="K18" s="173"/>
      <c r="L18" s="175"/>
      <c r="M18" s="36">
        <v>785</v>
      </c>
      <c r="N18" s="39">
        <v>2211</v>
      </c>
      <c r="O18" s="40">
        <v>8.77E-2</v>
      </c>
      <c r="S18" s="32"/>
      <c r="T18" s="3"/>
      <c r="U18" s="3"/>
      <c r="V18" s="3"/>
      <c r="W18" s="3"/>
      <c r="X18" s="2"/>
      <c r="Y18" s="2"/>
      <c r="Z18" s="2"/>
      <c r="AA18" s="2"/>
      <c r="AB18" s="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ht="15.75" customHeight="1">
      <c r="A19" s="42"/>
      <c r="C19" s="6" t="s">
        <v>55</v>
      </c>
      <c r="D19" s="140">
        <v>33931</v>
      </c>
      <c r="E19" s="36">
        <v>2860</v>
      </c>
      <c r="F19" s="41">
        <v>634</v>
      </c>
      <c r="G19" s="78">
        <v>8.0299999999999994</v>
      </c>
      <c r="H19" s="38">
        <f t="shared" si="2"/>
        <v>0.22167832167832169</v>
      </c>
      <c r="I19" s="173"/>
      <c r="J19" s="173"/>
      <c r="K19" s="173"/>
      <c r="L19" s="175"/>
      <c r="M19" s="36">
        <f>M18+1500</f>
        <v>2285</v>
      </c>
      <c r="N19" s="39">
        <v>2983</v>
      </c>
      <c r="O19" s="40">
        <v>5.21E-2</v>
      </c>
      <c r="P19" s="129"/>
      <c r="Q19" s="122"/>
      <c r="S19" s="32"/>
      <c r="T19" s="3"/>
      <c r="U19" s="3"/>
      <c r="V19" s="3"/>
      <c r="W19" s="3"/>
      <c r="X19" s="2"/>
      <c r="Y19" s="2"/>
      <c r="Z19" s="2"/>
      <c r="AA19" s="2"/>
      <c r="AB19" s="2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15.75" customHeight="1">
      <c r="A20" s="42"/>
      <c r="C20" s="6" t="s">
        <v>56</v>
      </c>
      <c r="D20" s="140">
        <v>47076</v>
      </c>
      <c r="E20" s="47">
        <v>3482</v>
      </c>
      <c r="F20" s="36">
        <v>865</v>
      </c>
      <c r="G20" s="78">
        <v>3.78</v>
      </c>
      <c r="H20" s="38">
        <f t="shared" si="2"/>
        <v>0.24842044801838023</v>
      </c>
      <c r="I20" s="178"/>
      <c r="J20" s="178"/>
      <c r="K20" s="178"/>
      <c r="L20" s="176"/>
      <c r="M20" s="36">
        <v>2285</v>
      </c>
      <c r="N20" s="39">
        <v>3651</v>
      </c>
      <c r="O20" s="40">
        <v>3.2099999999999997E-2</v>
      </c>
      <c r="P20" s="136"/>
      <c r="Q20" s="122"/>
      <c r="S20" s="32"/>
      <c r="T20" s="3"/>
      <c r="U20" s="3"/>
      <c r="V20" s="3"/>
      <c r="W20" s="3"/>
      <c r="X20" s="2"/>
      <c r="Y20" s="2"/>
      <c r="Z20" s="2"/>
      <c r="AA20" s="2"/>
      <c r="AB20" s="2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15.75" customHeight="1">
      <c r="B21" s="6" t="s">
        <v>54</v>
      </c>
      <c r="C21" s="6" t="s">
        <v>57</v>
      </c>
      <c r="D21" s="140">
        <v>59698</v>
      </c>
      <c r="E21" s="47">
        <v>4963</v>
      </c>
      <c r="F21" s="36">
        <v>1252</v>
      </c>
      <c r="G21" s="78">
        <v>5.16</v>
      </c>
      <c r="H21" s="38">
        <f t="shared" si="2"/>
        <v>0.25226677412855125</v>
      </c>
      <c r="I21" s="50">
        <v>215</v>
      </c>
      <c r="J21" s="50">
        <v>50</v>
      </c>
      <c r="K21" s="141">
        <f>I21/G21</f>
        <v>41.666666666666664</v>
      </c>
      <c r="L21" s="141">
        <f>J21/G21</f>
        <v>9.6899224806201545</v>
      </c>
      <c r="M21" s="36">
        <v>2687</v>
      </c>
      <c r="N21" s="39">
        <v>5871</v>
      </c>
      <c r="O21" s="40">
        <v>2.3599999999999999E-2</v>
      </c>
      <c r="S21" s="32"/>
      <c r="T21" s="3"/>
      <c r="U21" s="3"/>
      <c r="V21" s="3"/>
      <c r="W21" s="3"/>
      <c r="X21" s="2"/>
      <c r="Y21" s="2"/>
      <c r="Z21" s="2"/>
      <c r="AA21" s="2"/>
      <c r="AB21" s="2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ht="15.75" customHeight="1">
      <c r="M22" s="50"/>
      <c r="P22" s="51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ht="15.75" customHeight="1"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5.75" customHeight="1">
      <c r="A24" s="42"/>
      <c r="B24" s="6" t="s">
        <v>58</v>
      </c>
      <c r="C24" s="6" t="s">
        <v>38</v>
      </c>
      <c r="D24" s="8" t="s">
        <v>8</v>
      </c>
      <c r="E24" s="8" t="s">
        <v>39</v>
      </c>
      <c r="F24" s="8" t="s">
        <v>40</v>
      </c>
      <c r="G24" s="8" t="s">
        <v>11</v>
      </c>
      <c r="H24" s="8" t="s">
        <v>41</v>
      </c>
      <c r="I24" s="8" t="s">
        <v>42</v>
      </c>
      <c r="J24" s="8" t="s">
        <v>43</v>
      </c>
      <c r="K24" s="8" t="s">
        <v>44</v>
      </c>
      <c r="L24" s="8" t="s">
        <v>45</v>
      </c>
      <c r="M24" s="8" t="s">
        <v>13</v>
      </c>
      <c r="N24" s="8" t="s">
        <v>46</v>
      </c>
      <c r="O24" s="8" t="s">
        <v>129</v>
      </c>
      <c r="P24" s="136"/>
      <c r="Q24" s="136"/>
      <c r="S24" s="3"/>
      <c r="T24" s="3"/>
      <c r="U24" s="3"/>
      <c r="V24" s="3"/>
      <c r="W24" s="3"/>
      <c r="X24" s="3"/>
      <c r="Y24" s="2"/>
      <c r="Z24" s="2"/>
      <c r="AA24" s="2"/>
      <c r="AB24" s="2"/>
      <c r="AC24" s="3"/>
      <c r="AD24" s="3"/>
      <c r="AE24" s="3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5.75" customHeight="1">
      <c r="A25" s="2"/>
      <c r="B25" s="53"/>
      <c r="C25" s="6" t="s">
        <v>132</v>
      </c>
      <c r="D25" s="142"/>
      <c r="E25" s="142">
        <f t="shared" ref="E25:G25" si="3">(E21/E16)^(1/5)-1</f>
        <v>0.1969570888729113</v>
      </c>
      <c r="F25" s="142">
        <f t="shared" si="3"/>
        <v>0.38017089265521031</v>
      </c>
      <c r="G25" s="142">
        <f t="shared" si="3"/>
        <v>0.10165222600969726</v>
      </c>
      <c r="H25" s="142">
        <f>MEDIAN(H16:H21)</f>
        <v>0.17618756008586517</v>
      </c>
      <c r="I25" s="143"/>
      <c r="J25" s="143"/>
      <c r="K25" s="143"/>
      <c r="L25" s="143"/>
      <c r="M25" s="144">
        <f t="shared" ref="M25:N25" si="4">(M21/M16)^(1/5)-1</f>
        <v>0.27902667455207153</v>
      </c>
      <c r="N25" s="144">
        <f t="shared" si="4"/>
        <v>0.26674125573360064</v>
      </c>
      <c r="O25" s="145">
        <f>MEDIAN(O16:O21)</f>
        <v>4.2099999999999999E-2</v>
      </c>
      <c r="Q25" s="50"/>
      <c r="S25" s="3"/>
      <c r="T25" s="3"/>
      <c r="U25" s="3"/>
      <c r="V25" s="3"/>
      <c r="W25" s="3"/>
      <c r="X25" s="3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5.75" customHeight="1">
      <c r="A26" s="2"/>
      <c r="B26" s="53"/>
      <c r="C26" s="6" t="s">
        <v>133</v>
      </c>
      <c r="D26" s="142">
        <f t="shared" ref="D26:G26" si="5">(D21/D18)^(1/3)-1</f>
        <v>0.28931015545426586</v>
      </c>
      <c r="E26" s="142">
        <f t="shared" si="5"/>
        <v>0.23185592461951376</v>
      </c>
      <c r="F26" s="142">
        <f t="shared" si="5"/>
        <v>0.5337630985796209</v>
      </c>
      <c r="G26" s="142">
        <f t="shared" si="5"/>
        <v>5.3748664911163146E-2</v>
      </c>
      <c r="H26" s="142">
        <f>AVERAGE(H18:H21)</f>
        <v>0.21326558557966546</v>
      </c>
      <c r="I26" s="146"/>
      <c r="J26" s="146"/>
      <c r="K26" s="147"/>
      <c r="L26" s="147"/>
      <c r="M26" s="142">
        <f t="shared" ref="M26:N26" si="6">(M21/M18)^(1/3)-1</f>
        <v>0.50706738043073663</v>
      </c>
      <c r="N26" s="142">
        <f t="shared" si="6"/>
        <v>0.38475979548543204</v>
      </c>
      <c r="O26" s="145">
        <f>AVERAGE(O18:O21)</f>
        <v>4.8875000000000002E-2</v>
      </c>
      <c r="Q26" s="50"/>
      <c r="S26" s="3"/>
      <c r="T26" s="3"/>
      <c r="U26" s="3"/>
      <c r="V26" s="3"/>
      <c r="W26" s="3"/>
      <c r="X26" s="3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5.75" customHeight="1">
      <c r="A27" s="2"/>
      <c r="B27" s="3"/>
      <c r="C27" s="6" t="s">
        <v>134</v>
      </c>
      <c r="D27" s="148">
        <f t="shared" ref="D27:G27" si="7">(D21/D20)-1</f>
        <v>0.2681196363327385</v>
      </c>
      <c r="E27" s="148">
        <f t="shared" si="7"/>
        <v>0.42533026995979317</v>
      </c>
      <c r="F27" s="148">
        <f t="shared" si="7"/>
        <v>0.44739884393063578</v>
      </c>
      <c r="G27" s="148">
        <f t="shared" si="7"/>
        <v>0.36507936507936511</v>
      </c>
      <c r="H27" s="149">
        <f>H31</f>
        <v>0.24199999999999999</v>
      </c>
      <c r="I27" s="150">
        <v>215</v>
      </c>
      <c r="J27" s="150">
        <v>50</v>
      </c>
      <c r="K27" s="141">
        <f>I27/G21</f>
        <v>41.666666666666664</v>
      </c>
      <c r="L27" s="141">
        <f>J27/G21</f>
        <v>9.6899224806201545</v>
      </c>
      <c r="M27" s="151">
        <f t="shared" ref="M27:N27" si="8">(M21/M20)-1</f>
        <v>0.17592997811816202</v>
      </c>
      <c r="N27" s="151">
        <f t="shared" si="8"/>
        <v>0.60805258833196385</v>
      </c>
      <c r="O27" s="151">
        <f>O21</f>
        <v>2.3599999999999999E-2</v>
      </c>
      <c r="S27" s="4"/>
      <c r="T27" s="4"/>
      <c r="U27" s="3"/>
      <c r="V27" s="3"/>
      <c r="W27" s="31"/>
      <c r="X27" s="31"/>
      <c r="Y27" s="4"/>
      <c r="Z27" s="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4.4">
      <c r="A28" s="2"/>
      <c r="B28" s="31"/>
      <c r="C28" s="31"/>
      <c r="D28" s="31"/>
      <c r="E28" s="31"/>
      <c r="F28" s="31"/>
      <c r="G28" s="31"/>
      <c r="H28" s="31"/>
      <c r="I28" s="3"/>
      <c r="J28" s="31"/>
      <c r="K28" s="31"/>
      <c r="L28" s="31"/>
      <c r="M28" s="31"/>
      <c r="N28" s="31"/>
      <c r="O28" s="31"/>
      <c r="P28" s="53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4.4">
      <c r="A29" s="42"/>
      <c r="B29" s="6" t="s">
        <v>135</v>
      </c>
      <c r="C29" s="6" t="s">
        <v>69</v>
      </c>
      <c r="D29" s="6" t="s">
        <v>8</v>
      </c>
      <c r="E29" s="6" t="s">
        <v>39</v>
      </c>
      <c r="F29" s="6" t="s">
        <v>40</v>
      </c>
      <c r="G29" s="6" t="s">
        <v>11</v>
      </c>
      <c r="H29" s="6" t="s">
        <v>41</v>
      </c>
      <c r="I29" s="53"/>
      <c r="J29" s="8" t="s">
        <v>70</v>
      </c>
      <c r="K29" s="8" t="s">
        <v>71</v>
      </c>
      <c r="L29" s="8" t="s">
        <v>136</v>
      </c>
      <c r="M29" s="8" t="s">
        <v>66</v>
      </c>
      <c r="N29" s="8" t="s">
        <v>62</v>
      </c>
      <c r="O29" s="8" t="s">
        <v>75</v>
      </c>
      <c r="P29" s="53"/>
      <c r="Q29" s="8" t="s">
        <v>137</v>
      </c>
      <c r="R29" s="8" t="s">
        <v>57</v>
      </c>
      <c r="S29" s="8" t="s">
        <v>56</v>
      </c>
      <c r="T29" s="152" t="s">
        <v>58</v>
      </c>
      <c r="U29" s="3"/>
      <c r="V29" s="8" t="s">
        <v>137</v>
      </c>
      <c r="W29" s="8" t="s">
        <v>64</v>
      </c>
      <c r="X29" s="8" t="s">
        <v>138</v>
      </c>
      <c r="Y29" s="152" t="s">
        <v>58</v>
      </c>
      <c r="AA29" s="8" t="s">
        <v>137</v>
      </c>
      <c r="AB29" s="8" t="s">
        <v>139</v>
      </c>
      <c r="AC29" s="8" t="s">
        <v>139</v>
      </c>
      <c r="AD29" s="152" t="s">
        <v>58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4.4">
      <c r="A30" s="2"/>
      <c r="B30" s="53"/>
      <c r="C30" s="6" t="s">
        <v>76</v>
      </c>
      <c r="D30" s="54">
        <v>0.2</v>
      </c>
      <c r="E30" s="54">
        <v>0.2</v>
      </c>
      <c r="F30" s="54">
        <v>0.2</v>
      </c>
      <c r="G30" s="54">
        <v>0.2</v>
      </c>
      <c r="H30" s="54">
        <v>0.21</v>
      </c>
      <c r="I30" s="53"/>
      <c r="J30" s="73" t="s">
        <v>9</v>
      </c>
      <c r="K30" s="153"/>
      <c r="L30" s="153">
        <v>0.47</v>
      </c>
      <c r="M30" s="153">
        <v>0.46</v>
      </c>
      <c r="N30" s="153">
        <v>0.43</v>
      </c>
      <c r="O30" s="153">
        <v>0.35</v>
      </c>
      <c r="P30" s="53"/>
      <c r="Q30" s="60" t="s">
        <v>8</v>
      </c>
      <c r="R30" s="154">
        <v>59698</v>
      </c>
      <c r="S30" s="154">
        <v>47076</v>
      </c>
      <c r="T30" s="155">
        <f t="shared" ref="T30:T34" si="9">(R30/S30)^(1/1)-1</f>
        <v>0.2681196363327385</v>
      </c>
      <c r="U30" s="3"/>
      <c r="V30" s="60" t="s">
        <v>8</v>
      </c>
      <c r="W30" s="154">
        <v>59698</v>
      </c>
      <c r="X30" s="154">
        <v>47076</v>
      </c>
      <c r="Y30" s="155">
        <f t="shared" ref="Y30:Y34" si="10">(W30/X30)^(1/1)-1</f>
        <v>0.2681196363327385</v>
      </c>
      <c r="AA30" s="60" t="s">
        <v>8</v>
      </c>
      <c r="AB30" s="154">
        <v>50580</v>
      </c>
      <c r="AC30" s="154">
        <v>37888</v>
      </c>
      <c r="AD30" s="155">
        <f t="shared" ref="AD30:AD34" si="11">(AB30/AC30)^(1/1)-1</f>
        <v>0.33498733108108114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4.4">
      <c r="A31" s="2"/>
      <c r="B31" s="53"/>
      <c r="C31" s="6" t="s">
        <v>140</v>
      </c>
      <c r="D31" s="54">
        <v>0.25</v>
      </c>
      <c r="E31" s="54">
        <v>0.35</v>
      </c>
      <c r="F31" s="54">
        <f>(F34/F21)-1</f>
        <v>0.29505758785942482</v>
      </c>
      <c r="G31" s="54">
        <v>0.3</v>
      </c>
      <c r="H31" s="156">
        <v>0.24199999999999999</v>
      </c>
      <c r="I31" s="53"/>
      <c r="J31" s="73" t="s">
        <v>10</v>
      </c>
      <c r="K31" s="153"/>
      <c r="L31" s="153">
        <v>0.41</v>
      </c>
      <c r="M31" s="153">
        <v>0.5</v>
      </c>
      <c r="N31" s="153">
        <v>0.45</v>
      </c>
      <c r="O31" s="153">
        <v>0.42</v>
      </c>
      <c r="P31" s="53"/>
      <c r="Q31" s="60" t="s">
        <v>9</v>
      </c>
      <c r="R31" s="154">
        <v>4964</v>
      </c>
      <c r="S31" s="154">
        <v>3482</v>
      </c>
      <c r="T31" s="157">
        <f t="shared" si="9"/>
        <v>0.42561746122917854</v>
      </c>
      <c r="U31" s="65"/>
      <c r="V31" s="60" t="s">
        <v>9</v>
      </c>
      <c r="W31" s="154">
        <v>1391</v>
      </c>
      <c r="X31" s="154">
        <v>1036</v>
      </c>
      <c r="Y31" s="158">
        <f t="shared" si="10"/>
        <v>0.3426640926640927</v>
      </c>
      <c r="AA31" s="60" t="s">
        <v>9</v>
      </c>
      <c r="AB31" s="154">
        <v>3573</v>
      </c>
      <c r="AC31" s="154">
        <v>2446</v>
      </c>
      <c r="AD31" s="157">
        <f t="shared" si="11"/>
        <v>0.46075224856909247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4.4">
      <c r="A32" s="2"/>
      <c r="B32" s="3"/>
      <c r="C32" s="31"/>
      <c r="D32" s="31"/>
      <c r="E32" s="31"/>
      <c r="F32" s="31"/>
      <c r="G32" s="31"/>
      <c r="H32" s="31"/>
      <c r="I32" s="53"/>
      <c r="J32" s="73" t="s">
        <v>24</v>
      </c>
      <c r="K32" s="85"/>
      <c r="L32" s="85">
        <v>0.25</v>
      </c>
      <c r="M32" s="85">
        <v>0.25600000000000001</v>
      </c>
      <c r="N32" s="85">
        <v>0.248</v>
      </c>
      <c r="O32" s="85">
        <v>0.24199999999999999</v>
      </c>
      <c r="P32" s="53"/>
      <c r="Q32" s="60" t="s">
        <v>78</v>
      </c>
      <c r="R32" s="154">
        <v>3280</v>
      </c>
      <c r="S32" s="154">
        <v>2343</v>
      </c>
      <c r="T32" s="159">
        <f t="shared" si="9"/>
        <v>0.39991463935125915</v>
      </c>
      <c r="U32" s="3"/>
      <c r="V32" s="60" t="s">
        <v>78</v>
      </c>
      <c r="W32" s="154">
        <v>912</v>
      </c>
      <c r="X32" s="154">
        <v>748</v>
      </c>
      <c r="Y32" s="160">
        <f t="shared" si="10"/>
        <v>0.21925133689839571</v>
      </c>
      <c r="AA32" s="60" t="s">
        <v>78</v>
      </c>
      <c r="AB32" s="154">
        <v>2368</v>
      </c>
      <c r="AC32" s="154">
        <v>1596</v>
      </c>
      <c r="AD32" s="159">
        <f t="shared" si="11"/>
        <v>0.48370927318295731</v>
      </c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4.4">
      <c r="A33" s="2"/>
      <c r="B33" s="6" t="s">
        <v>68</v>
      </c>
      <c r="C33" s="6" t="s">
        <v>38</v>
      </c>
      <c r="D33" s="6" t="s">
        <v>8</v>
      </c>
      <c r="E33" s="6" t="s">
        <v>39</v>
      </c>
      <c r="F33" s="6" t="s">
        <v>40</v>
      </c>
      <c r="G33" s="6" t="s">
        <v>11</v>
      </c>
      <c r="H33" s="6" t="s">
        <v>80</v>
      </c>
      <c r="I33" s="17"/>
      <c r="J33" s="16" t="s">
        <v>30</v>
      </c>
      <c r="K33" s="161"/>
      <c r="L33" s="161">
        <v>3.1300000000000001E-2</v>
      </c>
      <c r="M33" s="161">
        <v>2.9000000000000001E-2</v>
      </c>
      <c r="N33" s="161">
        <v>2.3599999999999999E-2</v>
      </c>
      <c r="O33" s="161">
        <v>2.2499999999999999E-2</v>
      </c>
      <c r="P33" s="53"/>
      <c r="Q33" s="73" t="s">
        <v>10</v>
      </c>
      <c r="R33" s="162">
        <v>1252</v>
      </c>
      <c r="S33" s="162">
        <v>864</v>
      </c>
      <c r="T33" s="163">
        <f t="shared" si="9"/>
        <v>0.44907407407407418</v>
      </c>
      <c r="U33" s="3"/>
      <c r="V33" s="73" t="s">
        <v>10</v>
      </c>
      <c r="W33" s="162">
        <v>337</v>
      </c>
      <c r="X33" s="162">
        <v>253</v>
      </c>
      <c r="Y33" s="163">
        <f t="shared" si="10"/>
        <v>0.33201581027667992</v>
      </c>
      <c r="AA33" s="73" t="s">
        <v>10</v>
      </c>
      <c r="AB33" s="162">
        <v>915</v>
      </c>
      <c r="AC33" s="162">
        <v>611</v>
      </c>
      <c r="AD33" s="163">
        <f t="shared" si="11"/>
        <v>0.49754500818330616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4.4">
      <c r="A34" s="2"/>
      <c r="B34" s="34" t="s">
        <v>54</v>
      </c>
      <c r="C34" s="6" t="s">
        <v>81</v>
      </c>
      <c r="D34" s="74">
        <f t="shared" ref="D34:E34" si="12">FV(D31,1,0,-D21,0)</f>
        <v>74622.5</v>
      </c>
      <c r="E34" s="74">
        <f t="shared" si="12"/>
        <v>6700.05</v>
      </c>
      <c r="F34" s="74">
        <f>E34*H31</f>
        <v>1621.4121</v>
      </c>
      <c r="G34" s="75">
        <f>FV(G31,1,0,-G21,0)</f>
        <v>6.7080000000000002</v>
      </c>
      <c r="H34" s="74">
        <f t="shared" ref="H34:H36" si="13">G34*20</f>
        <v>134.16</v>
      </c>
      <c r="I34" s="53"/>
      <c r="P34" s="53"/>
      <c r="Q34" s="80" t="s">
        <v>11</v>
      </c>
      <c r="R34" s="81">
        <v>5.16</v>
      </c>
      <c r="S34" s="81">
        <v>3.78</v>
      </c>
      <c r="T34" s="82">
        <f t="shared" si="9"/>
        <v>0.36507936507936511</v>
      </c>
      <c r="U34" s="65"/>
      <c r="V34" s="80" t="s">
        <v>11</v>
      </c>
      <c r="W34" s="81">
        <v>1.25</v>
      </c>
      <c r="X34" s="81">
        <v>1.1100000000000001</v>
      </c>
      <c r="Y34" s="82">
        <f t="shared" si="10"/>
        <v>0.12612612612612595</v>
      </c>
      <c r="AA34" s="80" t="s">
        <v>11</v>
      </c>
      <c r="AB34" s="81">
        <v>3.91</v>
      </c>
      <c r="AC34" s="81">
        <v>2.67</v>
      </c>
      <c r="AD34" s="82">
        <f t="shared" si="11"/>
        <v>0.46441947565543074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4.4">
      <c r="A35" s="2"/>
      <c r="B35" s="53"/>
      <c r="C35" s="6" t="s">
        <v>87</v>
      </c>
      <c r="D35" s="74">
        <f t="shared" ref="D35:E35" si="14">FV(D30,5,0,-D34,0)</f>
        <v>185684.65919999999</v>
      </c>
      <c r="E35" s="74">
        <f t="shared" si="14"/>
        <v>16671.868416000001</v>
      </c>
      <c r="F35" s="74">
        <f>E35*H30</f>
        <v>3501.09236736</v>
      </c>
      <c r="G35" s="74">
        <f>(F35*G34)/F34</f>
        <v>14.484490155371899</v>
      </c>
      <c r="H35" s="74">
        <f t="shared" si="13"/>
        <v>289.68980310743797</v>
      </c>
      <c r="I35" s="53"/>
      <c r="P35" s="84"/>
      <c r="Q35" s="80" t="s">
        <v>24</v>
      </c>
      <c r="R35" s="85">
        <f t="shared" ref="R35:S35" si="15">R33/R31</f>
        <v>0.25221595487510073</v>
      </c>
      <c r="S35" s="85">
        <f t="shared" si="15"/>
        <v>0.24813325674899483</v>
      </c>
      <c r="T35" s="164">
        <f t="shared" ref="T35:T36" si="16">R35-S35</f>
        <v>4.0826981261058992E-3</v>
      </c>
      <c r="U35" s="3"/>
      <c r="V35" s="80" t="s">
        <v>24</v>
      </c>
      <c r="W35" s="85">
        <f t="shared" ref="W35:X35" si="17">W33/W31</f>
        <v>0.24227174694464415</v>
      </c>
      <c r="X35" s="85">
        <f t="shared" si="17"/>
        <v>0.24420849420849422</v>
      </c>
      <c r="Y35" s="164">
        <f t="shared" ref="Y35:Y36" si="18">W35-X35</f>
        <v>-1.9367472638500693E-3</v>
      </c>
      <c r="AA35" s="80" t="s">
        <v>24</v>
      </c>
      <c r="AB35" s="85">
        <f t="shared" ref="AB35:AC35" si="19">AB33/AB31</f>
        <v>0.25608732157850544</v>
      </c>
      <c r="AC35" s="85">
        <f t="shared" si="19"/>
        <v>0.24979558462796403</v>
      </c>
      <c r="AD35" s="164">
        <f t="shared" ref="AD35:AD36" si="20">AB35-AC35</f>
        <v>6.2917369505414156E-3</v>
      </c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4.4">
      <c r="A36" s="2"/>
      <c r="B36" s="53"/>
      <c r="C36" s="6" t="s">
        <v>88</v>
      </c>
      <c r="D36" s="74">
        <f>FV(15%,5,0,-D34,0)</f>
        <v>150092.50172421872</v>
      </c>
      <c r="E36" s="74">
        <f t="shared" ref="E36:G36" si="21">FV(15%,5,0,-E35,0)</f>
        <v>33533.082367575829</v>
      </c>
      <c r="F36" s="74">
        <f t="shared" si="21"/>
        <v>7041.9472971909245</v>
      </c>
      <c r="G36" s="74">
        <f t="shared" si="21"/>
        <v>29.133483381280254</v>
      </c>
      <c r="H36" s="74">
        <f t="shared" si="13"/>
        <v>582.66966762560503</v>
      </c>
      <c r="I36" s="3"/>
      <c r="J36" s="76" t="s">
        <v>141</v>
      </c>
      <c r="K36" s="76" t="s">
        <v>142</v>
      </c>
      <c r="L36" s="76" t="s">
        <v>143</v>
      </c>
      <c r="M36" s="76" t="s">
        <v>144</v>
      </c>
      <c r="N36" s="76" t="s">
        <v>145</v>
      </c>
      <c r="O36" s="76" t="s">
        <v>146</v>
      </c>
      <c r="P36" s="3"/>
      <c r="Q36" s="73" t="s">
        <v>30</v>
      </c>
      <c r="R36" s="165">
        <v>2.3599999999999999E-2</v>
      </c>
      <c r="S36" s="165">
        <v>3.2099999999999997E-2</v>
      </c>
      <c r="T36" s="164">
        <f t="shared" si="16"/>
        <v>-8.4999999999999971E-3</v>
      </c>
      <c r="U36" s="65"/>
      <c r="V36" s="73" t="s">
        <v>30</v>
      </c>
      <c r="W36" s="165">
        <v>2.3599999999999999E-2</v>
      </c>
      <c r="X36" s="165">
        <v>3.2099999999999997E-2</v>
      </c>
      <c r="Y36" s="164">
        <f t="shared" si="18"/>
        <v>-8.4999999999999971E-3</v>
      </c>
      <c r="AA36" s="73" t="s">
        <v>30</v>
      </c>
      <c r="AB36" s="165">
        <v>2.9000000000000001E-2</v>
      </c>
      <c r="AC36" s="165">
        <v>4.24E-2</v>
      </c>
      <c r="AD36" s="164">
        <f t="shared" si="20"/>
        <v>-1.3399999999999999E-2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4.4">
      <c r="A37" s="2"/>
      <c r="B37" s="3"/>
      <c r="C37" s="3"/>
      <c r="D37" s="3"/>
      <c r="E37" s="32"/>
      <c r="F37" s="32"/>
      <c r="G37" s="32"/>
      <c r="H37" s="32"/>
      <c r="I37" s="3"/>
      <c r="J37" s="83" t="s">
        <v>11</v>
      </c>
      <c r="K37" s="81">
        <v>1.29</v>
      </c>
      <c r="L37" s="81">
        <v>1.25</v>
      </c>
      <c r="M37" s="16">
        <v>1.38</v>
      </c>
      <c r="N37" s="16">
        <v>1.25</v>
      </c>
      <c r="O37" s="81">
        <v>5.16</v>
      </c>
      <c r="P37" s="3"/>
      <c r="Q37" s="89"/>
      <c r="R37" s="90"/>
      <c r="S37" s="90"/>
      <c r="T37" s="91"/>
      <c r="U37" s="3"/>
      <c r="V37" s="3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4.4">
      <c r="A38" s="3"/>
      <c r="B38" s="3"/>
      <c r="C38" s="3"/>
      <c r="D38" s="3"/>
      <c r="E38" s="17"/>
      <c r="F38" s="32"/>
      <c r="G38" s="32"/>
      <c r="H38" s="32"/>
      <c r="I38" s="3"/>
      <c r="J38" s="3"/>
      <c r="K38" s="17"/>
      <c r="L38" s="88"/>
      <c r="M38" s="88"/>
      <c r="N38" s="31"/>
      <c r="O38" s="31"/>
      <c r="P38" s="53"/>
      <c r="Q38" s="31"/>
      <c r="R38" s="31"/>
      <c r="S38" s="31"/>
      <c r="T38" s="31"/>
      <c r="U38" s="31"/>
      <c r="AB38" s="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4.4">
      <c r="A39" s="2"/>
      <c r="B39" s="3"/>
      <c r="C39" s="3"/>
      <c r="D39" s="3"/>
      <c r="E39" s="17"/>
      <c r="F39" s="32"/>
      <c r="G39" s="32"/>
      <c r="H39" s="32"/>
      <c r="I39" s="3"/>
      <c r="J39" s="3"/>
      <c r="K39" s="53"/>
      <c r="L39" s="95" t="s">
        <v>86</v>
      </c>
      <c r="M39" s="95" t="s">
        <v>89</v>
      </c>
      <c r="N39" s="95" t="s">
        <v>90</v>
      </c>
      <c r="O39" s="95" t="s">
        <v>36</v>
      </c>
      <c r="P39" s="53"/>
      <c r="Q39" s="6" t="s">
        <v>78</v>
      </c>
      <c r="R39" s="8" t="s">
        <v>57</v>
      </c>
      <c r="S39" s="8" t="s">
        <v>56</v>
      </c>
      <c r="T39" s="57" t="s">
        <v>92</v>
      </c>
      <c r="U39" s="57" t="s">
        <v>58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4.4">
      <c r="A40" s="2"/>
      <c r="B40" s="3"/>
      <c r="C40" s="3"/>
      <c r="D40" s="3"/>
      <c r="E40" s="17"/>
      <c r="F40" s="32"/>
      <c r="G40" s="32"/>
      <c r="H40" s="32"/>
      <c r="I40" s="3"/>
      <c r="J40" s="3"/>
      <c r="K40" s="53"/>
      <c r="L40" s="96">
        <v>3.78</v>
      </c>
      <c r="M40" s="97">
        <v>5.16</v>
      </c>
      <c r="N40" s="98">
        <f>G34</f>
        <v>6.7080000000000002</v>
      </c>
      <c r="O40" s="174">
        <f>M42/24.8</f>
        <v>1.0627656914228558</v>
      </c>
      <c r="P40" s="53"/>
      <c r="Q40" s="9" t="s">
        <v>79</v>
      </c>
      <c r="R40" s="58">
        <v>3164</v>
      </c>
      <c r="S40" s="58">
        <v>2088</v>
      </c>
      <c r="T40" s="71">
        <f t="shared" ref="T40:T46" si="22">R40/$R$48</f>
        <v>0.96522269676632089</v>
      </c>
      <c r="U40" s="100">
        <f t="shared" ref="U40:U46" si="23">R40/S40-1</f>
        <v>0.5153256704980842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4.4">
      <c r="A41" s="2"/>
      <c r="B41" s="3"/>
      <c r="C41" s="3"/>
      <c r="D41" s="3"/>
      <c r="E41" s="32"/>
      <c r="F41" s="32"/>
      <c r="G41" s="32"/>
      <c r="H41" s="32"/>
      <c r="I41" s="3"/>
      <c r="J41" s="32"/>
      <c r="K41" s="99"/>
      <c r="L41" s="95" t="s">
        <v>94</v>
      </c>
      <c r="M41" s="95" t="s">
        <v>94</v>
      </c>
      <c r="N41" s="95" t="s">
        <v>95</v>
      </c>
      <c r="O41" s="175"/>
      <c r="P41" s="53"/>
      <c r="Q41" s="35" t="s">
        <v>99</v>
      </c>
      <c r="R41" s="39">
        <v>71</v>
      </c>
      <c r="S41" s="39">
        <v>63</v>
      </c>
      <c r="T41" s="71">
        <f t="shared" si="22"/>
        <v>2.1659548505186088E-2</v>
      </c>
      <c r="U41" s="106">
        <f t="shared" si="23"/>
        <v>0.12698412698412698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4.4">
      <c r="A42" s="2"/>
      <c r="B42" s="3"/>
      <c r="C42" s="3"/>
      <c r="D42" s="3"/>
      <c r="E42" s="32"/>
      <c r="F42" s="32"/>
      <c r="G42" s="32"/>
      <c r="H42" s="32"/>
      <c r="I42" s="3"/>
      <c r="J42" s="3"/>
      <c r="K42" s="53"/>
      <c r="L42" s="101">
        <f>32/L40</f>
        <v>8.4656084656084669</v>
      </c>
      <c r="M42" s="102">
        <f>136/M40</f>
        <v>26.356589147286822</v>
      </c>
      <c r="N42" s="103">
        <f ca="1">C6/N40</f>
        <v>26.699463327370303</v>
      </c>
      <c r="O42" s="176"/>
      <c r="P42" s="53"/>
      <c r="Q42" s="9" t="s">
        <v>100</v>
      </c>
      <c r="R42" s="58">
        <v>-67</v>
      </c>
      <c r="S42" s="58">
        <v>66</v>
      </c>
      <c r="T42" s="71">
        <f t="shared" si="22"/>
        <v>-2.0439292251372788E-2</v>
      </c>
      <c r="U42" s="110">
        <f t="shared" si="23"/>
        <v>-2.0151515151515151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4.4">
      <c r="A43" s="2"/>
      <c r="B43" s="3"/>
      <c r="C43" s="3"/>
      <c r="D43" s="3"/>
      <c r="E43" s="32"/>
      <c r="F43" s="32"/>
      <c r="G43" s="32"/>
      <c r="H43" s="32"/>
      <c r="N43" s="3"/>
      <c r="O43" s="3"/>
      <c r="P43" s="53"/>
      <c r="Q43" s="77" t="s">
        <v>105</v>
      </c>
      <c r="R43" s="36">
        <v>76</v>
      </c>
      <c r="S43" s="36">
        <v>71</v>
      </c>
      <c r="T43" s="71">
        <f t="shared" si="22"/>
        <v>2.3184868822452714E-2</v>
      </c>
      <c r="U43" s="71">
        <f t="shared" si="23"/>
        <v>7.0422535211267512E-2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4.4">
      <c r="A44" s="2"/>
      <c r="B44" s="2"/>
      <c r="C44" s="2"/>
      <c r="D44" s="2"/>
      <c r="E44" s="2"/>
      <c r="F44" s="2"/>
      <c r="G44" s="2"/>
      <c r="H44" s="2"/>
      <c r="N44" s="3"/>
      <c r="O44" s="3"/>
      <c r="Q44" s="77" t="s">
        <v>107</v>
      </c>
      <c r="R44" s="58">
        <v>30</v>
      </c>
      <c r="S44" s="58">
        <v>23</v>
      </c>
      <c r="T44" s="71">
        <f t="shared" si="22"/>
        <v>9.1519219035997561E-3</v>
      </c>
      <c r="U44" s="121">
        <f t="shared" si="23"/>
        <v>0.30434782608695654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4.4">
      <c r="A45" s="2"/>
      <c r="B45" s="2"/>
      <c r="C45" s="2"/>
      <c r="D45" s="2"/>
      <c r="E45" s="2"/>
      <c r="F45" s="2"/>
      <c r="G45" s="2"/>
      <c r="H45" s="2"/>
      <c r="K45" s="50"/>
      <c r="N45" s="3"/>
      <c r="O45" s="3"/>
      <c r="Q45" s="77" t="s">
        <v>147</v>
      </c>
      <c r="R45" s="36">
        <v>-17</v>
      </c>
      <c r="S45" s="36">
        <v>24</v>
      </c>
      <c r="T45" s="71">
        <f t="shared" si="22"/>
        <v>-5.1860890787065288E-3</v>
      </c>
      <c r="U45" s="121">
        <f t="shared" si="23"/>
        <v>-1.7083333333333335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4.4">
      <c r="A46" s="2"/>
      <c r="B46" s="2"/>
      <c r="C46" s="2"/>
      <c r="D46" s="2"/>
      <c r="E46" s="2"/>
      <c r="F46" s="2"/>
      <c r="G46" s="2"/>
      <c r="H46" s="2"/>
      <c r="K46" s="50"/>
      <c r="N46" s="2"/>
      <c r="O46" s="2"/>
      <c r="Q46" s="166" t="s">
        <v>148</v>
      </c>
      <c r="R46" s="166">
        <v>21</v>
      </c>
      <c r="S46" s="166">
        <v>7</v>
      </c>
      <c r="T46" s="71">
        <f t="shared" si="22"/>
        <v>6.4063453325198293E-3</v>
      </c>
      <c r="U46" s="121">
        <f t="shared" si="23"/>
        <v>2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4.4">
      <c r="A47" s="2"/>
      <c r="B47" s="2"/>
      <c r="C47" s="2"/>
      <c r="D47" s="128"/>
      <c r="E47" s="2"/>
      <c r="F47" s="2"/>
      <c r="G47" s="2"/>
      <c r="H47" s="2"/>
      <c r="K47" s="50"/>
      <c r="N47" s="2"/>
      <c r="O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4.4">
      <c r="A48" s="2"/>
      <c r="B48" s="2"/>
      <c r="C48" s="2"/>
      <c r="D48" s="2"/>
      <c r="E48" s="2"/>
      <c r="F48" s="2"/>
      <c r="G48" s="2"/>
      <c r="H48" s="2"/>
      <c r="K48" s="50"/>
      <c r="N48" s="2"/>
      <c r="O48" s="2"/>
      <c r="Q48" s="167" t="s">
        <v>104</v>
      </c>
      <c r="R48" s="168">
        <f t="shared" ref="R48:S48" si="24">SUM(R40:R46)</f>
        <v>3278</v>
      </c>
      <c r="S48" s="168">
        <f t="shared" si="24"/>
        <v>2342</v>
      </c>
      <c r="T48" s="169">
        <f>R48/$R$48</f>
        <v>1</v>
      </c>
      <c r="U48" s="170">
        <f>R48/S48-1</f>
        <v>0.39965841161400517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4.4">
      <c r="A49" s="2"/>
      <c r="B49" s="2"/>
      <c r="C49" s="2"/>
      <c r="D49" s="2"/>
      <c r="E49" s="2"/>
      <c r="F49" s="2"/>
      <c r="G49" s="2"/>
      <c r="H49" s="2"/>
      <c r="K49" s="50"/>
      <c r="N49" s="2"/>
      <c r="O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4.4">
      <c r="A50" s="2"/>
      <c r="B50" s="2"/>
      <c r="C50" s="2"/>
      <c r="D50" s="130"/>
      <c r="E50" s="2"/>
      <c r="F50" s="2"/>
      <c r="G50" s="2"/>
      <c r="H50" s="2"/>
      <c r="K50" s="50"/>
      <c r="N50" s="2"/>
      <c r="O50" s="2"/>
      <c r="P50" s="2"/>
      <c r="Q50" s="131"/>
      <c r="R50" s="132"/>
      <c r="S50" s="132"/>
      <c r="T50" s="133"/>
      <c r="U50" s="133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4.4">
      <c r="A51" s="2"/>
      <c r="B51" s="2"/>
      <c r="C51" s="2"/>
      <c r="D51" s="2"/>
      <c r="E51" s="2"/>
      <c r="F51" s="2"/>
      <c r="G51" s="2"/>
      <c r="H51" s="2"/>
      <c r="K51" s="50"/>
      <c r="N51" s="2"/>
      <c r="O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4.4">
      <c r="A52" s="2"/>
      <c r="B52" s="2"/>
      <c r="C52" s="2"/>
      <c r="D52" s="128"/>
      <c r="E52" s="2"/>
      <c r="F52" s="2"/>
      <c r="G52" s="2"/>
      <c r="H52" s="2"/>
      <c r="K52" s="50"/>
      <c r="N52" s="2"/>
      <c r="O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4.4">
      <c r="A53" s="2"/>
      <c r="B53" s="2"/>
      <c r="C53" s="2"/>
      <c r="D53" s="2"/>
      <c r="E53" s="2"/>
      <c r="F53" s="2"/>
      <c r="G53" s="2"/>
      <c r="H53" s="2"/>
      <c r="K53" s="50"/>
      <c r="N53" s="2"/>
      <c r="O53" s="2"/>
      <c r="R53" s="122"/>
      <c r="S53" s="122"/>
      <c r="T53" s="12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4.4">
      <c r="A54" s="2"/>
      <c r="B54" s="2"/>
      <c r="C54" s="2"/>
      <c r="D54" s="2"/>
      <c r="E54" s="2"/>
      <c r="F54" s="2"/>
      <c r="G54" s="2"/>
      <c r="H54" s="2"/>
      <c r="K54" s="50"/>
      <c r="N54" s="2"/>
      <c r="O54" s="2"/>
      <c r="R54" s="122"/>
      <c r="S54" s="51"/>
      <c r="T54" s="12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4.4">
      <c r="A55" s="2"/>
      <c r="B55" s="2"/>
      <c r="C55" s="2"/>
      <c r="D55" s="2"/>
      <c r="E55" s="2"/>
      <c r="F55" s="2"/>
      <c r="G55" s="2"/>
      <c r="H55" s="2"/>
      <c r="K55" s="50"/>
      <c r="N55" s="2"/>
      <c r="O55" s="2"/>
      <c r="R55" s="122"/>
      <c r="S55" s="122"/>
      <c r="T55" s="12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4.4">
      <c r="A56" s="2"/>
      <c r="B56" s="2"/>
      <c r="C56" s="2"/>
      <c r="D56" s="2"/>
      <c r="E56" s="2"/>
      <c r="F56" s="2"/>
      <c r="G56" s="2"/>
      <c r="H56" s="2"/>
      <c r="N56" s="2"/>
      <c r="O56" s="2"/>
      <c r="R56" s="122"/>
      <c r="S56" s="122"/>
      <c r="T56" s="12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4.4">
      <c r="A57" s="2"/>
      <c r="B57" s="2"/>
      <c r="C57" s="2"/>
      <c r="D57" s="2"/>
      <c r="E57" s="2"/>
      <c r="F57" s="2"/>
      <c r="G57" s="2"/>
      <c r="H57" s="2"/>
      <c r="N57" s="2"/>
      <c r="O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4.4">
      <c r="A58" s="2"/>
      <c r="B58" s="2"/>
      <c r="C58" s="2"/>
      <c r="D58" s="2"/>
      <c r="E58" s="2"/>
      <c r="F58" s="2"/>
      <c r="G58" s="2"/>
      <c r="H58" s="2"/>
      <c r="N58" s="2"/>
      <c r="O58" s="2"/>
      <c r="R58" s="122"/>
      <c r="S58" s="122"/>
      <c r="T58" s="12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4.4">
      <c r="A59" s="2"/>
      <c r="B59" s="2"/>
      <c r="C59" s="2"/>
      <c r="D59" s="2"/>
      <c r="E59" s="2"/>
      <c r="F59" s="2"/>
      <c r="G59" s="2"/>
      <c r="H59" s="2"/>
      <c r="N59" s="2"/>
      <c r="O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4.4">
      <c r="A60" s="2"/>
      <c r="B60" s="2"/>
      <c r="C60" s="2"/>
      <c r="D60" s="2"/>
      <c r="E60" s="2"/>
      <c r="F60" s="2"/>
      <c r="G60" s="2"/>
      <c r="H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4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4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4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4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4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4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4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4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4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4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4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4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4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4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4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4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4.4">
      <c r="A77" s="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4.4">
      <c r="A78" s="2"/>
      <c r="B78" s="13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4.4">
      <c r="A79" s="2"/>
      <c r="B79" s="136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4.4">
      <c r="A80" s="2"/>
      <c r="B80" s="136"/>
      <c r="E80" s="136"/>
      <c r="F80" s="136"/>
      <c r="G80" s="3"/>
      <c r="H80" s="3"/>
      <c r="I80" s="3"/>
      <c r="J80" s="3"/>
      <c r="K80" s="3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4.4">
      <c r="A81" s="2"/>
      <c r="D81" s="136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4.4">
      <c r="A82" s="2"/>
      <c r="D82" s="136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4.4">
      <c r="A83" s="2"/>
      <c r="D83" s="136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4.4">
      <c r="A84" s="2"/>
      <c r="C84" s="136"/>
      <c r="D84" s="171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4.4">
      <c r="A85" s="2"/>
      <c r="C85" s="136"/>
      <c r="D85" s="171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4.4">
      <c r="A86" s="2"/>
      <c r="C86" s="136"/>
      <c r="D86" s="171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4.4">
      <c r="A87" s="2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4.4">
      <c r="A88" s="2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4.4">
      <c r="A89" s="2"/>
      <c r="E89" s="3"/>
      <c r="F89" s="3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4.4">
      <c r="A90" s="2"/>
      <c r="E90" s="3"/>
      <c r="F90" s="3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4.4">
      <c r="A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4.4">
      <c r="A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4.4">
      <c r="A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4.4">
      <c r="A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4.4">
      <c r="A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4.4">
      <c r="A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4.4">
      <c r="A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4.4">
      <c r="A98" s="2"/>
      <c r="B98" s="2"/>
      <c r="C98" s="2"/>
      <c r="D98" s="13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4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4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4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4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4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4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4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4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4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4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4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4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4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4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4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4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4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4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4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4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4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4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4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4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4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4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4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4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4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4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4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4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4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4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4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4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4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4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4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4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4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4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4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4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4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4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4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4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4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4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4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4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4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4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4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4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4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4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4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4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4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4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4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4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4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4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4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4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4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4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4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4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4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4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4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4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4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4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4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4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4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4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4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4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4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4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4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4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4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4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4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4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4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4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4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4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4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4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4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4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4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4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4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4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4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4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4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4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4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4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4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4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4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4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4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4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4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4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4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4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4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4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4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4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4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4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4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4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4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4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4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4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4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4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4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4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4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4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4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4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4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4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4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4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4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4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4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4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4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4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4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4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4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4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4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4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4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4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4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4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4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4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4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4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4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4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4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4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4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4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4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4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4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4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4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4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4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4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4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4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4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4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4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4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4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4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4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4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4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4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4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4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4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4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4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4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4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4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4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4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4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4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4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4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4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4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4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4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4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4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4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4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4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4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4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4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4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4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4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4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4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4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4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4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4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4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4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4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4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4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4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4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4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4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4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4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4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4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4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4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4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4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4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4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4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4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4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4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4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4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4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4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4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4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4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4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4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4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4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4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4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4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4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4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4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4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4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4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4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4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4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4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4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4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4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4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4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4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4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4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4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4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4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4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4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4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4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4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4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4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4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4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4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4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4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4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4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4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4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4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4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4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4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4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4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4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4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4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4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4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4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4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4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4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4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4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4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4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4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4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4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4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4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4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4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4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4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4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4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4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4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4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4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4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4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4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4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4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4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4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4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4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4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4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4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4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4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4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4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4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4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4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4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4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4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4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4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4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4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4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4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4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4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4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4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4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4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4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4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4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4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4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4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4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4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4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4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4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4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4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4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4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4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4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4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4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4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4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4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4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4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4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4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4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4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4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4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4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4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4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4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4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4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4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4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4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4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4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4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4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4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4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4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4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4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4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4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4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4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4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4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4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4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4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4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4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4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4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4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4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4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4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4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4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4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4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4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4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4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4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4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4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4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4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4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4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4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4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4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4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4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4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4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4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4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4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4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4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4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4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4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4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4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4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4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4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4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4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4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4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4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4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4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4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4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4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4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4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4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4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4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4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4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4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4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4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4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4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4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4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4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4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4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4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4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4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4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4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4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4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4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4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4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4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4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4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4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4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4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4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4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4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4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4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4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4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4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4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4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4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4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4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4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4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4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4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4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4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4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4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4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4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4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4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4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4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4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4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4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4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4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4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4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4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4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4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4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4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4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4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4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4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4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4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4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4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4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4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4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4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4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4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4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4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4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4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4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4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4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4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4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4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4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4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4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4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4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4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4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4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4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4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4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4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4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4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4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4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4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4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4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4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4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4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4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4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4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4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4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4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4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4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4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4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4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4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4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4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4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4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4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4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4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4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4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4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4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4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4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4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4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4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4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4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4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4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4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4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4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4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4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4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4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4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4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4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4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4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4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4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4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4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4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4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4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4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4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4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4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4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4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4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4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4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4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4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4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4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4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4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4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4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4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4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4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4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4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4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4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4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4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4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4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4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4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4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4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4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4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4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4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4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4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4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4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4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4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4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4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4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4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4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4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4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4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4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4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4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4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4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4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4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4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4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4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4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4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4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4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4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4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4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4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4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4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4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4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4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4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4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4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4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4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4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4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4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4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4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4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4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4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4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4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4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4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4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4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4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4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4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4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4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4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4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4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4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4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4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4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4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4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4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4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4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4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4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4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4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4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4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4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4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4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4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4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4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4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4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4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4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4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4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4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4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4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4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4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4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4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4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4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4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4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4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4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4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4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4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4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4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4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4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4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4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4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4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4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4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4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4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4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4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4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4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4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4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4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4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4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4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4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4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4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4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4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4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4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4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4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4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4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4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4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4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4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4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4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4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4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4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4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4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4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4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4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4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4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4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4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4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4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4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4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4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4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4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4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4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4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4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4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4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4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4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4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4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4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4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4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4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4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4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4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4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4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4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4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4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4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4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4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4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4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4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4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4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4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4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4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4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4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4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4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4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4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4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</sheetData>
  <mergeCells count="3">
    <mergeCell ref="B1:Q3"/>
    <mergeCell ref="I14:L20"/>
    <mergeCell ref="O40:O42"/>
  </mergeCells>
  <conditionalFormatting sqref="D14:D21 E14:E17">
    <cfRule type="colorScale" priority="1">
      <colorScale>
        <cfvo type="min"/>
        <cfvo type="max"/>
        <color rgb="FFFFFFFF"/>
        <color rgb="FF57BB8A"/>
      </colorScale>
    </cfRule>
  </conditionalFormatting>
  <conditionalFormatting sqref="D23:G27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30:G31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4:E21">
    <cfRule type="colorScale" priority="2">
      <colorScale>
        <cfvo type="min"/>
        <cfvo type="max"/>
        <color rgb="FFFFFFFF"/>
        <color rgb="FF57BB8A"/>
      </colorScale>
    </cfRule>
  </conditionalFormatting>
  <conditionalFormatting sqref="F14:F21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4:G21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4:H21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3:H27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1:J21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1:L21">
    <cfRule type="colorScale" priority="2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28:N32 O30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2:N32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3:N33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37:N37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4:M21">
    <cfRule type="colorScale" priority="6">
      <colorScale>
        <cfvo type="min"/>
        <cfvo type="max"/>
        <color rgb="FFFFFFFF"/>
        <color rgb="FF57BB8A"/>
      </colorScale>
    </cfRule>
  </conditionalFormatting>
  <conditionalFormatting sqref="M23:N27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4:N21">
    <cfRule type="colorScale" priority="7">
      <colorScale>
        <cfvo type="min"/>
        <cfvo type="max"/>
        <color rgb="FFFFFFFF"/>
        <color rgb="FF57BB8A"/>
      </colorScale>
    </cfRule>
  </conditionalFormatting>
  <conditionalFormatting sqref="O14:O21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23:O27">
    <cfRule type="colorScale" priority="1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T38:T46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27:Y29 T31:T35 Y31:Y35 AD31:AD35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IRFC</vt:lpstr>
      <vt:lpstr>IREDA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2024-06-14T16:05:59Z</dcterms:created>
  <dcterms:modified xsi:type="dcterms:W3CDTF">2024-06-14T16:05:59Z</dcterms:modified>
</cp:coreProperties>
</file>