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D7B2802D-6DFB-47C5-9FCA-B7DC586CBFF5}" xr6:coauthVersionLast="47" xr6:coauthVersionMax="47" xr10:uidLastSave="{00000000-0000-0000-0000-000000000000}"/>
  <bookViews>
    <workbookView xWindow="-108" yWindow="-108" windowWidth="23256" windowHeight="12456" xr2:uid="{77A35A9F-3E48-41A0-A9A3-2FA45C8A9A94}"/>
  </bookViews>
  <sheets>
    <sheet name="IRF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R32" i="1" s="1"/>
  <c r="T30" i="1" s="1"/>
  <c r="N11" i="1" s="1"/>
  <c r="D6" i="1"/>
  <c r="D7" i="1" s="1"/>
  <c r="D8" i="1" s="1"/>
  <c r="H6" i="1"/>
  <c r="E8" i="1"/>
  <c r="I8" i="1"/>
  <c r="J8" i="1"/>
  <c r="K8" i="1"/>
  <c r="L8" i="1"/>
  <c r="M8" i="1"/>
  <c r="N8" i="1"/>
  <c r="P8" i="1"/>
  <c r="Q8" i="1"/>
  <c r="R8" i="1"/>
  <c r="F11" i="1"/>
  <c r="M11" i="1"/>
  <c r="H14" i="1"/>
  <c r="O14" i="1"/>
  <c r="H15" i="1"/>
  <c r="O15" i="1"/>
  <c r="H16" i="1"/>
  <c r="O16" i="1"/>
  <c r="H17" i="1"/>
  <c r="H25" i="1" s="1"/>
  <c r="O17" i="1"/>
  <c r="H18" i="1"/>
  <c r="K18" i="1"/>
  <c r="K26" i="1" s="1"/>
  <c r="L18" i="1"/>
  <c r="O18" i="1"/>
  <c r="P18" i="1"/>
  <c r="Q18" i="1"/>
  <c r="H19" i="1"/>
  <c r="K19" i="1"/>
  <c r="L19" i="1"/>
  <c r="L26" i="1" s="1"/>
  <c r="O19" i="1"/>
  <c r="P19" i="1" s="1"/>
  <c r="K20" i="1"/>
  <c r="L20" i="1"/>
  <c r="O20" i="1"/>
  <c r="P20" i="1" s="1"/>
  <c r="Q20" i="1"/>
  <c r="K21" i="1"/>
  <c r="K27" i="1" s="1"/>
  <c r="L21" i="1"/>
  <c r="O21" i="1"/>
  <c r="P21" i="1"/>
  <c r="Q21" i="1"/>
  <c r="E22" i="1"/>
  <c r="F6" i="1" s="1"/>
  <c r="F8" i="1" s="1"/>
  <c r="C11" i="1" s="1"/>
  <c r="F22" i="1"/>
  <c r="G6" i="1" s="1"/>
  <c r="G22" i="1"/>
  <c r="L22" i="1" s="1"/>
  <c r="K22" i="1"/>
  <c r="O22" i="1"/>
  <c r="P22" i="1"/>
  <c r="Q22" i="1"/>
  <c r="D25" i="1"/>
  <c r="E25" i="1"/>
  <c r="F25" i="1"/>
  <c r="G25" i="1"/>
  <c r="I25" i="1"/>
  <c r="J25" i="1"/>
  <c r="L25" i="1"/>
  <c r="M25" i="1"/>
  <c r="N25" i="1"/>
  <c r="O25" i="1"/>
  <c r="D26" i="1"/>
  <c r="E26" i="1"/>
  <c r="F26" i="1"/>
  <c r="G26" i="1"/>
  <c r="H26" i="1"/>
  <c r="I26" i="1"/>
  <c r="J26" i="1"/>
  <c r="M26" i="1"/>
  <c r="N26" i="1"/>
  <c r="O26" i="1"/>
  <c r="U26" i="1"/>
  <c r="D27" i="1"/>
  <c r="E27" i="1"/>
  <c r="F27" i="1"/>
  <c r="G27" i="1"/>
  <c r="H27" i="1"/>
  <c r="I27" i="1"/>
  <c r="J27" i="1"/>
  <c r="L27" i="1"/>
  <c r="M27" i="1"/>
  <c r="N27" i="1"/>
  <c r="O27" i="1"/>
  <c r="P27" i="1"/>
  <c r="Q27" i="1"/>
  <c r="U27" i="1"/>
  <c r="O30" i="1"/>
  <c r="U30" i="1"/>
  <c r="U31" i="1"/>
  <c r="Q32" i="1"/>
  <c r="F35" i="1"/>
  <c r="K35" i="1"/>
  <c r="P35" i="1"/>
  <c r="V35" i="1"/>
  <c r="AB35" i="1"/>
  <c r="F36" i="1"/>
  <c r="K36" i="1"/>
  <c r="P36" i="1"/>
  <c r="V36" i="1"/>
  <c r="AB36" i="1"/>
  <c r="F37" i="1"/>
  <c r="K37" i="1"/>
  <c r="P37" i="1"/>
  <c r="AB37" i="1"/>
  <c r="F38" i="1"/>
  <c r="K38" i="1"/>
  <c r="P38" i="1"/>
  <c r="S38" i="1"/>
  <c r="V38" i="1" s="1"/>
  <c r="T38" i="1"/>
  <c r="U38" i="1"/>
  <c r="AB38" i="1"/>
  <c r="F39" i="1"/>
  <c r="K39" i="1"/>
  <c r="P39" i="1"/>
  <c r="AB39" i="1"/>
  <c r="F40" i="1"/>
  <c r="K40" i="1"/>
  <c r="P40" i="1"/>
  <c r="AB40" i="1"/>
  <c r="D41" i="1"/>
  <c r="B11" i="1" s="1"/>
  <c r="E41" i="1"/>
  <c r="F41" i="1"/>
  <c r="I41" i="1"/>
  <c r="K41" i="1" s="1"/>
  <c r="J41" i="1"/>
  <c r="N41" i="1"/>
  <c r="P41" i="1" s="1"/>
  <c r="O41" i="1"/>
  <c r="Y41" i="1"/>
  <c r="AA37" i="1" s="1"/>
  <c r="Z41" i="1"/>
  <c r="D48" i="1"/>
  <c r="E48" i="1"/>
  <c r="E49" i="1" s="1"/>
  <c r="G48" i="1"/>
  <c r="I48" i="1" s="1"/>
  <c r="H48" i="1"/>
  <c r="L48" i="1" s="1"/>
  <c r="D49" i="1"/>
  <c r="D50" i="1" s="1"/>
  <c r="D53" i="1"/>
  <c r="J11" i="1" l="1"/>
  <c r="S32" i="1"/>
  <c r="C8" i="1"/>
  <c r="E11" i="1"/>
  <c r="G8" i="1"/>
  <c r="D11" i="1"/>
  <c r="M48" i="1"/>
  <c r="F49" i="1"/>
  <c r="E50" i="1"/>
  <c r="P25" i="1"/>
  <c r="P26" i="1"/>
  <c r="AA39" i="1"/>
  <c r="N48" i="1"/>
  <c r="F48" i="1"/>
  <c r="F45" i="1" s="1"/>
  <c r="H49" i="1"/>
  <c r="AA40" i="1"/>
  <c r="AA36" i="1"/>
  <c r="K25" i="1"/>
  <c r="K11" i="1"/>
  <c r="H8" i="1"/>
  <c r="K48" i="1"/>
  <c r="J48" i="1" s="1"/>
  <c r="O48" i="1" s="1"/>
  <c r="F53" i="1" s="1"/>
  <c r="G53" i="1" s="1"/>
  <c r="U35" i="1"/>
  <c r="AB41" i="1"/>
  <c r="AA38" i="1"/>
  <c r="U36" i="1"/>
  <c r="Q19" i="1"/>
  <c r="Q26" i="1" s="1"/>
  <c r="AA35" i="1"/>
  <c r="AA41" i="1"/>
  <c r="N49" i="1" l="1"/>
  <c r="L49" i="1"/>
  <c r="M49" i="1" s="1"/>
  <c r="H50" i="1"/>
  <c r="Q25" i="1"/>
  <c r="G49" i="1"/>
  <c r="F50" i="1"/>
  <c r="L50" i="1" l="1"/>
  <c r="N50" i="1"/>
  <c r="I49" i="1"/>
  <c r="J49" i="1" s="1"/>
  <c r="O49" i="1" s="1"/>
  <c r="K49" i="1"/>
  <c r="G50" i="1"/>
  <c r="I50" i="1" l="1"/>
  <c r="J50" i="1" s="1"/>
  <c r="O50" i="1" s="1"/>
  <c r="K50" i="1"/>
  <c r="M50" i="1"/>
</calcChain>
</file>

<file path=xl/sharedStrings.xml><?xml version="1.0" encoding="utf-8"?>
<sst xmlns="http://schemas.openxmlformats.org/spreadsheetml/2006/main" count="211" uniqueCount="137">
  <si>
    <t>fy_2023</t>
  </si>
  <si>
    <t>fy_2022</t>
  </si>
  <si>
    <t>fy_2020</t>
  </si>
  <si>
    <t>IRFC</t>
  </si>
  <si>
    <t>fy_2019</t>
  </si>
  <si>
    <t>Tactical Wt (%)</t>
  </si>
  <si>
    <t>TAF</t>
  </si>
  <si>
    <t>STRATEGIC WT %</t>
  </si>
  <si>
    <t>Price</t>
  </si>
  <si>
    <t>Company</t>
  </si>
  <si>
    <t>fy_2018</t>
  </si>
  <si>
    <t>fy_2017</t>
  </si>
  <si>
    <t>fy_2035</t>
  </si>
  <si>
    <t>fy_2016</t>
  </si>
  <si>
    <t>fy_2030</t>
  </si>
  <si>
    <t>fy_2015</t>
  </si>
  <si>
    <t>fy_2026</t>
  </si>
  <si>
    <t>fy_2014</t>
  </si>
  <si>
    <t>Blended Farivalue</t>
  </si>
  <si>
    <t>HIGH PRICE RANGE</t>
  </si>
  <si>
    <t>FAIRVALUE@BV</t>
  </si>
  <si>
    <t>LOW PRICE RANGE</t>
  </si>
  <si>
    <t>FAIRVALUE@EPS</t>
  </si>
  <si>
    <t>BV</t>
  </si>
  <si>
    <t>EPS</t>
  </si>
  <si>
    <t>Profit</t>
  </si>
  <si>
    <t>Sales</t>
  </si>
  <si>
    <t>AUM</t>
  </si>
  <si>
    <t>Year</t>
  </si>
  <si>
    <t>fy_2013</t>
  </si>
  <si>
    <t>Blended EPS(60%)+PBV(40%)</t>
  </si>
  <si>
    <t>Base on BV</t>
  </si>
  <si>
    <t>Base on EPS</t>
  </si>
  <si>
    <t>fy_2012</t>
  </si>
  <si>
    <t>FY_2026</t>
  </si>
  <si>
    <t>fy_2011</t>
  </si>
  <si>
    <t>LONG TERM</t>
  </si>
  <si>
    <t>fy_2010</t>
  </si>
  <si>
    <t>Margin</t>
  </si>
  <si>
    <t>YEAR</t>
  </si>
  <si>
    <t>Expectation</t>
  </si>
  <si>
    <t>Passenger earnings in cr</t>
  </si>
  <si>
    <t>Passengers in cr</t>
  </si>
  <si>
    <t>Fiscal</t>
  </si>
  <si>
    <t>TOTAL</t>
  </si>
  <si>
    <t>MARGIN</t>
  </si>
  <si>
    <t>CSR</t>
  </si>
  <si>
    <t>D&amp;A</t>
  </si>
  <si>
    <t>PROFIT</t>
  </si>
  <si>
    <t>OTHERCOST</t>
  </si>
  <si>
    <t>FINANCE</t>
  </si>
  <si>
    <t>IMPARIMENT</t>
  </si>
  <si>
    <t>COST</t>
  </si>
  <si>
    <t>EMPLOYEE BENEFIT</t>
  </si>
  <si>
    <t>Lease Income</t>
  </si>
  <si>
    <t>SALES</t>
  </si>
  <si>
    <t>Interest Income</t>
  </si>
  <si>
    <t>GROWTH</t>
  </si>
  <si>
    <t>SHARE</t>
  </si>
  <si>
    <t>Q1_FY_25</t>
  </si>
  <si>
    <t>Q1_FY_26</t>
  </si>
  <si>
    <t>COST_Q1_FY26</t>
  </si>
  <si>
    <t>SEGMENT_Q1_FY26</t>
  </si>
  <si>
    <t>FY_24</t>
  </si>
  <si>
    <t>FY_25</t>
  </si>
  <si>
    <t>RESULT_FY25</t>
  </si>
  <si>
    <t>Q4_FY_24</t>
  </si>
  <si>
    <t>Q4_FY_25</t>
  </si>
  <si>
    <t>RESULT_Q1_FY26</t>
  </si>
  <si>
    <t>QUARTERLY</t>
  </si>
  <si>
    <t>PE_26</t>
  </si>
  <si>
    <t>PE_25</t>
  </si>
  <si>
    <t>PEG</t>
  </si>
  <si>
    <t>F_EPS_26</t>
  </si>
  <si>
    <t>T_EPS</t>
  </si>
  <si>
    <t>EPS_25</t>
  </si>
  <si>
    <t>T_EPS_26</t>
  </si>
  <si>
    <t>Q1_fy26</t>
  </si>
  <si>
    <t>Q4_fy25</t>
  </si>
  <si>
    <t>Q3_fy25</t>
  </si>
  <si>
    <t>Q2_fy25</t>
  </si>
  <si>
    <t>EST_FY26</t>
  </si>
  <si>
    <t>Q1_y_25</t>
  </si>
  <si>
    <t>fy_25</t>
  </si>
  <si>
    <t>9M_fy_25</t>
  </si>
  <si>
    <t>H1_fy_25</t>
  </si>
  <si>
    <t>TREND</t>
  </si>
  <si>
    <t>Last Year Gr</t>
  </si>
  <si>
    <t>Growth 3y</t>
  </si>
  <si>
    <t>Growth 5y</t>
  </si>
  <si>
    <t>HPE</t>
  </si>
  <si>
    <t>LPE</t>
  </si>
  <si>
    <t>BOOK VALUE</t>
  </si>
  <si>
    <t>Researve</t>
  </si>
  <si>
    <t>Equity</t>
  </si>
  <si>
    <t>PriceHigh</t>
  </si>
  <si>
    <t>PriceLow</t>
  </si>
  <si>
    <t>TrailFY_26</t>
  </si>
  <si>
    <t>FY_23</t>
  </si>
  <si>
    <t>FY-22</t>
  </si>
  <si>
    <t>IPO</t>
  </si>
  <si>
    <t>FY-21</t>
  </si>
  <si>
    <t>FY-20</t>
  </si>
  <si>
    <t>FY_19</t>
  </si>
  <si>
    <t>FY_18</t>
  </si>
  <si>
    <t>HIGH BV</t>
  </si>
  <si>
    <t>LOW BV</t>
  </si>
  <si>
    <t>Actual</t>
  </si>
  <si>
    <t>P/BV X</t>
  </si>
  <si>
    <t>BOOKVALUE</t>
  </si>
  <si>
    <t>F-YIELD</t>
  </si>
  <si>
    <t>PE</t>
  </si>
  <si>
    <t>NIM %</t>
  </si>
  <si>
    <t>GNPA%</t>
  </si>
  <si>
    <t>CRAR</t>
  </si>
  <si>
    <t>GEARING.R</t>
  </si>
  <si>
    <t>ROE</t>
  </si>
  <si>
    <t>ROA</t>
  </si>
  <si>
    <t>SALES GRO</t>
  </si>
  <si>
    <t>Growth</t>
  </si>
  <si>
    <t>Last Year_25</t>
  </si>
  <si>
    <t>NET CASHFLOW</t>
  </si>
  <si>
    <t>CFF</t>
  </si>
  <si>
    <t>CFI</t>
  </si>
  <si>
    <t>CFO</t>
  </si>
  <si>
    <t>LIABILITIES</t>
  </si>
  <si>
    <t>ASSETS</t>
  </si>
  <si>
    <t>BORROWING</t>
  </si>
  <si>
    <t>Reserve</t>
  </si>
  <si>
    <t>FV</t>
  </si>
  <si>
    <t>MARKETCAP</t>
  </si>
  <si>
    <t>PRICE</t>
  </si>
  <si>
    <t>COMPANY</t>
  </si>
  <si>
    <t>CASHFLOW</t>
  </si>
  <si>
    <t>BALANCESHEET</t>
  </si>
  <si>
    <t>INCOME</t>
  </si>
  <si>
    <t>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</si>
</sst>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₹&quot;\ #,##0;[Red]&quot;₹&quot;\ \-#,##0"/>
    <numFmt numFmtId="164" formatCode="0.0%"/>
    <numFmt numFmtId="165" formatCode="#,##0;\(#,##0\)"/>
    <numFmt numFmtId="166" formatCode="0.0"/>
    <numFmt numFmtId="167" formatCode="#,##0.0"/>
  </numFmts>
  <fonts count="23">
    <font>
      <sz val="10"/>
      <color rgb="FF000000"/>
      <name val="Arial"/>
      <scheme val="minor"/>
    </font>
    <font>
      <sz val="11"/>
      <color theme="1"/>
      <name val="Calibri"/>
    </font>
    <font>
      <sz val="10"/>
      <color theme="1"/>
      <name val="Arial"/>
      <scheme val="minor"/>
    </font>
    <font>
      <sz val="11"/>
      <color theme="1"/>
      <name val="Arial"/>
    </font>
    <font>
      <sz val="11"/>
      <color theme="1"/>
      <name val="Source Code Pro"/>
    </font>
    <font>
      <sz val="11"/>
      <color theme="1"/>
      <name val="&quot;Source Code Pro&quot;"/>
    </font>
    <font>
      <b/>
      <sz val="9"/>
      <color rgb="FFFFFFFF"/>
      <name val="Times New Roman"/>
    </font>
    <font>
      <b/>
      <i/>
      <sz val="11"/>
      <color theme="1"/>
      <name val="Calibri"/>
    </font>
    <font>
      <i/>
      <sz val="11"/>
      <color theme="1"/>
      <name val="Arial"/>
    </font>
    <font>
      <sz val="10"/>
      <color theme="1"/>
      <name val="Calibri"/>
    </font>
    <font>
      <b/>
      <sz val="11"/>
      <color rgb="FFFFFFFF"/>
      <name val="&quot;Source Code Pro&quot;"/>
    </font>
    <font>
      <b/>
      <i/>
      <sz val="11"/>
      <color rgb="FF7F7F7F"/>
      <name val="&quot;Source Code Pro&quot;"/>
    </font>
    <font>
      <b/>
      <i/>
      <sz val="11"/>
      <color rgb="FF000000"/>
      <name val="&quot;Source Code Pro&quot;"/>
    </font>
    <font>
      <sz val="11"/>
      <color rgb="FFFFFFFF"/>
      <name val="Calibri"/>
    </font>
    <font>
      <b/>
      <sz val="11"/>
      <color theme="1"/>
      <name val="Arial"/>
    </font>
    <font>
      <b/>
      <sz val="11"/>
      <color theme="1"/>
      <name val="Calibri"/>
    </font>
    <font>
      <b/>
      <sz val="11"/>
      <color theme="1"/>
      <name val="&quot;Source Code Pro&quot;"/>
    </font>
    <font>
      <b/>
      <sz val="11"/>
      <color rgb="FFFFFFFF"/>
      <name val="Calibri"/>
    </font>
    <font>
      <sz val="10"/>
      <name val="Arial"/>
    </font>
    <font>
      <sz val="33"/>
      <color theme="1"/>
      <name val="Calibri"/>
    </font>
    <font>
      <sz val="11"/>
      <color rgb="FF9C0006"/>
      <name val="&quot;Source Code Pro&quot;"/>
    </font>
    <font>
      <b/>
      <i/>
      <sz val="11"/>
      <color theme="1"/>
      <name val="&quot;Source Code Pro&quot;"/>
    </font>
    <font>
      <sz val="36"/>
      <color rgb="FFFFFFFF"/>
      <name val="Calibri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7BB8A"/>
        <bgColor rgb="FF57BB8A"/>
      </patternFill>
    </fill>
    <fill>
      <patternFill patternType="solid">
        <fgColor rgb="FF0C343D"/>
        <bgColor rgb="FF0C343D"/>
      </patternFill>
    </fill>
    <fill>
      <patternFill patternType="solid">
        <fgColor rgb="FFD9D9D9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73763"/>
        <bgColor rgb="FF073763"/>
      </patternFill>
    </fill>
    <fill>
      <patternFill patternType="solid">
        <fgColor rgb="FFFDF7F6"/>
        <bgColor rgb="FFFDF7F6"/>
      </patternFill>
    </fill>
    <fill>
      <patternFill patternType="solid">
        <fgColor rgb="FFF4C9C6"/>
        <bgColor rgb="FFF4C9C6"/>
      </patternFill>
    </fill>
    <fill>
      <patternFill patternType="solid">
        <fgColor rgb="FFF6D4D1"/>
        <bgColor rgb="FFF6D4D1"/>
      </patternFill>
    </fill>
    <fill>
      <patternFill patternType="solid">
        <fgColor rgb="FFECF8F2"/>
        <bgColor rgb="FFECF8F2"/>
      </patternFill>
    </fill>
    <fill>
      <patternFill patternType="solid">
        <fgColor rgb="FF59BC8C"/>
        <bgColor rgb="FF59BC8C"/>
      </patternFill>
    </fill>
    <fill>
      <patternFill patternType="solid">
        <fgColor rgb="FFFCFEFD"/>
        <bgColor rgb="FFFCFEFD"/>
      </patternFill>
    </fill>
    <fill>
      <patternFill patternType="solid">
        <fgColor rgb="FFFDF5F4"/>
        <bgColor rgb="FFFDF5F4"/>
      </patternFill>
    </fill>
    <fill>
      <patternFill patternType="solid">
        <fgColor rgb="FFD9F0E5"/>
        <bgColor rgb="FFD9F0E5"/>
      </patternFill>
    </fill>
    <fill>
      <patternFill patternType="solid">
        <fgColor rgb="FFFBFEFC"/>
        <bgColor rgb="FFFBFEFC"/>
      </patternFill>
    </fill>
    <fill>
      <patternFill patternType="solid">
        <fgColor rgb="FFE1F3EA"/>
        <bgColor rgb="FFE1F3EA"/>
      </patternFill>
    </fill>
    <fill>
      <patternFill patternType="solid">
        <fgColor rgb="FFFEFEFE"/>
        <bgColor rgb="FFFEFEFE"/>
      </patternFill>
    </fill>
    <fill>
      <patternFill patternType="solid">
        <fgColor rgb="FFFEFDFD"/>
        <bgColor rgb="FFFEFDFD"/>
      </patternFill>
    </fill>
    <fill>
      <patternFill patternType="solid">
        <fgColor rgb="FFCDEBDC"/>
        <bgColor rgb="FFCDEBDC"/>
      </patternFill>
    </fill>
    <fill>
      <patternFill patternType="solid">
        <fgColor rgb="FFE67C73"/>
        <bgColor rgb="FFE67C73"/>
      </patternFill>
    </fill>
    <fill>
      <patternFill patternType="solid">
        <fgColor rgb="FFDAF0E5"/>
        <bgColor rgb="FFDAF0E5"/>
      </patternFill>
    </fill>
    <fill>
      <patternFill patternType="solid">
        <fgColor rgb="FFACDEC6"/>
        <bgColor rgb="FFACDEC6"/>
      </patternFill>
    </fill>
    <fill>
      <patternFill patternType="solid">
        <fgColor rgb="FFB7E2CD"/>
        <bgColor rgb="FFB7E2CD"/>
      </patternFill>
    </fill>
    <fill>
      <patternFill patternType="solid">
        <fgColor rgb="FFFAE8E7"/>
        <bgColor rgb="FFFAE8E7"/>
      </patternFill>
    </fill>
    <fill>
      <patternFill patternType="solid">
        <fgColor rgb="FFF1FAF6"/>
        <bgColor rgb="FFF1FAF6"/>
      </patternFill>
    </fill>
    <fill>
      <patternFill patternType="solid">
        <fgColor rgb="FF85CEAA"/>
        <bgColor rgb="FF85CEAA"/>
      </patternFill>
    </fill>
    <fill>
      <patternFill patternType="solid">
        <fgColor rgb="FFC0E6D3"/>
        <bgColor rgb="FFC0E6D3"/>
      </patternFill>
    </fill>
    <fill>
      <patternFill patternType="solid">
        <fgColor rgb="FFEBF7F1"/>
        <bgColor rgb="FFEBF7F1"/>
      </patternFill>
    </fill>
    <fill>
      <patternFill patternType="solid">
        <fgColor rgb="FFF9FDFB"/>
        <bgColor rgb="FFF9FDFB"/>
      </patternFill>
    </fill>
    <fill>
      <patternFill patternType="solid">
        <fgColor rgb="FFF5FBF8"/>
        <bgColor rgb="FFF5FBF8"/>
      </patternFill>
    </fill>
    <fill>
      <patternFill patternType="solid">
        <fgColor rgb="FFF3FAF7"/>
        <bgColor rgb="FFF3FAF7"/>
      </patternFill>
    </fill>
    <fill>
      <patternFill patternType="solid">
        <fgColor rgb="FFF9DBD8"/>
        <bgColor rgb="FFF9DBD8"/>
      </patternFill>
    </fill>
    <fill>
      <patternFill patternType="solid">
        <fgColor rgb="FFB7B7B7"/>
        <bgColor rgb="FFB7B7B7"/>
      </patternFill>
    </fill>
    <fill>
      <patternFill patternType="solid">
        <fgColor rgb="FF79C9A2"/>
        <bgColor rgb="FF79C9A2"/>
      </patternFill>
    </fill>
    <fill>
      <patternFill patternType="solid">
        <fgColor rgb="FFADDEC6"/>
        <bgColor rgb="FFADDEC6"/>
      </patternFill>
    </fill>
    <fill>
      <patternFill patternType="solid">
        <fgColor rgb="FFE8F6EF"/>
        <bgColor rgb="FFE8F6EF"/>
      </patternFill>
    </fill>
    <fill>
      <patternFill patternType="solid">
        <fgColor rgb="FF67C295"/>
        <bgColor rgb="FF67C295"/>
      </patternFill>
    </fill>
    <fill>
      <patternFill patternType="solid">
        <fgColor rgb="FFFEFFFF"/>
        <bgColor rgb="FFFEFFFF"/>
      </patternFill>
    </fill>
    <fill>
      <patternFill patternType="solid">
        <fgColor rgb="FF999999"/>
        <bgColor rgb="FF9999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0" borderId="0" xfId="0" applyFont="1"/>
    <xf numFmtId="3" fontId="1" fillId="2" borderId="0" xfId="0" applyNumberFormat="1" applyFont="1" applyFill="1"/>
    <xf numFmtId="9" fontId="2" fillId="0" borderId="0" xfId="0" applyNumberFormat="1" applyFont="1"/>
    <xf numFmtId="0" fontId="1" fillId="2" borderId="1" xfId="0" applyFont="1" applyFill="1" applyBorder="1"/>
    <xf numFmtId="0" fontId="1" fillId="0" borderId="1" xfId="0" applyFont="1" applyBorder="1"/>
    <xf numFmtId="1" fontId="1" fillId="2" borderId="1" xfId="0" applyNumberFormat="1" applyFont="1" applyFill="1" applyBorder="1"/>
    <xf numFmtId="164" fontId="3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6" fillId="4" borderId="1" xfId="0" applyFont="1" applyFill="1" applyBorder="1" applyAlignment="1">
      <alignment wrapText="1"/>
    </xf>
    <xf numFmtId="1" fontId="6" fillId="4" borderId="1" xfId="0" applyNumberFormat="1" applyFont="1" applyFill="1" applyBorder="1" applyAlignment="1">
      <alignment wrapText="1"/>
    </xf>
    <xf numFmtId="0" fontId="1" fillId="0" borderId="3" xfId="0" applyFont="1" applyBorder="1"/>
    <xf numFmtId="9" fontId="7" fillId="0" borderId="0" xfId="0" applyNumberFormat="1" applyFont="1" applyAlignment="1">
      <alignment horizontal="right"/>
    </xf>
    <xf numFmtId="0" fontId="7" fillId="0" borderId="0" xfId="0" applyFont="1"/>
    <xf numFmtId="165" fontId="3" fillId="5" borderId="1" xfId="0" applyNumberFormat="1" applyFont="1" applyFill="1" applyBorder="1" applyAlignment="1">
      <alignment horizontal="right"/>
    </xf>
    <xf numFmtId="165" fontId="8" fillId="5" borderId="1" xfId="0" applyNumberFormat="1" applyFont="1" applyFill="1" applyBorder="1" applyAlignment="1">
      <alignment horizontal="center"/>
    </xf>
    <xf numFmtId="6" fontId="1" fillId="5" borderId="1" xfId="0" applyNumberFormat="1" applyFont="1" applyFill="1" applyBorder="1" applyAlignment="1">
      <alignment horizontal="right"/>
    </xf>
    <xf numFmtId="1" fontId="5" fillId="5" borderId="1" xfId="0" applyNumberFormat="1" applyFont="1" applyFill="1" applyBorder="1" applyAlignment="1">
      <alignment horizontal="right"/>
    </xf>
    <xf numFmtId="0" fontId="5" fillId="2" borderId="2" xfId="0" applyFont="1" applyFill="1" applyBorder="1"/>
    <xf numFmtId="1" fontId="9" fillId="5" borderId="1" xfId="0" applyNumberFormat="1" applyFont="1" applyFill="1" applyBorder="1" applyAlignment="1">
      <alignment horizontal="right"/>
    </xf>
    <xf numFmtId="166" fontId="5" fillId="5" borderId="1" xfId="0" applyNumberFormat="1" applyFont="1" applyFill="1" applyBorder="1" applyAlignment="1">
      <alignment horizontal="right"/>
    </xf>
    <xf numFmtId="166" fontId="2" fillId="0" borderId="0" xfId="0" applyNumberFormat="1" applyFont="1"/>
    <xf numFmtId="0" fontId="10" fillId="6" borderId="2" xfId="0" applyFont="1" applyFill="1" applyBorder="1"/>
    <xf numFmtId="0" fontId="1" fillId="2" borderId="3" xfId="0" applyFont="1" applyFill="1" applyBorder="1"/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9" fillId="0" borderId="0" xfId="0" applyFont="1"/>
    <xf numFmtId="164" fontId="11" fillId="2" borderId="2" xfId="0" applyNumberFormat="1" applyFont="1" applyFill="1" applyBorder="1" applyAlignment="1">
      <alignment horizontal="right"/>
    </xf>
    <xf numFmtId="9" fontId="12" fillId="2" borderId="2" xfId="0" applyNumberFormat="1" applyFont="1" applyFill="1" applyBorder="1" applyAlignment="1">
      <alignment horizontal="right"/>
    </xf>
    <xf numFmtId="0" fontId="11" fillId="2" borderId="2" xfId="0" applyFont="1" applyFill="1" applyBorder="1"/>
    <xf numFmtId="0" fontId="13" fillId="7" borderId="1" xfId="0" applyFont="1" applyFill="1" applyBorder="1"/>
    <xf numFmtId="9" fontId="14" fillId="2" borderId="2" xfId="0" applyNumberFormat="1" applyFont="1" applyFill="1" applyBorder="1" applyAlignment="1">
      <alignment horizontal="right"/>
    </xf>
    <xf numFmtId="9" fontId="15" fillId="0" borderId="2" xfId="0" applyNumberFormat="1" applyFont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2" borderId="2" xfId="0" applyFont="1" applyFill="1" applyBorder="1"/>
    <xf numFmtId="9" fontId="5" fillId="8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/>
    <xf numFmtId="9" fontId="5" fillId="9" borderId="1" xfId="0" applyNumberFormat="1" applyFont="1" applyFill="1" applyBorder="1" applyAlignment="1">
      <alignment horizontal="right"/>
    </xf>
    <xf numFmtId="9" fontId="5" fillId="10" borderId="2" xfId="0" applyNumberFormat="1" applyFont="1" applyFill="1" applyBorder="1" applyAlignment="1">
      <alignment horizontal="right"/>
    </xf>
    <xf numFmtId="9" fontId="5" fillId="11" borderId="2" xfId="0" applyNumberFormat="1" applyFont="1" applyFill="1" applyBorder="1" applyAlignment="1">
      <alignment horizontal="right"/>
    </xf>
    <xf numFmtId="2" fontId="5" fillId="2" borderId="2" xfId="0" applyNumberFormat="1" applyFont="1" applyFill="1" applyBorder="1" applyAlignment="1">
      <alignment horizontal="right"/>
    </xf>
    <xf numFmtId="166" fontId="5" fillId="2" borderId="2" xfId="0" applyNumberFormat="1" applyFont="1" applyFill="1" applyBorder="1"/>
    <xf numFmtId="9" fontId="5" fillId="12" borderId="2" xfId="0" applyNumberFormat="1" applyFont="1" applyFill="1" applyBorder="1" applyAlignment="1">
      <alignment horizontal="right"/>
    </xf>
    <xf numFmtId="9" fontId="5" fillId="13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9" fontId="5" fillId="14" borderId="2" xfId="0" applyNumberFormat="1" applyFont="1" applyFill="1" applyBorder="1" applyAlignment="1">
      <alignment horizontal="right"/>
    </xf>
    <xf numFmtId="9" fontId="5" fillId="15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9" fontId="5" fillId="3" borderId="2" xfId="0" applyNumberFormat="1" applyFont="1" applyFill="1" applyBorder="1" applyAlignment="1">
      <alignment horizontal="right"/>
    </xf>
    <xf numFmtId="9" fontId="5" fillId="16" borderId="2" xfId="0" applyNumberFormat="1" applyFont="1" applyFill="1" applyBorder="1" applyAlignment="1">
      <alignment horizontal="right"/>
    </xf>
    <xf numFmtId="0" fontId="5" fillId="2" borderId="1" xfId="0" applyFont="1" applyFill="1" applyBorder="1"/>
    <xf numFmtId="9" fontId="5" fillId="17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9" fontId="16" fillId="18" borderId="2" xfId="0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horizontal="right"/>
    </xf>
    <xf numFmtId="0" fontId="16" fillId="0" borderId="2" xfId="0" applyFont="1" applyBorder="1"/>
    <xf numFmtId="9" fontId="5" fillId="19" borderId="2" xfId="0" applyNumberFormat="1" applyFont="1" applyFill="1" applyBorder="1" applyAlignment="1">
      <alignment horizontal="right"/>
    </xf>
    <xf numFmtId="164" fontId="5" fillId="20" borderId="2" xfId="0" applyNumberFormat="1" applyFont="1" applyFill="1" applyBorder="1" applyAlignment="1">
      <alignment horizontal="right"/>
    </xf>
    <xf numFmtId="0" fontId="5" fillId="0" borderId="1" xfId="0" applyFont="1" applyBorder="1"/>
    <xf numFmtId="9" fontId="5" fillId="21" borderId="2" xfId="0" applyNumberFormat="1" applyFont="1" applyFill="1" applyBorder="1" applyAlignment="1">
      <alignment horizontal="right"/>
    </xf>
    <xf numFmtId="9" fontId="5" fillId="22" borderId="2" xfId="0" applyNumberFormat="1" applyFont="1" applyFill="1" applyBorder="1" applyAlignment="1">
      <alignment horizontal="right"/>
    </xf>
    <xf numFmtId="9" fontId="5" fillId="23" borderId="2" xfId="0" applyNumberFormat="1" applyFont="1" applyFill="1" applyBorder="1" applyAlignment="1">
      <alignment horizontal="right"/>
    </xf>
    <xf numFmtId="9" fontId="5" fillId="24" borderId="2" xfId="0" applyNumberFormat="1" applyFont="1" applyFill="1" applyBorder="1" applyAlignment="1">
      <alignment horizontal="right"/>
    </xf>
    <xf numFmtId="9" fontId="5" fillId="25" borderId="2" xfId="0" applyNumberFormat="1" applyFont="1" applyFill="1" applyBorder="1" applyAlignment="1">
      <alignment horizontal="right"/>
    </xf>
    <xf numFmtId="164" fontId="5" fillId="26" borderId="2" xfId="0" applyNumberFormat="1" applyFont="1" applyFill="1" applyBorder="1" applyAlignment="1">
      <alignment horizontal="right"/>
    </xf>
    <xf numFmtId="9" fontId="5" fillId="27" borderId="2" xfId="0" applyNumberFormat="1" applyFont="1" applyFill="1" applyBorder="1" applyAlignment="1">
      <alignment horizontal="right"/>
    </xf>
    <xf numFmtId="9" fontId="5" fillId="28" borderId="2" xfId="0" applyNumberFormat="1" applyFont="1" applyFill="1" applyBorder="1" applyAlignment="1">
      <alignment horizontal="right"/>
    </xf>
    <xf numFmtId="9" fontId="5" fillId="29" borderId="2" xfId="0" applyNumberFormat="1" applyFont="1" applyFill="1" applyBorder="1" applyAlignment="1">
      <alignment horizontal="right"/>
    </xf>
    <xf numFmtId="9" fontId="5" fillId="30" borderId="2" xfId="0" applyNumberFormat="1" applyFont="1" applyFill="1" applyBorder="1" applyAlignment="1">
      <alignment horizontal="right"/>
    </xf>
    <xf numFmtId="164" fontId="5" fillId="31" borderId="2" xfId="0" applyNumberFormat="1" applyFont="1" applyFill="1" applyBorder="1" applyAlignment="1">
      <alignment horizontal="right"/>
    </xf>
    <xf numFmtId="9" fontId="5" fillId="32" borderId="2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0" fillId="6" borderId="1" xfId="0" applyFont="1" applyFill="1" applyBorder="1"/>
    <xf numFmtId="164" fontId="1" fillId="0" borderId="0" xfId="0" applyNumberFormat="1" applyFont="1"/>
    <xf numFmtId="0" fontId="1" fillId="0" borderId="4" xfId="0" applyFont="1" applyBorder="1"/>
    <xf numFmtId="9" fontId="1" fillId="0" borderId="0" xfId="0" applyNumberFormat="1" applyFont="1"/>
    <xf numFmtId="0" fontId="18" fillId="0" borderId="2" xfId="0" applyFont="1" applyBorder="1"/>
    <xf numFmtId="1" fontId="5" fillId="2" borderId="2" xfId="0" applyNumberFormat="1" applyFont="1" applyFill="1" applyBorder="1" applyAlignment="1">
      <alignment horizontal="center"/>
    </xf>
    <xf numFmtId="1" fontId="5" fillId="33" borderId="2" xfId="0" applyNumberFormat="1" applyFont="1" applyFill="1" applyBorder="1" applyAlignment="1">
      <alignment horizontal="center"/>
    </xf>
    <xf numFmtId="1" fontId="5" fillId="21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0" fontId="1" fillId="0" borderId="0" xfId="0" applyNumberFormat="1" applyFont="1"/>
    <xf numFmtId="0" fontId="18" fillId="0" borderId="3" xfId="0" applyFont="1" applyBorder="1"/>
    <xf numFmtId="1" fontId="10" fillId="6" borderId="2" xfId="0" applyNumberFormat="1" applyFont="1" applyFill="1" applyBorder="1" applyAlignment="1">
      <alignment horizontal="center"/>
    </xf>
    <xf numFmtId="9" fontId="5" fillId="2" borderId="2" xfId="0" applyNumberFormat="1" applyFont="1" applyFill="1" applyBorder="1" applyAlignment="1">
      <alignment horizontal="right"/>
    </xf>
    <xf numFmtId="166" fontId="19" fillId="34" borderId="3" xfId="0" applyNumberFormat="1" applyFont="1" applyFill="1" applyBorder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/>
    </xf>
    <xf numFmtId="2" fontId="5" fillId="35" borderId="2" xfId="0" applyNumberFormat="1" applyFont="1" applyFill="1" applyBorder="1" applyAlignment="1">
      <alignment horizontal="center"/>
    </xf>
    <xf numFmtId="2" fontId="5" fillId="36" borderId="2" xfId="0" applyNumberFormat="1" applyFont="1" applyFill="1" applyBorder="1" applyAlignment="1">
      <alignment horizontal="center"/>
    </xf>
    <xf numFmtId="0" fontId="2" fillId="0" borderId="1" xfId="0" applyFont="1" applyBorder="1"/>
    <xf numFmtId="1" fontId="5" fillId="2" borderId="1" xfId="0" applyNumberFormat="1" applyFont="1" applyFill="1" applyBorder="1"/>
    <xf numFmtId="1" fontId="10" fillId="6" borderId="1" xfId="0" applyNumberFormat="1" applyFont="1" applyFill="1" applyBorder="1"/>
    <xf numFmtId="167" fontId="12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164" fontId="12" fillId="2" borderId="2" xfId="0" applyNumberFormat="1" applyFont="1" applyFill="1" applyBorder="1" applyAlignment="1">
      <alignment horizontal="right"/>
    </xf>
    <xf numFmtId="167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166" fontId="2" fillId="0" borderId="1" xfId="0" applyNumberFormat="1" applyFont="1" applyBorder="1"/>
    <xf numFmtId="1" fontId="2" fillId="0" borderId="1" xfId="0" applyNumberFormat="1" applyFont="1" applyBorder="1"/>
    <xf numFmtId="1" fontId="5" fillId="20" borderId="2" xfId="0" applyNumberFormat="1" applyFont="1" applyFill="1" applyBorder="1" applyAlignment="1">
      <alignment horizontal="right"/>
    </xf>
    <xf numFmtId="1" fontId="5" fillId="37" borderId="2" xfId="0" applyNumberFormat="1" applyFont="1" applyFill="1" applyBorder="1" applyAlignment="1">
      <alignment horizontal="right"/>
    </xf>
    <xf numFmtId="9" fontId="5" fillId="38" borderId="2" xfId="0" applyNumberFormat="1" applyFont="1" applyFill="1" applyBorder="1" applyAlignment="1">
      <alignment horizontal="right"/>
    </xf>
    <xf numFmtId="167" fontId="5" fillId="2" borderId="2" xfId="0" applyNumberFormat="1" applyFont="1" applyFill="1" applyBorder="1" applyAlignment="1">
      <alignment horizontal="right"/>
    </xf>
    <xf numFmtId="1" fontId="5" fillId="39" borderId="2" xfId="0" applyNumberFormat="1" applyFont="1" applyFill="1" applyBorder="1" applyAlignment="1">
      <alignment horizontal="right"/>
    </xf>
    <xf numFmtId="0" fontId="1" fillId="2" borderId="2" xfId="0" applyFont="1" applyFill="1" applyBorder="1"/>
    <xf numFmtId="1" fontId="20" fillId="2" borderId="2" xfId="0" applyNumberFormat="1" applyFont="1" applyFill="1" applyBorder="1" applyAlignment="1">
      <alignment horizontal="right"/>
    </xf>
    <xf numFmtId="1" fontId="1" fillId="0" borderId="0" xfId="0" applyNumberFormat="1" applyFont="1"/>
    <xf numFmtId="0" fontId="1" fillId="2" borderId="4" xfId="0" applyFont="1" applyFill="1" applyBorder="1"/>
    <xf numFmtId="166" fontId="21" fillId="34" borderId="5" xfId="0" applyNumberFormat="1" applyFont="1" applyFill="1" applyBorder="1" applyAlignment="1">
      <alignment horizontal="right"/>
    </xf>
    <xf numFmtId="1" fontId="21" fillId="34" borderId="5" xfId="0" applyNumberFormat="1" applyFont="1" applyFill="1" applyBorder="1" applyAlignment="1">
      <alignment horizontal="right"/>
    </xf>
    <xf numFmtId="164" fontId="21" fillId="34" borderId="5" xfId="0" applyNumberFormat="1" applyFont="1" applyFill="1" applyBorder="1" applyAlignment="1">
      <alignment horizontal="right"/>
    </xf>
    <xf numFmtId="10" fontId="21" fillId="34" borderId="5" xfId="0" applyNumberFormat="1" applyFont="1" applyFill="1" applyBorder="1" applyAlignment="1">
      <alignment horizontal="right"/>
    </xf>
    <xf numFmtId="9" fontId="21" fillId="34" borderId="5" xfId="0" applyNumberFormat="1" applyFont="1" applyFill="1" applyBorder="1" applyAlignment="1">
      <alignment horizontal="right"/>
    </xf>
    <xf numFmtId="167" fontId="21" fillId="34" borderId="5" xfId="0" applyNumberFormat="1" applyFont="1" applyFill="1" applyBorder="1" applyAlignment="1">
      <alignment horizontal="right"/>
    </xf>
    <xf numFmtId="4" fontId="1" fillId="2" borderId="3" xfId="0" applyNumberFormat="1" applyFont="1" applyFill="1" applyBorder="1"/>
    <xf numFmtId="9" fontId="10" fillId="6" borderId="2" xfId="0" applyNumberFormat="1" applyFont="1" applyFill="1" applyBorder="1"/>
    <xf numFmtId="4" fontId="1" fillId="0" borderId="0" xfId="0" applyNumberFormat="1" applyFont="1"/>
    <xf numFmtId="9" fontId="7" fillId="40" borderId="1" xfId="0" applyNumberFormat="1" applyFont="1" applyFill="1" applyBorder="1"/>
    <xf numFmtId="0" fontId="7" fillId="40" borderId="1" xfId="0" applyFont="1" applyFill="1" applyBorder="1"/>
    <xf numFmtId="1" fontId="1" fillId="0" borderId="2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10" fillId="6" borderId="4" xfId="0" applyFont="1" applyFill="1" applyBorder="1"/>
    <xf numFmtId="9" fontId="1" fillId="2" borderId="4" xfId="0" applyNumberFormat="1" applyFont="1" applyFill="1" applyBorder="1"/>
    <xf numFmtId="4" fontId="1" fillId="2" borderId="0" xfId="0" applyNumberFormat="1" applyFont="1" applyFill="1"/>
    <xf numFmtId="0" fontId="22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AUM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IRFC!$D$13</c:f>
              <c:strCache>
                <c:ptCount val="1"/>
                <c:pt idx="0">
                  <c:v>AUM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IRFC!$C$14:$C$22</c:f>
              <c:strCache>
                <c:ptCount val="9"/>
                <c:pt idx="0">
                  <c:v>FY_18</c:v>
                </c:pt>
                <c:pt idx="1">
                  <c:v>FY_19</c:v>
                </c:pt>
                <c:pt idx="2">
                  <c:v>FY-20</c:v>
                </c:pt>
                <c:pt idx="3">
                  <c:v>FY-21</c:v>
                </c:pt>
                <c:pt idx="4">
                  <c:v>FY-22</c:v>
                </c:pt>
                <c:pt idx="5">
                  <c:v>FY_23</c:v>
                </c:pt>
                <c:pt idx="6">
                  <c:v>FY_24</c:v>
                </c:pt>
                <c:pt idx="7">
                  <c:v>FY_25</c:v>
                </c:pt>
                <c:pt idx="8">
                  <c:v>TrailFY_26</c:v>
                </c:pt>
              </c:strCache>
            </c:strRef>
          </c:cat>
          <c:val>
            <c:numRef>
              <c:f>IRFC!$D$14:$D$22</c:f>
              <c:numCache>
                <c:formatCode>General</c:formatCode>
                <c:ptCount val="9"/>
                <c:pt idx="0">
                  <c:v>155500</c:v>
                </c:pt>
                <c:pt idx="1">
                  <c:v>203047</c:v>
                </c:pt>
                <c:pt idx="2">
                  <c:v>270500</c:v>
                </c:pt>
                <c:pt idx="3">
                  <c:v>368000</c:v>
                </c:pt>
                <c:pt idx="4">
                  <c:v>429824</c:v>
                </c:pt>
                <c:pt idx="5">
                  <c:v>466938</c:v>
                </c:pt>
                <c:pt idx="6">
                  <c:v>464641</c:v>
                </c:pt>
                <c:pt idx="7">
                  <c:v>460047</c:v>
                </c:pt>
                <c:pt idx="8">
                  <c:v>460047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F3-45AE-B5E9-8198A308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047562"/>
        <c:axId val="1847370925"/>
      </c:barChart>
      <c:catAx>
        <c:axId val="11040475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7370925"/>
        <c:crosses val="autoZero"/>
        <c:auto val="1"/>
        <c:lblAlgn val="ctr"/>
        <c:lblOffset val="100"/>
        <c:noMultiLvlLbl val="1"/>
      </c:catAx>
      <c:valAx>
        <c:axId val="18473709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404756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REVENUE IN CR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IRFC!$E$13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IRFC!$C$14:$C$22</c:f>
              <c:strCache>
                <c:ptCount val="9"/>
                <c:pt idx="0">
                  <c:v>FY_18</c:v>
                </c:pt>
                <c:pt idx="1">
                  <c:v>FY_19</c:v>
                </c:pt>
                <c:pt idx="2">
                  <c:v>FY-20</c:v>
                </c:pt>
                <c:pt idx="3">
                  <c:v>FY-21</c:v>
                </c:pt>
                <c:pt idx="4">
                  <c:v>FY-22</c:v>
                </c:pt>
                <c:pt idx="5">
                  <c:v>FY_23</c:v>
                </c:pt>
                <c:pt idx="6">
                  <c:v>FY_24</c:v>
                </c:pt>
                <c:pt idx="7">
                  <c:v>FY_25</c:v>
                </c:pt>
                <c:pt idx="8">
                  <c:v>TrailFY_26</c:v>
                </c:pt>
              </c:strCache>
            </c:strRef>
          </c:cat>
          <c:val>
            <c:numRef>
              <c:f>IRFC!$E$14:$E$22</c:f>
              <c:numCache>
                <c:formatCode>0</c:formatCode>
                <c:ptCount val="9"/>
                <c:pt idx="0">
                  <c:v>9207</c:v>
                </c:pt>
                <c:pt idx="1">
                  <c:v>10987</c:v>
                </c:pt>
                <c:pt idx="2">
                  <c:v>13421</c:v>
                </c:pt>
                <c:pt idx="3">
                  <c:v>15770</c:v>
                </c:pt>
                <c:pt idx="4">
                  <c:v>20301</c:v>
                </c:pt>
                <c:pt idx="5">
                  <c:v>23731</c:v>
                </c:pt>
                <c:pt idx="6">
                  <c:v>26655</c:v>
                </c:pt>
                <c:pt idx="7">
                  <c:v>27152</c:v>
                </c:pt>
                <c:pt idx="8">
                  <c:v>27302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0A3-4A4D-9F6F-F8CF952DA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48814"/>
        <c:axId val="1800252503"/>
      </c:barChart>
      <c:catAx>
        <c:axId val="1906488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00252503"/>
        <c:crosses val="autoZero"/>
        <c:auto val="1"/>
        <c:lblAlgn val="ctr"/>
        <c:lblOffset val="100"/>
        <c:noMultiLvlLbl val="1"/>
      </c:catAx>
      <c:valAx>
        <c:axId val="18002525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64881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 IN CR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IRFC!$F$13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IRFC!$C$14:$C$22</c:f>
              <c:strCache>
                <c:ptCount val="9"/>
                <c:pt idx="0">
                  <c:v>FY_18</c:v>
                </c:pt>
                <c:pt idx="1">
                  <c:v>FY_19</c:v>
                </c:pt>
                <c:pt idx="2">
                  <c:v>FY-20</c:v>
                </c:pt>
                <c:pt idx="3">
                  <c:v>FY-21</c:v>
                </c:pt>
                <c:pt idx="4">
                  <c:v>FY-22</c:v>
                </c:pt>
                <c:pt idx="5">
                  <c:v>FY_23</c:v>
                </c:pt>
                <c:pt idx="6">
                  <c:v>FY_24</c:v>
                </c:pt>
                <c:pt idx="7">
                  <c:v>FY_25</c:v>
                </c:pt>
                <c:pt idx="8">
                  <c:v>TrailFY_26</c:v>
                </c:pt>
              </c:strCache>
            </c:strRef>
          </c:cat>
          <c:val>
            <c:numRef>
              <c:f>IRFC!$F$14:$F$22</c:f>
              <c:numCache>
                <c:formatCode>0</c:formatCode>
                <c:ptCount val="9"/>
                <c:pt idx="0">
                  <c:v>2001</c:v>
                </c:pt>
                <c:pt idx="1">
                  <c:v>2139</c:v>
                </c:pt>
                <c:pt idx="2">
                  <c:v>3192</c:v>
                </c:pt>
                <c:pt idx="3">
                  <c:v>4416</c:v>
                </c:pt>
                <c:pt idx="4">
                  <c:v>6089</c:v>
                </c:pt>
                <c:pt idx="5">
                  <c:v>6167</c:v>
                </c:pt>
                <c:pt idx="6">
                  <c:v>6412</c:v>
                </c:pt>
                <c:pt idx="7">
                  <c:v>6502</c:v>
                </c:pt>
                <c:pt idx="8">
                  <c:v>6670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5C6-4AE0-A4D9-DF9E80E25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966094"/>
        <c:axId val="521574685"/>
      </c:barChart>
      <c:catAx>
        <c:axId val="13099660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21574685"/>
        <c:crosses val="autoZero"/>
        <c:auto val="1"/>
        <c:lblAlgn val="ctr"/>
        <c:lblOffset val="100"/>
        <c:noMultiLvlLbl val="1"/>
      </c:catAx>
      <c:valAx>
        <c:axId val="5215746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996609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69</xdr:row>
      <xdr:rowOff>57150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80E93AE0-5CC7-45D0-B36B-FB58E8497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942975</xdr:colOff>
      <xdr:row>69</xdr:row>
      <xdr:rowOff>57150</xdr:rowOff>
    </xdr:from>
    <xdr:ext cx="5715000" cy="35337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394907C3-7A03-4D1F-B63D-C1CCF0A25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942975</xdr:colOff>
      <xdr:row>87</xdr:row>
      <xdr:rowOff>19050</xdr:rowOff>
    </xdr:from>
    <xdr:ext cx="5715000" cy="353377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BDB1FA9F-4F3A-49AC-8132-78D251A4F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171450</xdr:colOff>
      <xdr:row>53</xdr:row>
      <xdr:rowOff>76200</xdr:rowOff>
    </xdr:from>
    <xdr:ext cx="7762875" cy="3114675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DC4BF19E-CEAC-40A1-A56D-1F2F402B7A7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0130" y="8961120"/>
          <a:ext cx="7762875" cy="3114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7090-9B9B-4679-9D3C-64295091754F}">
  <sheetPr>
    <outlinePr summaryBelow="0" summaryRight="0"/>
  </sheetPr>
  <dimension ref="A1:AP983"/>
  <sheetViews>
    <sheetView showGridLines="0" tabSelected="1" workbookViewId="0"/>
  </sheetViews>
  <sheetFormatPr defaultColWidth="12.6640625" defaultRowHeight="15.75" customHeight="1"/>
  <cols>
    <col min="1" max="1" width="5.77734375" customWidth="1"/>
    <col min="3" max="3" width="15.6640625" customWidth="1"/>
    <col min="12" max="12" width="14.21875" customWidth="1"/>
    <col min="17" max="17" width="11.21875" customWidth="1"/>
    <col min="23" max="23" width="14.6640625" customWidth="1"/>
  </cols>
  <sheetData>
    <row r="1" spans="1:42" ht="15.75" customHeight="1">
      <c r="A1" s="137"/>
      <c r="B1" s="138" t="s">
        <v>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customHeight="1">
      <c r="A2" s="137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3"/>
      <c r="AI2" s="3"/>
      <c r="AJ2" s="3"/>
      <c r="AK2" s="3"/>
      <c r="AL2" s="3"/>
      <c r="AM2" s="3"/>
      <c r="AN2" s="3"/>
      <c r="AO2" s="3"/>
      <c r="AP2" s="3"/>
    </row>
    <row r="3" spans="1:42" ht="15.75" customHeight="1">
      <c r="A3" s="137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3"/>
      <c r="AI3" s="3"/>
      <c r="AJ3" s="3"/>
      <c r="AK3" s="3"/>
      <c r="AL3" s="3"/>
      <c r="AM3" s="3"/>
      <c r="AN3" s="3"/>
      <c r="AO3" s="3"/>
      <c r="AP3" s="3"/>
    </row>
    <row r="4" spans="1:42" ht="15.75" customHeight="1">
      <c r="A4" s="137"/>
      <c r="B4" s="116" t="s">
        <v>136</v>
      </c>
      <c r="C4" s="136"/>
      <c r="D4" s="116"/>
      <c r="E4" s="116" t="s">
        <v>135</v>
      </c>
      <c r="F4" s="116"/>
      <c r="G4" s="116"/>
      <c r="H4" s="116"/>
      <c r="I4" s="116"/>
      <c r="J4" s="116" t="s">
        <v>134</v>
      </c>
      <c r="K4" s="116"/>
      <c r="L4" s="116"/>
      <c r="N4" s="116"/>
      <c r="O4" s="116" t="s">
        <v>133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3"/>
      <c r="AI4" s="3"/>
      <c r="AJ4" s="3"/>
      <c r="AK4" s="3"/>
      <c r="AL4" s="3"/>
      <c r="AM4" s="3"/>
      <c r="AN4" s="3"/>
      <c r="AO4" s="3"/>
      <c r="AP4" s="3"/>
    </row>
    <row r="5" spans="1:42" ht="15.75" customHeight="1">
      <c r="B5" s="27" t="s">
        <v>132</v>
      </c>
      <c r="C5" s="27" t="s">
        <v>131</v>
      </c>
      <c r="D5" s="27" t="s">
        <v>130</v>
      </c>
      <c r="E5" s="27" t="s">
        <v>27</v>
      </c>
      <c r="F5" s="27" t="s">
        <v>55</v>
      </c>
      <c r="G5" s="27" t="s">
        <v>48</v>
      </c>
      <c r="H5" s="27" t="s">
        <v>24</v>
      </c>
      <c r="I5" s="27" t="s">
        <v>129</v>
      </c>
      <c r="J5" s="27" t="s">
        <v>94</v>
      </c>
      <c r="K5" s="27" t="s">
        <v>128</v>
      </c>
      <c r="L5" s="27" t="s">
        <v>127</v>
      </c>
      <c r="M5" s="27" t="s">
        <v>126</v>
      </c>
      <c r="N5" s="135" t="s">
        <v>125</v>
      </c>
      <c r="O5" s="80" t="s">
        <v>124</v>
      </c>
      <c r="P5" s="80" t="s">
        <v>123</v>
      </c>
      <c r="Q5" s="80" t="s">
        <v>122</v>
      </c>
      <c r="R5" s="80" t="s">
        <v>121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3"/>
      <c r="AI5" s="3"/>
      <c r="AJ5" s="3"/>
      <c r="AK5" s="3"/>
      <c r="AL5" s="3"/>
      <c r="AM5" s="3"/>
      <c r="AN5" s="3"/>
      <c r="AO5" s="3"/>
      <c r="AP5" s="3"/>
    </row>
    <row r="6" spans="1:42" ht="15.75" customHeight="1">
      <c r="B6" s="13" t="s">
        <v>3</v>
      </c>
      <c r="C6" s="134">
        <f ca="1">IFERROR(__xludf.DUMMYFUNCTION("GOOGLEFINANCE(""NSE:""&amp;B6,""PRICE"")"),125.87)</f>
        <v>125.87</v>
      </c>
      <c r="D6" s="128">
        <f ca="1">IFERROR(__xludf.DUMMYFUNCTION("GOOGLEFINANCE(""NSE:""&amp;B6,""MARKETCAP"")/10000000"),164727.2301086)</f>
        <v>164727.23010859999</v>
      </c>
      <c r="E6" s="130">
        <v>459801</v>
      </c>
      <c r="F6" s="133">
        <f>E22</f>
        <v>27302</v>
      </c>
      <c r="G6" s="133">
        <f>F22</f>
        <v>6670</v>
      </c>
      <c r="H6" s="132">
        <f>O30</f>
        <v>5.1100000000000003</v>
      </c>
      <c r="I6" s="131">
        <v>10</v>
      </c>
      <c r="J6" s="128">
        <v>13069</v>
      </c>
      <c r="K6" s="130">
        <v>39599</v>
      </c>
      <c r="L6" s="130">
        <v>412138</v>
      </c>
      <c r="M6" s="130">
        <v>488834</v>
      </c>
      <c r="N6" s="130">
        <v>436166</v>
      </c>
      <c r="O6" s="97">
        <v>8275</v>
      </c>
      <c r="P6" s="97">
        <v>0.1</v>
      </c>
      <c r="Q6" s="97">
        <v>-9931</v>
      </c>
      <c r="R6" s="97">
        <v>306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"/>
      <c r="AI6" s="3"/>
      <c r="AJ6" s="3"/>
      <c r="AK6" s="83"/>
      <c r="AL6" s="83"/>
      <c r="AM6" s="83"/>
      <c r="AN6" s="83"/>
      <c r="AO6" s="83"/>
      <c r="AP6" s="3"/>
    </row>
    <row r="7" spans="1:42" ht="15.75" customHeight="1">
      <c r="B7" s="7" t="s">
        <v>120</v>
      </c>
      <c r="C7" s="7">
        <v>124</v>
      </c>
      <c r="D7" s="129">
        <f ca="1">C7*D6/C6</f>
        <v>162279.94385847618</v>
      </c>
      <c r="E7" s="7">
        <v>460047</v>
      </c>
      <c r="F7" s="7">
        <v>27152</v>
      </c>
      <c r="G7" s="7">
        <v>6502</v>
      </c>
      <c r="H7" s="7">
        <v>4.9800000000000004</v>
      </c>
      <c r="I7" s="7">
        <v>10</v>
      </c>
      <c r="J7" s="128">
        <v>13069</v>
      </c>
      <c r="K7" s="7">
        <v>36110</v>
      </c>
      <c r="L7" s="7">
        <v>412031</v>
      </c>
      <c r="M7" s="7">
        <v>485082</v>
      </c>
      <c r="N7" s="7">
        <v>435903</v>
      </c>
      <c r="O7" s="97">
        <v>7890</v>
      </c>
      <c r="P7" s="97">
        <v>-7.54</v>
      </c>
      <c r="Q7" s="97">
        <v>-11944</v>
      </c>
      <c r="R7" s="97">
        <v>60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83"/>
      <c r="AL7" s="83"/>
      <c r="AM7" s="83"/>
      <c r="AN7" s="83"/>
      <c r="AO7" s="83"/>
      <c r="AP7" s="3"/>
    </row>
    <row r="8" spans="1:42" ht="15.75" customHeight="1">
      <c r="B8" s="127" t="s">
        <v>119</v>
      </c>
      <c r="C8" s="126">
        <f ca="1">(C6/C7)-1</f>
        <v>1.5080645161290374E-2</v>
      </c>
      <c r="D8" s="126">
        <f ca="1">(D6/D7)-1</f>
        <v>1.5080645161290374E-2</v>
      </c>
      <c r="E8" s="126">
        <f>(E6/E7)-1</f>
        <v>-5.3472797344622514E-4</v>
      </c>
      <c r="F8" s="126">
        <f>(F6/F7)-1</f>
        <v>5.524454920447841E-3</v>
      </c>
      <c r="G8" s="126">
        <f>(G6/G7)-1</f>
        <v>2.5838203629652501E-2</v>
      </c>
      <c r="H8" s="126">
        <f>(H6/H7)-1</f>
        <v>2.6104417670682611E-2</v>
      </c>
      <c r="I8" s="126">
        <f>(I6/I7)-1</f>
        <v>0</v>
      </c>
      <c r="J8" s="126">
        <f>(J6/J7)-1</f>
        <v>0</v>
      </c>
      <c r="K8" s="126">
        <f>(K6/K7)-1</f>
        <v>9.6621434505677062E-2</v>
      </c>
      <c r="L8" s="126">
        <f>(L6/L7)-1</f>
        <v>2.5968919814278735E-4</v>
      </c>
      <c r="M8" s="126">
        <f>(M6/M7)-1</f>
        <v>7.7347747391163235E-3</v>
      </c>
      <c r="N8" s="126">
        <f>(N6/N7)-1</f>
        <v>6.033452396518868E-4</v>
      </c>
      <c r="O8" s="126">
        <v>1.27</v>
      </c>
      <c r="P8" s="126">
        <f>(P6/P7)-1</f>
        <v>-1.0132625994694959</v>
      </c>
      <c r="Q8" s="126">
        <f>(Q6/Q7)-1</f>
        <v>-0.16853650368385797</v>
      </c>
      <c r="R8" s="126">
        <f>(R6/R7)-1</f>
        <v>4.0999999999999996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83"/>
      <c r="AL8" s="83"/>
      <c r="AM8" s="83"/>
      <c r="AN8" s="83"/>
      <c r="AO8" s="83"/>
      <c r="AP8" s="3"/>
    </row>
    <row r="9" spans="1:42" ht="15.75" customHeight="1">
      <c r="A9" s="125"/>
      <c r="B9" s="83"/>
      <c r="C9" s="3"/>
      <c r="D9" s="3"/>
      <c r="E9" s="3"/>
      <c r="F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83"/>
      <c r="AL9" s="83"/>
      <c r="AM9" s="83"/>
      <c r="AN9" s="83"/>
      <c r="AO9" s="83"/>
      <c r="AP9" s="3"/>
    </row>
    <row r="10" spans="1:42" ht="15.75" customHeight="1">
      <c r="A10" s="123"/>
      <c r="B10" s="27" t="s">
        <v>45</v>
      </c>
      <c r="C10" s="27" t="s">
        <v>118</v>
      </c>
      <c r="D10" s="27" t="s">
        <v>117</v>
      </c>
      <c r="E10" s="124" t="s">
        <v>116</v>
      </c>
      <c r="F10" s="27" t="s">
        <v>115</v>
      </c>
      <c r="G10" s="27" t="s">
        <v>114</v>
      </c>
      <c r="H10" s="27" t="s">
        <v>113</v>
      </c>
      <c r="I10" s="27" t="s">
        <v>112</v>
      </c>
      <c r="J10" s="27" t="s">
        <v>111</v>
      </c>
      <c r="K10" s="27" t="s">
        <v>110</v>
      </c>
      <c r="L10" s="27" t="s">
        <v>109</v>
      </c>
      <c r="M10" s="27" t="s">
        <v>108</v>
      </c>
      <c r="N10" s="27" t="s">
        <v>72</v>
      </c>
      <c r="O10" s="3"/>
      <c r="P10" s="3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"/>
      <c r="AG10" s="3"/>
      <c r="AH10" s="3"/>
      <c r="AI10" s="3"/>
      <c r="AJ10" s="3"/>
      <c r="AK10" s="83"/>
      <c r="AL10" s="83"/>
      <c r="AM10" s="83"/>
      <c r="AN10" s="83"/>
      <c r="AO10" s="83"/>
      <c r="AP10" s="3"/>
    </row>
    <row r="11" spans="1:42" ht="15.75" customHeight="1">
      <c r="A11" s="123"/>
      <c r="B11" s="121">
        <f>D41</f>
        <v>0.25234996384671005</v>
      </c>
      <c r="C11" s="121">
        <f>F8</f>
        <v>5.524454920447841E-3</v>
      </c>
      <c r="D11" s="121">
        <f>G6/M6</f>
        <v>1.3644713747407096E-2</v>
      </c>
      <c r="E11" s="121">
        <f>G6/(K6+J6)</f>
        <v>0.12664236348446875</v>
      </c>
      <c r="F11" s="122">
        <f>L6/(J6+K6)</f>
        <v>7.8252069567859044</v>
      </c>
      <c r="G11" s="121">
        <v>5.2119999999999997</v>
      </c>
      <c r="H11" s="119">
        <v>0</v>
      </c>
      <c r="I11" s="120">
        <v>1.4200000000000001E-2</v>
      </c>
      <c r="J11" s="118">
        <f ca="1">C6/H6</f>
        <v>24.632093933463796</v>
      </c>
      <c r="K11" s="119">
        <f ca="1">H6/C6</f>
        <v>4.0597441805036945E-2</v>
      </c>
      <c r="L11" s="118">
        <v>34.79</v>
      </c>
      <c r="M11" s="117">
        <f ca="1">C6/L11</f>
        <v>3.6179936763437772</v>
      </c>
      <c r="N11" s="117">
        <f ca="1">T30</f>
        <v>4.9264187866927589</v>
      </c>
      <c r="O11" s="3"/>
      <c r="P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"/>
      <c r="AG11" s="3"/>
      <c r="AH11" s="3"/>
      <c r="AI11" s="3"/>
      <c r="AJ11" s="3"/>
      <c r="AK11" s="83"/>
      <c r="AL11" s="83"/>
      <c r="AM11" s="83"/>
      <c r="AN11" s="3"/>
      <c r="AO11" s="3"/>
      <c r="AP11" s="3"/>
    </row>
    <row r="12" spans="1:42" ht="15.75" customHeight="1">
      <c r="A12" s="1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S12" s="3"/>
      <c r="T12" s="3"/>
      <c r="U12" s="3"/>
      <c r="V12" s="3"/>
      <c r="W12" s="3"/>
      <c r="X12" s="1"/>
      <c r="Y12" s="1"/>
      <c r="Z12" s="1"/>
      <c r="AA12" s="1"/>
      <c r="AB12" s="1"/>
      <c r="AC12" s="1"/>
      <c r="AD12" s="1"/>
      <c r="AE12" s="1"/>
      <c r="AF12" s="3"/>
      <c r="AG12" s="3"/>
      <c r="AH12" s="3"/>
      <c r="AI12" s="3"/>
      <c r="AJ12" s="115"/>
      <c r="AK12" s="115"/>
      <c r="AL12" s="115"/>
      <c r="AM12" s="115"/>
      <c r="AN12" s="115"/>
      <c r="AO12" s="115"/>
      <c r="AP12" s="3"/>
    </row>
    <row r="13" spans="1:42" ht="15.75" customHeight="1">
      <c r="B13" s="27" t="s">
        <v>107</v>
      </c>
      <c r="C13" s="27" t="s">
        <v>28</v>
      </c>
      <c r="D13" s="27" t="s">
        <v>27</v>
      </c>
      <c r="E13" s="27" t="s">
        <v>26</v>
      </c>
      <c r="F13" s="27" t="s">
        <v>25</v>
      </c>
      <c r="G13" s="27" t="s">
        <v>24</v>
      </c>
      <c r="H13" s="27" t="s">
        <v>38</v>
      </c>
      <c r="I13" s="27" t="s">
        <v>96</v>
      </c>
      <c r="J13" s="27" t="s">
        <v>95</v>
      </c>
      <c r="K13" s="27" t="s">
        <v>91</v>
      </c>
      <c r="L13" s="27" t="s">
        <v>90</v>
      </c>
      <c r="M13" s="27" t="s">
        <v>94</v>
      </c>
      <c r="N13" s="27" t="s">
        <v>93</v>
      </c>
      <c r="O13" s="27" t="s">
        <v>92</v>
      </c>
      <c r="P13" s="80" t="s">
        <v>106</v>
      </c>
      <c r="Q13" s="80" t="s">
        <v>105</v>
      </c>
      <c r="T13" s="3"/>
      <c r="U13" s="3"/>
      <c r="V13" s="3"/>
      <c r="W13" s="3"/>
      <c r="X13" s="1"/>
      <c r="Y13" s="1"/>
      <c r="Z13" s="1"/>
      <c r="AA13" s="1"/>
      <c r="AB13" s="1"/>
      <c r="AC13" s="3"/>
      <c r="AD13" s="3"/>
      <c r="AE13" s="3"/>
      <c r="AF13" s="3"/>
      <c r="AG13" s="3"/>
      <c r="AH13" s="3"/>
      <c r="AI13" s="3"/>
      <c r="AJ13" s="115"/>
      <c r="AK13" s="3"/>
      <c r="AL13" s="115"/>
      <c r="AM13" s="115"/>
      <c r="AN13" s="115"/>
      <c r="AO13" s="115"/>
      <c r="AP13" s="3"/>
    </row>
    <row r="14" spans="1:42" ht="15.75" customHeight="1">
      <c r="B14" s="113"/>
      <c r="C14" s="23" t="s">
        <v>104</v>
      </c>
      <c r="D14" s="113">
        <v>155500</v>
      </c>
      <c r="E14" s="60">
        <v>9207</v>
      </c>
      <c r="F14" s="60">
        <v>2001</v>
      </c>
      <c r="G14" s="111">
        <v>3.07</v>
      </c>
      <c r="H14" s="110">
        <f>F14/E14</f>
        <v>0.21733463668947539</v>
      </c>
      <c r="I14" s="60"/>
      <c r="J14" s="60"/>
      <c r="K14" s="60"/>
      <c r="L14" s="60"/>
      <c r="M14" s="60">
        <v>6526</v>
      </c>
      <c r="N14" s="55">
        <v>13798</v>
      </c>
      <c r="O14" s="107">
        <f>(N14+M14)/(M14/10)</f>
        <v>31.14311982837879</v>
      </c>
      <c r="P14" s="97"/>
      <c r="Q14" s="97"/>
      <c r="T14" s="115"/>
      <c r="U14" s="3"/>
      <c r="V14" s="3"/>
      <c r="W14" s="3"/>
      <c r="X14" s="1"/>
      <c r="Y14" s="1"/>
      <c r="Z14" s="1"/>
      <c r="AA14" s="1"/>
      <c r="AB14" s="1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5.75" customHeight="1">
      <c r="B15" s="113"/>
      <c r="C15" s="23" t="s">
        <v>103</v>
      </c>
      <c r="D15" s="113">
        <v>203047</v>
      </c>
      <c r="E15" s="60">
        <v>10987</v>
      </c>
      <c r="F15" s="114">
        <v>2139</v>
      </c>
      <c r="G15" s="111">
        <v>3.26</v>
      </c>
      <c r="H15" s="110">
        <f>F15/E15</f>
        <v>0.19468462728679348</v>
      </c>
      <c r="I15" s="60"/>
      <c r="J15" s="60"/>
      <c r="K15" s="60"/>
      <c r="L15" s="60"/>
      <c r="M15" s="60">
        <v>9380</v>
      </c>
      <c r="N15" s="55">
        <v>15485</v>
      </c>
      <c r="O15" s="107">
        <f>(N15+M15)/(M15/10)</f>
        <v>26.508528784648188</v>
      </c>
      <c r="P15" s="97"/>
      <c r="Q15" s="97"/>
      <c r="T15" s="3"/>
      <c r="U15" s="3"/>
      <c r="V15" s="3"/>
      <c r="W15" s="3"/>
      <c r="X15" s="1"/>
      <c r="Y15" s="1"/>
      <c r="Z15" s="1"/>
      <c r="AA15" s="1"/>
      <c r="AB15" s="1"/>
      <c r="AC15" s="3"/>
      <c r="AD15" s="3"/>
      <c r="AE15" s="3"/>
      <c r="AF15" s="3"/>
      <c r="AG15" s="3"/>
      <c r="AH15" s="3"/>
      <c r="AI15" s="3"/>
      <c r="AJ15" s="115"/>
      <c r="AK15" s="3"/>
      <c r="AL15" s="115"/>
      <c r="AM15" s="115"/>
      <c r="AN15" s="115"/>
      <c r="AO15" s="115"/>
      <c r="AP15" s="3"/>
    </row>
    <row r="16" spans="1:42" ht="15.75" customHeight="1">
      <c r="B16" s="113"/>
      <c r="C16" s="23" t="s">
        <v>102</v>
      </c>
      <c r="D16" s="113">
        <v>270500</v>
      </c>
      <c r="E16" s="60">
        <v>13421</v>
      </c>
      <c r="F16" s="60">
        <v>3192</v>
      </c>
      <c r="G16" s="111">
        <v>3.4</v>
      </c>
      <c r="H16" s="110">
        <f>F16/E16</f>
        <v>0.23783622680873259</v>
      </c>
      <c r="I16" s="60"/>
      <c r="J16" s="60"/>
      <c r="K16" s="60"/>
      <c r="L16" s="60"/>
      <c r="M16" s="60">
        <v>11880</v>
      </c>
      <c r="N16" s="55">
        <v>18419</v>
      </c>
      <c r="O16" s="107">
        <f>(N16+M16)/(M16/10)</f>
        <v>25.504208754208754</v>
      </c>
      <c r="P16" s="97"/>
      <c r="Q16" s="97"/>
      <c r="T16" s="3"/>
      <c r="U16" s="3"/>
      <c r="V16" s="3"/>
      <c r="W16" s="3"/>
      <c r="X16" s="1"/>
      <c r="Y16" s="1"/>
      <c r="Z16" s="1"/>
      <c r="AA16" s="1"/>
      <c r="AB16" s="1"/>
      <c r="AC16" s="3"/>
      <c r="AD16" s="3"/>
      <c r="AE16" s="3"/>
      <c r="AF16" s="3"/>
      <c r="AG16" s="3"/>
      <c r="AH16" s="3"/>
      <c r="AI16" s="3"/>
      <c r="AJ16" s="115"/>
      <c r="AK16" s="3"/>
      <c r="AL16" s="115"/>
      <c r="AM16" s="115"/>
      <c r="AN16" s="115"/>
      <c r="AO16" s="115"/>
      <c r="AP16" s="3"/>
    </row>
    <row r="17" spans="1:42" ht="15.75" customHeight="1">
      <c r="A17" s="28"/>
      <c r="B17" s="113"/>
      <c r="C17" s="23" t="s">
        <v>101</v>
      </c>
      <c r="D17" s="113">
        <v>368000</v>
      </c>
      <c r="E17" s="60">
        <v>15770</v>
      </c>
      <c r="F17" s="60">
        <v>4416</v>
      </c>
      <c r="G17" s="111">
        <v>3.66</v>
      </c>
      <c r="H17" s="110">
        <f>F17/E17</f>
        <v>0.28002536461636018</v>
      </c>
      <c r="I17" s="60"/>
      <c r="J17" s="60"/>
      <c r="K17" s="60"/>
      <c r="L17" s="60"/>
      <c r="M17" s="60">
        <v>13068</v>
      </c>
      <c r="N17" s="55">
        <v>22844</v>
      </c>
      <c r="O17" s="107">
        <f>(N17+M17)/(M17/10)</f>
        <v>27.480869299051118</v>
      </c>
      <c r="P17" s="97"/>
      <c r="Q17" s="97"/>
      <c r="T17" s="3"/>
      <c r="U17" s="3"/>
      <c r="V17" s="3"/>
      <c r="W17" s="3"/>
      <c r="X17" s="1"/>
      <c r="Y17" s="1"/>
      <c r="Z17" s="1"/>
      <c r="AA17" s="1"/>
      <c r="AB17" s="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5.75" customHeight="1">
      <c r="A18" s="28"/>
      <c r="B18" s="113" t="s">
        <v>100</v>
      </c>
      <c r="C18" s="23" t="s">
        <v>99</v>
      </c>
      <c r="D18" s="113">
        <v>429824</v>
      </c>
      <c r="E18" s="60">
        <v>20301</v>
      </c>
      <c r="F18" s="114">
        <v>6089</v>
      </c>
      <c r="G18" s="111">
        <v>4.66</v>
      </c>
      <c r="H18" s="110">
        <f>F18/E18</f>
        <v>0.29993596374562831</v>
      </c>
      <c r="I18" s="60">
        <v>20.8</v>
      </c>
      <c r="J18" s="60">
        <v>26.7</v>
      </c>
      <c r="K18" s="109">
        <f>I18/G18</f>
        <v>4.4635193133047206</v>
      </c>
      <c r="L18" s="108">
        <f>J18/G18</f>
        <v>5.7296137339055795</v>
      </c>
      <c r="M18" s="60">
        <v>13068</v>
      </c>
      <c r="N18" s="55">
        <v>27927</v>
      </c>
      <c r="O18" s="107">
        <f>(N18+M18)/(M18/10)</f>
        <v>31.370523415977964</v>
      </c>
      <c r="P18" s="106">
        <f>I18/O18</f>
        <v>0.66304281009879251</v>
      </c>
      <c r="Q18" s="106">
        <f>J18/O18</f>
        <v>0.85111745334796918</v>
      </c>
      <c r="T18" s="3"/>
      <c r="U18" s="3"/>
      <c r="V18" s="3"/>
      <c r="W18" s="3"/>
      <c r="X18" s="1"/>
      <c r="Y18" s="1"/>
      <c r="Z18" s="1"/>
      <c r="AA18" s="1"/>
      <c r="AB18" s="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5.75" customHeight="1">
      <c r="A19" s="28"/>
      <c r="B19" s="113"/>
      <c r="C19" s="23" t="s">
        <v>98</v>
      </c>
      <c r="D19" s="113">
        <v>466938</v>
      </c>
      <c r="E19" s="112">
        <v>23731</v>
      </c>
      <c r="F19" s="60">
        <v>6167</v>
      </c>
      <c r="G19" s="111">
        <v>4.72</v>
      </c>
      <c r="H19" s="110">
        <f>F19/E19</f>
        <v>0.25987105473852767</v>
      </c>
      <c r="I19" s="60">
        <v>19.3</v>
      </c>
      <c r="J19" s="60">
        <v>37.1</v>
      </c>
      <c r="K19" s="109">
        <f>I19/G19</f>
        <v>4.0889830508474576</v>
      </c>
      <c r="L19" s="108">
        <f>J19/G19</f>
        <v>7.8601694915254248</v>
      </c>
      <c r="M19" s="60">
        <v>13068</v>
      </c>
      <c r="N19" s="55">
        <v>32401</v>
      </c>
      <c r="O19" s="107">
        <f>(N19+M19)/(M19/10)</f>
        <v>34.794153657790019</v>
      </c>
      <c r="P19" s="106">
        <f>I19/O19</f>
        <v>0.55469088829752144</v>
      </c>
      <c r="Q19" s="106">
        <f>J19/O19</f>
        <v>1.0662710857947173</v>
      </c>
      <c r="T19" s="3"/>
      <c r="U19" s="3"/>
      <c r="V19" s="3"/>
      <c r="W19" s="3"/>
      <c r="X19" s="1"/>
      <c r="Y19" s="1"/>
      <c r="Z19" s="1"/>
      <c r="AA19" s="1"/>
      <c r="AB19" s="1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.75" customHeight="1">
      <c r="B20" s="97"/>
      <c r="C20" s="23" t="s">
        <v>63</v>
      </c>
      <c r="D20" s="113">
        <v>464641</v>
      </c>
      <c r="E20" s="112">
        <v>26655</v>
      </c>
      <c r="F20" s="60">
        <v>6412</v>
      </c>
      <c r="G20" s="111">
        <v>4.9000000000000004</v>
      </c>
      <c r="H20" s="110">
        <v>0.24</v>
      </c>
      <c r="I20" s="60">
        <v>27</v>
      </c>
      <c r="J20" s="60">
        <v>192</v>
      </c>
      <c r="K20" s="109">
        <f>I20/G20</f>
        <v>5.5102040816326525</v>
      </c>
      <c r="L20" s="108">
        <f>J20/G20</f>
        <v>39.183673469387749</v>
      </c>
      <c r="M20" s="60">
        <v>13068</v>
      </c>
      <c r="N20" s="55">
        <v>36110</v>
      </c>
      <c r="O20" s="107">
        <f>(N20+M20)/(M20/10)</f>
        <v>37.632384450566271</v>
      </c>
      <c r="P20" s="106">
        <f>I20/O20</f>
        <v>0.71746716011224532</v>
      </c>
      <c r="Q20" s="106">
        <f>J20/O20</f>
        <v>5.1019886941315216</v>
      </c>
      <c r="T20" s="3"/>
      <c r="U20" s="3"/>
      <c r="V20" s="3"/>
      <c r="W20" s="3"/>
      <c r="X20" s="1"/>
      <c r="Y20" s="1"/>
      <c r="Z20" s="1"/>
      <c r="AA20" s="1"/>
      <c r="AB20" s="1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.75" customHeight="1">
      <c r="B21" s="97"/>
      <c r="C21" s="23" t="s">
        <v>64</v>
      </c>
      <c r="D21" s="113">
        <v>460047</v>
      </c>
      <c r="E21" s="112">
        <v>27152</v>
      </c>
      <c r="F21" s="60">
        <v>6502</v>
      </c>
      <c r="G21" s="111">
        <v>4.9800000000000004</v>
      </c>
      <c r="H21" s="110">
        <v>0.23899999999999999</v>
      </c>
      <c r="I21" s="97">
        <v>108</v>
      </c>
      <c r="J21" s="97">
        <v>229</v>
      </c>
      <c r="K21" s="109">
        <f>I21/G21</f>
        <v>21.686746987951807</v>
      </c>
      <c r="L21" s="108">
        <f>J21/G21</f>
        <v>45.98393574297188</v>
      </c>
      <c r="M21" s="107">
        <v>13068</v>
      </c>
      <c r="N21" s="97">
        <v>39599</v>
      </c>
      <c r="O21" s="107">
        <f>(N21+M21)/(M21/10)</f>
        <v>40.302265074992349</v>
      </c>
      <c r="P21" s="106">
        <f>I21/O21</f>
        <v>2.6797501281637457</v>
      </c>
      <c r="Q21" s="106">
        <f>J21/O21</f>
        <v>5.6820627717546088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.75" customHeight="1">
      <c r="B22" s="97"/>
      <c r="C22" s="23" t="s">
        <v>97</v>
      </c>
      <c r="D22" s="113">
        <v>460047</v>
      </c>
      <c r="E22" s="112">
        <f>E21+D36-E36</f>
        <v>27302</v>
      </c>
      <c r="F22" s="60">
        <f>F21+D39-E39</f>
        <v>6670</v>
      </c>
      <c r="G22" s="111">
        <f>O30</f>
        <v>5.1100000000000003</v>
      </c>
      <c r="H22" s="110">
        <v>0.23899999999999999</v>
      </c>
      <c r="I22" s="97">
        <v>113</v>
      </c>
      <c r="J22" s="97">
        <v>149</v>
      </c>
      <c r="K22" s="109">
        <f>I22/G22</f>
        <v>22.113502935420744</v>
      </c>
      <c r="L22" s="108">
        <f>J22/G22</f>
        <v>29.158512720156555</v>
      </c>
      <c r="M22" s="107">
        <v>13068</v>
      </c>
      <c r="N22" s="97">
        <v>41355</v>
      </c>
      <c r="O22" s="107">
        <f>(N22+M22)/(M22/10)</f>
        <v>41.646005509641874</v>
      </c>
      <c r="P22" s="106">
        <f>I22/O22</f>
        <v>2.7133454605589549</v>
      </c>
      <c r="Q22" s="106">
        <f>J22/O22</f>
        <v>3.5777741028609227</v>
      </c>
      <c r="AH22" s="3"/>
      <c r="AI22" s="3"/>
      <c r="AJ22" s="3"/>
      <c r="AK22" s="3"/>
      <c r="AL22" s="3"/>
      <c r="AM22" s="3"/>
      <c r="AN22" s="1"/>
      <c r="AO22" s="1"/>
      <c r="AP22" s="1"/>
    </row>
    <row r="23" spans="1:42" ht="15.75" customHeight="1">
      <c r="AG23" s="3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.75" customHeight="1">
      <c r="B24" s="27" t="s">
        <v>57</v>
      </c>
      <c r="C24" s="27" t="s">
        <v>28</v>
      </c>
      <c r="D24" s="27" t="s">
        <v>27</v>
      </c>
      <c r="E24" s="27" t="s">
        <v>26</v>
      </c>
      <c r="F24" s="27" t="s">
        <v>25</v>
      </c>
      <c r="G24" s="27" t="s">
        <v>24</v>
      </c>
      <c r="H24" s="27" t="s">
        <v>38</v>
      </c>
      <c r="I24" s="27" t="s">
        <v>96</v>
      </c>
      <c r="J24" s="27" t="s">
        <v>95</v>
      </c>
      <c r="K24" s="27" t="s">
        <v>91</v>
      </c>
      <c r="L24" s="27" t="s">
        <v>90</v>
      </c>
      <c r="M24" s="27" t="s">
        <v>94</v>
      </c>
      <c r="N24" s="80" t="s">
        <v>93</v>
      </c>
      <c r="O24" s="27" t="s">
        <v>92</v>
      </c>
      <c r="P24" s="80" t="s">
        <v>91</v>
      </c>
      <c r="Q24" s="80" t="s">
        <v>90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.75" customHeight="1">
      <c r="A25" s="28"/>
      <c r="B25" s="16"/>
      <c r="C25" s="27" t="s">
        <v>89</v>
      </c>
      <c r="D25" s="34">
        <f>(D21/D16)^(1/5)-1</f>
        <v>0.11205684261119631</v>
      </c>
      <c r="E25" s="34">
        <f>(E21/E16)^(1/5)-1</f>
        <v>0.15133946046800806</v>
      </c>
      <c r="F25" s="34">
        <f>(F21/F16)^(1/5)-1</f>
        <v>0.15291374403577684</v>
      </c>
      <c r="G25" s="34">
        <f>(G21/G16)^(1/5)-1</f>
        <v>7.9319653189032335E-2</v>
      </c>
      <c r="H25" s="102">
        <f>MEDIAN(H16:H21)</f>
        <v>0.24993552736926383</v>
      </c>
      <c r="I25" s="34" t="e">
        <f>(I21/I16)^(1/5)-1</f>
        <v>#DIV/0!</v>
      </c>
      <c r="J25" s="34" t="e">
        <f>(J21/J16)^(1/5)-1</f>
        <v>#DIV/0!</v>
      </c>
      <c r="K25" s="101">
        <f>AVERAGE(K18:K21)</f>
        <v>8.9373633584341601</v>
      </c>
      <c r="L25" s="101">
        <f>AVERAGE(L18:L21)</f>
        <v>24.689348109447657</v>
      </c>
      <c r="M25" s="34">
        <f>(M21/M16)^(1/5)-1</f>
        <v>1.9244876491456564E-2</v>
      </c>
      <c r="N25" s="34">
        <f>(N21/N16)^(1/5)-1</f>
        <v>0.16542313254440821</v>
      </c>
      <c r="O25" s="34">
        <f>(O21/O16)^(1/5)-1</f>
        <v>9.5830843777983565E-2</v>
      </c>
      <c r="P25" s="100">
        <f>AVERAGE(P18:P21)</f>
        <v>1.1537377466680763</v>
      </c>
      <c r="Q25" s="100">
        <f>AVERAGE(Q18:Q21)</f>
        <v>3.1753600012572041</v>
      </c>
      <c r="R25" s="3"/>
      <c r="S25" s="3"/>
      <c r="T25" s="3"/>
      <c r="U25" s="3"/>
      <c r="V25" s="3"/>
      <c r="W25" s="3"/>
      <c r="X25" s="3"/>
      <c r="Y25" s="1"/>
      <c r="Z25" s="1"/>
      <c r="AA25" s="1"/>
      <c r="AB25" s="1"/>
      <c r="AC25" s="3"/>
      <c r="AD25" s="3"/>
      <c r="AE25" s="3"/>
      <c r="AF25" s="3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4.4">
      <c r="A26" s="1"/>
      <c r="B26" s="16"/>
      <c r="C26" s="27" t="s">
        <v>88</v>
      </c>
      <c r="D26" s="104">
        <f>(D21/D18)^(1/3)-1</f>
        <v>2.2909425780292647E-2</v>
      </c>
      <c r="E26" s="104">
        <f>(E21/E18)^(1/3)-1</f>
        <v>0.10177978010039901</v>
      </c>
      <c r="F26" s="104">
        <f>(F21/F18)^(1/3)-1</f>
        <v>2.211633812536018E-2</v>
      </c>
      <c r="G26" s="104">
        <f>(G21/G18)^(1/3)-1</f>
        <v>2.2385014784706447E-2</v>
      </c>
      <c r="H26" s="104">
        <f>MEDIAN(H18:H21)</f>
        <v>0.24993552736926383</v>
      </c>
      <c r="I26" s="104">
        <f>(I21/I18)^(1/3)-1</f>
        <v>0.73162350989647917</v>
      </c>
      <c r="J26" s="104">
        <f>(J21/J18)^(1/3)-1</f>
        <v>1.0469539553753164</v>
      </c>
      <c r="K26" s="105">
        <f>MEDIAN(K18:K21)</f>
        <v>4.9868616974686866</v>
      </c>
      <c r="L26" s="105">
        <f>MEDIAN(L18:L21)</f>
        <v>23.521921480456587</v>
      </c>
      <c r="M26" s="104">
        <f>(M21/M18)^(1/3)-1</f>
        <v>0</v>
      </c>
      <c r="N26" s="104">
        <f>(N21/N18)^(1/3)-1</f>
        <v>0.12344886868775351</v>
      </c>
      <c r="O26" s="104">
        <f>(O21/O18)^(1/3)-1</f>
        <v>8.7099334956327157E-2</v>
      </c>
      <c r="P26" s="103">
        <f>MEDIAN(P18:P21)</f>
        <v>0.69025498510551886</v>
      </c>
      <c r="Q26" s="103">
        <f>MEDIAN(Q18:Q21)</f>
        <v>3.0841298899631191</v>
      </c>
      <c r="R26" s="3"/>
      <c r="S26" s="3"/>
      <c r="T26" s="3"/>
      <c r="U26" s="89">
        <f>(2011/2335)-1</f>
        <v>-0.13875802997858677</v>
      </c>
      <c r="V26" s="3"/>
      <c r="W26" s="3"/>
      <c r="X26" s="3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4.4">
      <c r="A27" s="1"/>
      <c r="C27" s="27" t="s">
        <v>87</v>
      </c>
      <c r="D27" s="34">
        <f>(D21/D20)-1</f>
        <v>-9.8872032386293496E-3</v>
      </c>
      <c r="E27" s="34">
        <f>(E21/E20)-1</f>
        <v>1.8645657475145461E-2</v>
      </c>
      <c r="F27" s="34">
        <f>(F21/F20)-1</f>
        <v>1.4036182158452926E-2</v>
      </c>
      <c r="G27" s="34">
        <f>(G21/G20)-1</f>
        <v>1.6326530612244872E-2</v>
      </c>
      <c r="H27" s="102">
        <f>H21</f>
        <v>0.23899999999999999</v>
      </c>
      <c r="I27" s="34">
        <f>(I21/I20)-1</f>
        <v>3</v>
      </c>
      <c r="J27" s="34">
        <f>(J21/J20)-1</f>
        <v>0.19270833333333326</v>
      </c>
      <c r="K27" s="101">
        <f>K21</f>
        <v>21.686746987951807</v>
      </c>
      <c r="L27" s="101">
        <f>L21</f>
        <v>45.98393574297188</v>
      </c>
      <c r="M27" s="34">
        <f>(M21/M20)-1</f>
        <v>0</v>
      </c>
      <c r="N27" s="34">
        <f>(N21/N20)-1</f>
        <v>9.6621434505677062E-2</v>
      </c>
      <c r="O27" s="34">
        <f>(O21/O20)-1</f>
        <v>7.0946358127617959E-2</v>
      </c>
      <c r="P27" s="100">
        <f>P21</f>
        <v>2.6797501281637457</v>
      </c>
      <c r="Q27" s="100">
        <f>Q21</f>
        <v>5.6820627717546088</v>
      </c>
      <c r="R27" s="3"/>
      <c r="S27" s="3"/>
      <c r="T27" s="3"/>
      <c r="U27" s="89">
        <f>(4753/4402)-1</f>
        <v>7.9736483416628756E-2</v>
      </c>
      <c r="V27" s="3"/>
      <c r="W27" s="3"/>
      <c r="X27" s="3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4.4">
      <c r="A28" s="1"/>
      <c r="B28" s="82"/>
      <c r="C28" s="82"/>
      <c r="D28" s="82"/>
      <c r="E28" s="82"/>
      <c r="F28" s="82"/>
      <c r="G28" s="82"/>
      <c r="H28" s="82"/>
      <c r="J28" s="82"/>
      <c r="K28" s="82"/>
      <c r="L28" s="82"/>
      <c r="M28" s="82"/>
      <c r="N28" s="82"/>
      <c r="O28" s="82"/>
      <c r="P28" s="16"/>
      <c r="U28" s="3"/>
    </row>
    <row r="29" spans="1:42" ht="14.4">
      <c r="A29" s="28"/>
      <c r="B29" s="27" t="s">
        <v>86</v>
      </c>
      <c r="C29" s="27" t="s">
        <v>86</v>
      </c>
      <c r="D29" s="27" t="s">
        <v>85</v>
      </c>
      <c r="E29" s="27" t="s">
        <v>84</v>
      </c>
      <c r="F29" s="27" t="s">
        <v>83</v>
      </c>
      <c r="G29" s="27" t="s">
        <v>82</v>
      </c>
      <c r="H29" s="27" t="s">
        <v>81</v>
      </c>
      <c r="J29" s="99" t="s">
        <v>24</v>
      </c>
      <c r="K29" s="99" t="s">
        <v>80</v>
      </c>
      <c r="L29" s="99" t="s">
        <v>79</v>
      </c>
      <c r="M29" s="99" t="s">
        <v>78</v>
      </c>
      <c r="N29" s="99" t="s">
        <v>77</v>
      </c>
      <c r="O29" s="99" t="s">
        <v>76</v>
      </c>
      <c r="P29" s="16"/>
      <c r="Q29" s="91" t="s">
        <v>75</v>
      </c>
      <c r="R29" s="91" t="s">
        <v>74</v>
      </c>
      <c r="S29" s="91" t="s">
        <v>73</v>
      </c>
      <c r="T29" s="91" t="s">
        <v>72</v>
      </c>
      <c r="U29" s="3"/>
    </row>
    <row r="30" spans="1:42" ht="14.4">
      <c r="A30" s="1"/>
      <c r="C30" s="23" t="s">
        <v>55</v>
      </c>
      <c r="D30" s="92">
        <v>0.02</v>
      </c>
      <c r="E30" s="92">
        <v>0.01</v>
      </c>
      <c r="F30" s="92">
        <v>0.02</v>
      </c>
      <c r="G30" s="92">
        <v>0.02</v>
      </c>
      <c r="H30" s="92">
        <v>0.03</v>
      </c>
      <c r="I30" s="16"/>
      <c r="J30" s="98" t="s">
        <v>24</v>
      </c>
      <c r="K30" s="97">
        <v>1.23</v>
      </c>
      <c r="L30" s="97">
        <v>1.25</v>
      </c>
      <c r="M30" s="97">
        <v>1.29</v>
      </c>
      <c r="N30" s="97">
        <v>1.34</v>
      </c>
      <c r="O30" s="51">
        <f>SUM(K30:N30)</f>
        <v>5.1100000000000003</v>
      </c>
      <c r="P30" s="16"/>
      <c r="Q30" s="96">
        <v>4.9800000000000004</v>
      </c>
      <c r="R30" s="95">
        <v>5.1100000000000003</v>
      </c>
      <c r="S30" s="94">
        <v>5.2</v>
      </c>
      <c r="T30" s="93">
        <f ca="1">R32/5</f>
        <v>4.9264187866927589</v>
      </c>
      <c r="U30" s="81">
        <f>(6764/6737)-1</f>
        <v>4.007718569096097E-3</v>
      </c>
    </row>
    <row r="31" spans="1:42" ht="14.4">
      <c r="A31" s="1"/>
      <c r="C31" s="23" t="s">
        <v>48</v>
      </c>
      <c r="D31" s="92">
        <v>0.03</v>
      </c>
      <c r="E31" s="92">
        <v>0.03</v>
      </c>
      <c r="F31" s="92">
        <v>0.01</v>
      </c>
      <c r="G31" s="92">
        <v>0.11</v>
      </c>
      <c r="H31" s="92">
        <v>0.08</v>
      </c>
      <c r="I31" s="16"/>
      <c r="P31" s="16"/>
      <c r="Q31" s="91" t="s">
        <v>71</v>
      </c>
      <c r="R31" s="91" t="s">
        <v>70</v>
      </c>
      <c r="S31" s="91" t="s">
        <v>70</v>
      </c>
      <c r="T31" s="90"/>
      <c r="U31" s="89">
        <f>(1631/1599)-1</f>
        <v>2.0012507817385838E-2</v>
      </c>
    </row>
    <row r="32" spans="1:42" ht="14.4">
      <c r="A32" s="1"/>
      <c r="C32" s="23" t="s">
        <v>45</v>
      </c>
      <c r="D32" s="88">
        <v>0.23300000000000001</v>
      </c>
      <c r="E32" s="88">
        <v>0.23599999999999999</v>
      </c>
      <c r="F32" s="88">
        <v>0.23899999999999999</v>
      </c>
      <c r="G32" s="88">
        <v>0.252</v>
      </c>
      <c r="H32" s="88">
        <v>0.252</v>
      </c>
      <c r="I32" s="16"/>
      <c r="P32" s="16"/>
      <c r="Q32" s="87">
        <f>C7/Q30</f>
        <v>24.899598393574294</v>
      </c>
      <c r="R32" s="86">
        <f ca="1">C6/R30</f>
        <v>24.632093933463796</v>
      </c>
      <c r="S32" s="85">
        <f ca="1">C6/S30</f>
        <v>24.205769230769231</v>
      </c>
      <c r="T32" s="84"/>
      <c r="U32" s="3"/>
    </row>
    <row r="33" spans="1:42" ht="14.4">
      <c r="A33" s="1"/>
      <c r="I33" s="83"/>
      <c r="J33" s="82"/>
      <c r="K33" s="82"/>
      <c r="L33" s="82"/>
      <c r="M33" s="82"/>
      <c r="N33" s="82"/>
      <c r="O33" s="82"/>
      <c r="P33" s="16"/>
      <c r="U33" s="81"/>
    </row>
    <row r="34" spans="1:42" ht="14.4">
      <c r="A34" s="1"/>
      <c r="B34" s="27" t="s">
        <v>69</v>
      </c>
      <c r="C34" s="27" t="s">
        <v>68</v>
      </c>
      <c r="D34" s="27" t="s">
        <v>60</v>
      </c>
      <c r="E34" s="27" t="s">
        <v>59</v>
      </c>
      <c r="F34" s="79" t="s">
        <v>57</v>
      </c>
      <c r="H34" s="80" t="s">
        <v>67</v>
      </c>
      <c r="I34" s="27" t="s">
        <v>67</v>
      </c>
      <c r="J34" s="27" t="s">
        <v>66</v>
      </c>
      <c r="K34" s="79" t="s">
        <v>57</v>
      </c>
      <c r="L34" s="1"/>
      <c r="M34" s="27" t="s">
        <v>65</v>
      </c>
      <c r="N34" s="27" t="s">
        <v>64</v>
      </c>
      <c r="O34" s="27" t="s">
        <v>63</v>
      </c>
      <c r="P34" s="79" t="s">
        <v>57</v>
      </c>
      <c r="R34" s="27" t="s">
        <v>62</v>
      </c>
      <c r="S34" s="27" t="s">
        <v>60</v>
      </c>
      <c r="T34" s="27" t="s">
        <v>59</v>
      </c>
      <c r="U34" s="79" t="s">
        <v>58</v>
      </c>
      <c r="V34" s="79" t="s">
        <v>57</v>
      </c>
      <c r="W34" s="1"/>
      <c r="X34" s="27" t="s">
        <v>61</v>
      </c>
      <c r="Y34" s="27" t="s">
        <v>60</v>
      </c>
      <c r="Z34" s="27" t="s">
        <v>59</v>
      </c>
      <c r="AA34" s="79" t="s">
        <v>58</v>
      </c>
      <c r="AB34" s="79" t="s">
        <v>57</v>
      </c>
    </row>
    <row r="35" spans="1:42" ht="14.4">
      <c r="A35" s="1"/>
      <c r="C35" s="13" t="s">
        <v>27</v>
      </c>
      <c r="D35" s="52">
        <v>459802</v>
      </c>
      <c r="E35" s="52">
        <v>463181</v>
      </c>
      <c r="F35" s="64">
        <f>(D35/E35)^(1/1)-1</f>
        <v>-7.2952042506061465E-3</v>
      </c>
      <c r="H35" s="66" t="s">
        <v>27</v>
      </c>
      <c r="I35" s="52"/>
      <c r="J35" s="52"/>
      <c r="K35" s="64" t="e">
        <f>(I35/J35)^(1/1)-1</f>
        <v>#DIV/0!</v>
      </c>
      <c r="L35" s="1"/>
      <c r="M35" s="13" t="s">
        <v>27</v>
      </c>
      <c r="N35" s="52">
        <v>460047</v>
      </c>
      <c r="O35" s="52">
        <v>464641</v>
      </c>
      <c r="P35" s="64">
        <f>(N35/O35)^(1/1)-1</f>
        <v>-9.8872032386293496E-3</v>
      </c>
      <c r="R35" s="13" t="s">
        <v>56</v>
      </c>
      <c r="S35" s="52">
        <v>1497</v>
      </c>
      <c r="T35" s="52">
        <v>1819</v>
      </c>
      <c r="U35" s="56">
        <f>S35/$S$38</f>
        <v>0.21692508332125779</v>
      </c>
      <c r="V35" s="64">
        <f>(S35/T35)^(1/1)-1</f>
        <v>-0.177020340846619</v>
      </c>
      <c r="W35" s="1"/>
      <c r="X35" s="13" t="s">
        <v>50</v>
      </c>
      <c r="Y35" s="52">
        <v>5124</v>
      </c>
      <c r="Z35" s="52">
        <v>5155</v>
      </c>
      <c r="AA35" s="56">
        <f>Y35/$Y$41</f>
        <v>0.99067903275389047</v>
      </c>
      <c r="AB35" s="78">
        <f>Y35/Z35-1</f>
        <v>-6.0135790494665331E-3</v>
      </c>
    </row>
    <row r="36" spans="1:42" ht="14.4">
      <c r="A36" s="1"/>
      <c r="C36" s="13" t="s">
        <v>55</v>
      </c>
      <c r="D36" s="52">
        <v>6915</v>
      </c>
      <c r="E36" s="52">
        <v>6765</v>
      </c>
      <c r="F36" s="76">
        <f>(D36/E36)^(1/1)-1</f>
        <v>2.2172949002217335E-2</v>
      </c>
      <c r="H36" s="66" t="s">
        <v>55</v>
      </c>
      <c r="I36" s="52">
        <v>6723</v>
      </c>
      <c r="J36" s="52">
        <v>6475</v>
      </c>
      <c r="K36" s="77">
        <f>(I36/J36)^(1/1)-1</f>
        <v>3.8301158301158322E-2</v>
      </c>
      <c r="L36" s="1"/>
      <c r="M36" s="13" t="s">
        <v>55</v>
      </c>
      <c r="N36" s="52">
        <v>27152</v>
      </c>
      <c r="O36" s="52">
        <v>26649</v>
      </c>
      <c r="P36" s="76">
        <f>(N36/O36)^(1/1)-1</f>
        <v>1.8875004690607433E-2</v>
      </c>
      <c r="R36" s="23" t="s">
        <v>54</v>
      </c>
      <c r="S36" s="55">
        <v>5404</v>
      </c>
      <c r="T36" s="55">
        <v>4946</v>
      </c>
      <c r="U36" s="56">
        <f>S36/$S$38</f>
        <v>0.78307491667874218</v>
      </c>
      <c r="V36" s="75">
        <f>(S36/T36)^(1/1)-1</f>
        <v>9.2600080873433077E-2</v>
      </c>
      <c r="W36" s="1"/>
      <c r="X36" s="23" t="s">
        <v>53</v>
      </c>
      <c r="Y36" s="55">
        <v>3.7</v>
      </c>
      <c r="Z36" s="55">
        <v>2.62</v>
      </c>
      <c r="AA36" s="74">
        <f>Y36/$Y$41</f>
        <v>7.1536151857716534E-4</v>
      </c>
      <c r="AB36" s="73">
        <f>Y36/Z36-1</f>
        <v>0.41221374045801529</v>
      </c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4.4">
      <c r="A37" s="1"/>
      <c r="C37" s="13" t="s">
        <v>52</v>
      </c>
      <c r="D37" s="52">
        <v>5172</v>
      </c>
      <c r="E37" s="52">
        <v>5189</v>
      </c>
      <c r="F37" s="71">
        <f>(D37/E37)^(1/1)-1</f>
        <v>-3.2761611100404764E-3</v>
      </c>
      <c r="H37" s="66" t="s">
        <v>52</v>
      </c>
      <c r="I37" s="52">
        <v>5042</v>
      </c>
      <c r="J37" s="52">
        <v>4761</v>
      </c>
      <c r="K37" s="72">
        <f>(I37/J37)^(1/1)-1</f>
        <v>5.9021214030665847E-2</v>
      </c>
      <c r="L37" s="1"/>
      <c r="M37" s="13" t="s">
        <v>52</v>
      </c>
      <c r="N37" s="52">
        <v>20654</v>
      </c>
      <c r="O37" s="52">
        <v>20244</v>
      </c>
      <c r="P37" s="71">
        <f>(N37/O37)^(1/1)-1</f>
        <v>2.0252914443785741E-2</v>
      </c>
      <c r="R37" s="13"/>
      <c r="S37" s="55"/>
      <c r="T37" s="55"/>
      <c r="U37" s="70"/>
      <c r="V37" s="69"/>
      <c r="W37" s="1"/>
      <c r="X37" s="13" t="s">
        <v>51</v>
      </c>
      <c r="Y37" s="52">
        <v>6.1</v>
      </c>
      <c r="Z37" s="52">
        <v>-3.63</v>
      </c>
      <c r="AA37" s="68">
        <f>Y37/$Y$41</f>
        <v>1.1793798008974887E-3</v>
      </c>
      <c r="AB37" s="67">
        <f>Y37/Z37-1</f>
        <v>-2.6804407713498621</v>
      </c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4.4">
      <c r="A38" s="3"/>
      <c r="C38" s="13" t="s">
        <v>50</v>
      </c>
      <c r="D38" s="52">
        <v>5124</v>
      </c>
      <c r="E38" s="52">
        <v>5155</v>
      </c>
      <c r="F38" s="64">
        <f>(D38/E38)^(1/1)-1</f>
        <v>-6.0135790494665331E-3</v>
      </c>
      <c r="H38" s="66" t="s">
        <v>50</v>
      </c>
      <c r="I38" s="52">
        <v>4996</v>
      </c>
      <c r="J38" s="52">
        <v>4725</v>
      </c>
      <c r="K38" s="65">
        <f>(I38/J38)^(1/1)-1</f>
        <v>5.7354497354497269E-2</v>
      </c>
      <c r="L38" s="1"/>
      <c r="M38" s="13" t="s">
        <v>50</v>
      </c>
      <c r="N38" s="52">
        <v>20495</v>
      </c>
      <c r="O38" s="52">
        <v>20101</v>
      </c>
      <c r="P38" s="64">
        <f>(N38/O38)^(1/1)-1</f>
        <v>1.960101487488175E-2</v>
      </c>
      <c r="R38" s="63" t="s">
        <v>44</v>
      </c>
      <c r="S38" s="62">
        <f>SUM(S35:S37)</f>
        <v>6901</v>
      </c>
      <c r="T38" s="62">
        <f>SUM(T35:T37)</f>
        <v>6765</v>
      </c>
      <c r="U38" s="56">
        <f>S38/$S$38</f>
        <v>1</v>
      </c>
      <c r="V38" s="61">
        <f>(S38/T38)-1</f>
        <v>2.0103473762010271E-2</v>
      </c>
      <c r="W38" s="1"/>
      <c r="X38" s="48" t="s">
        <v>49</v>
      </c>
      <c r="Y38" s="47">
        <v>5</v>
      </c>
      <c r="Z38" s="60">
        <v>2.31</v>
      </c>
      <c r="AA38" s="59">
        <f>Y38/$Y$41</f>
        <v>9.6670475483400713E-4</v>
      </c>
      <c r="AB38" s="56">
        <f>Y38/Z38-1</f>
        <v>1.1645021645021645</v>
      </c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4.4">
      <c r="A39" s="1"/>
      <c r="C39" s="23" t="s">
        <v>48</v>
      </c>
      <c r="D39" s="55">
        <v>1745</v>
      </c>
      <c r="E39" s="55">
        <v>1577</v>
      </c>
      <c r="F39" s="56">
        <f>(D39/E39)^(1/1)-1</f>
        <v>0.1065313887127457</v>
      </c>
      <c r="H39" s="58" t="s">
        <v>48</v>
      </c>
      <c r="I39" s="55">
        <v>1682</v>
      </c>
      <c r="J39" s="55">
        <v>1717</v>
      </c>
      <c r="K39" s="57">
        <f>(I39/J39)^(1/1)-1</f>
        <v>-2.0384391380314448E-2</v>
      </c>
      <c r="L39" s="1"/>
      <c r="M39" s="23" t="s">
        <v>48</v>
      </c>
      <c r="N39" s="55">
        <v>6502</v>
      </c>
      <c r="O39" s="55">
        <v>6412</v>
      </c>
      <c r="P39" s="56">
        <f>(N39/O39)^(1/1)-1</f>
        <v>1.4036182158452926E-2</v>
      </c>
      <c r="R39" s="13"/>
      <c r="S39" s="55"/>
      <c r="T39" s="55"/>
      <c r="U39" s="54"/>
      <c r="V39" s="53"/>
      <c r="W39" s="1"/>
      <c r="X39" s="48" t="s">
        <v>47</v>
      </c>
      <c r="Y39" s="52">
        <v>1.33</v>
      </c>
      <c r="Z39" s="52">
        <v>1.59</v>
      </c>
      <c r="AA39" s="46">
        <f>Y39/$Y$41</f>
        <v>2.5714346478584592E-4</v>
      </c>
      <c r="AB39" s="45">
        <f>Y39/Z39-1</f>
        <v>-0.16352201257861632</v>
      </c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4.4">
      <c r="A40" s="1"/>
      <c r="C40" s="48" t="s">
        <v>24</v>
      </c>
      <c r="D40" s="47">
        <v>1.34</v>
      </c>
      <c r="E40" s="47">
        <v>1.21</v>
      </c>
      <c r="F40" s="49">
        <f>(D40/E40)^(1/1)-1</f>
        <v>0.10743801652892571</v>
      </c>
      <c r="H40" s="43" t="s">
        <v>24</v>
      </c>
      <c r="I40" s="51">
        <v>1.29</v>
      </c>
      <c r="J40" s="51">
        <v>1.32</v>
      </c>
      <c r="K40" s="50">
        <f>(I40/J40)^(1/1)-1</f>
        <v>-2.2727272727272707E-2</v>
      </c>
      <c r="L40" s="1"/>
      <c r="M40" s="48" t="s">
        <v>24</v>
      </c>
      <c r="N40" s="47">
        <v>4.9800000000000004</v>
      </c>
      <c r="O40" s="47">
        <v>4.91</v>
      </c>
      <c r="P40" s="49">
        <f>(N40/O40)^(1/1)-1</f>
        <v>1.4256619144602967E-2</v>
      </c>
      <c r="R40" s="1"/>
      <c r="S40" s="1"/>
      <c r="T40" s="1"/>
      <c r="U40" s="1"/>
      <c r="V40" s="1"/>
      <c r="W40" s="1"/>
      <c r="X40" s="48" t="s">
        <v>46</v>
      </c>
      <c r="Y40" s="47">
        <v>32.08</v>
      </c>
      <c r="Z40" s="47">
        <v>31.4</v>
      </c>
      <c r="AA40" s="46">
        <f>Y40/$Y$41</f>
        <v>6.2023777070149893E-3</v>
      </c>
      <c r="AB40" s="45">
        <f>Y40/Z40-1</f>
        <v>2.1656050955414008E-2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4.4">
      <c r="A41" s="1"/>
      <c r="C41" s="43" t="s">
        <v>45</v>
      </c>
      <c r="D41" s="42">
        <f>D39/D36</f>
        <v>0.25234996384671005</v>
      </c>
      <c r="E41" s="42">
        <f>E39/E36</f>
        <v>0.23311160384331117</v>
      </c>
      <c r="F41" s="41">
        <f>D41-E41</f>
        <v>1.9238360003398874E-2</v>
      </c>
      <c r="H41" s="43" t="s">
        <v>45</v>
      </c>
      <c r="I41" s="42">
        <f>I39/I36</f>
        <v>0.25018592890078833</v>
      </c>
      <c r="J41" s="42">
        <f>J39/J36</f>
        <v>0.2651737451737452</v>
      </c>
      <c r="K41" s="44">
        <f>I41-J41</f>
        <v>-1.4987816272956866E-2</v>
      </c>
      <c r="L41" s="1"/>
      <c r="M41" s="43" t="s">
        <v>45</v>
      </c>
      <c r="N41" s="42">
        <f>N39/N36</f>
        <v>0.23946670595167943</v>
      </c>
      <c r="O41" s="42">
        <f>O39/O36</f>
        <v>0.24060940372997111</v>
      </c>
      <c r="P41" s="41">
        <f>N41-O41</f>
        <v>-1.1426977782916792E-3</v>
      </c>
      <c r="R41" s="1"/>
      <c r="S41" s="1"/>
      <c r="T41" s="1"/>
      <c r="U41" s="1"/>
      <c r="V41" s="1"/>
      <c r="W41" s="1"/>
      <c r="X41" s="40" t="s">
        <v>44</v>
      </c>
      <c r="Y41" s="39">
        <f>SUM(Y35:Y40)</f>
        <v>5172.21</v>
      </c>
      <c r="Z41" s="39">
        <f>SUM(Z35:Z40)</f>
        <v>5189.29</v>
      </c>
      <c r="AA41" s="38">
        <f>Y41/$Y$41</f>
        <v>1</v>
      </c>
      <c r="AB41" s="37">
        <f>Y41/Z41-1</f>
        <v>-3.2913943911402344E-3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4.4">
      <c r="A42" s="1"/>
      <c r="I42" s="3"/>
      <c r="M42" s="3"/>
      <c r="N42" s="3"/>
      <c r="O42" s="3"/>
      <c r="P42" s="16"/>
      <c r="R42" s="36" t="s">
        <v>43</v>
      </c>
      <c r="S42" s="36" t="s">
        <v>42</v>
      </c>
      <c r="T42" s="36" t="s">
        <v>41</v>
      </c>
      <c r="V42" s="16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4.4">
      <c r="A43" s="1"/>
      <c r="B43" s="27" t="s">
        <v>40</v>
      </c>
      <c r="C43" s="27" t="s">
        <v>39</v>
      </c>
      <c r="D43" s="27" t="s">
        <v>27</v>
      </c>
      <c r="E43" s="27" t="s">
        <v>26</v>
      </c>
      <c r="F43" s="27" t="s">
        <v>25</v>
      </c>
      <c r="G43" s="27" t="s">
        <v>24</v>
      </c>
      <c r="H43" s="27" t="s">
        <v>38</v>
      </c>
      <c r="I43" s="3"/>
      <c r="P43" s="16"/>
      <c r="R43" s="6" t="s">
        <v>37</v>
      </c>
      <c r="S43" s="8">
        <v>483.3</v>
      </c>
      <c r="T43" s="7">
        <v>10500</v>
      </c>
      <c r="V43" s="16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4.4">
      <c r="A44" s="1"/>
      <c r="B44" s="16"/>
      <c r="C44" s="35" t="s">
        <v>36</v>
      </c>
      <c r="D44" s="34">
        <v>0.05</v>
      </c>
      <c r="E44" s="34">
        <v>0.12</v>
      </c>
      <c r="F44" s="34">
        <v>0.12</v>
      </c>
      <c r="G44" s="34">
        <v>0.12</v>
      </c>
      <c r="H44" s="33">
        <v>0.246</v>
      </c>
      <c r="I44" s="1"/>
      <c r="R44" s="6" t="s">
        <v>35</v>
      </c>
      <c r="S44" s="8">
        <v>765.1</v>
      </c>
      <c r="T44" s="7">
        <v>25700</v>
      </c>
      <c r="U44" s="5"/>
      <c r="V44" s="28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4.4">
      <c r="A45" s="1"/>
      <c r="B45" s="16"/>
      <c r="C45" s="35" t="s">
        <v>34</v>
      </c>
      <c r="D45" s="34">
        <v>0</v>
      </c>
      <c r="E45" s="34">
        <v>0.03</v>
      </c>
      <c r="F45" s="34">
        <f>(F48/F21)-1</f>
        <v>8.390850815133799E-2</v>
      </c>
      <c r="G45" s="34">
        <v>0.08</v>
      </c>
      <c r="H45" s="33">
        <v>0.252</v>
      </c>
      <c r="I45" s="1"/>
      <c r="R45" s="6" t="s">
        <v>33</v>
      </c>
      <c r="S45" s="8">
        <v>822.4</v>
      </c>
      <c r="T45" s="7">
        <v>28200</v>
      </c>
      <c r="U45" s="5"/>
      <c r="V45" s="28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4.4">
      <c r="A46" s="1"/>
      <c r="H46" s="32"/>
      <c r="I46" s="31" t="s">
        <v>32</v>
      </c>
      <c r="J46" s="30"/>
      <c r="K46" s="30"/>
      <c r="L46" s="31" t="s">
        <v>31</v>
      </c>
      <c r="M46" s="30"/>
      <c r="N46" s="30"/>
      <c r="O46" s="29" t="s">
        <v>30</v>
      </c>
      <c r="R46" s="6" t="s">
        <v>29</v>
      </c>
      <c r="S46" s="8">
        <v>842.1</v>
      </c>
      <c r="T46" s="7">
        <v>31300</v>
      </c>
      <c r="U46" s="5"/>
      <c r="V46" s="28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4.4">
      <c r="A47" s="1"/>
      <c r="B47" s="3"/>
      <c r="C47" s="27" t="s">
        <v>28</v>
      </c>
      <c r="D47" s="27" t="s">
        <v>27</v>
      </c>
      <c r="E47" s="27" t="s">
        <v>26</v>
      </c>
      <c r="F47" s="27" t="s">
        <v>25</v>
      </c>
      <c r="G47" s="27" t="s">
        <v>24</v>
      </c>
      <c r="H47" s="27" t="s">
        <v>23</v>
      </c>
      <c r="I47" s="27" t="s">
        <v>21</v>
      </c>
      <c r="J47" s="27" t="s">
        <v>22</v>
      </c>
      <c r="K47" s="27" t="s">
        <v>19</v>
      </c>
      <c r="L47" s="27" t="s">
        <v>21</v>
      </c>
      <c r="M47" s="27" t="s">
        <v>20</v>
      </c>
      <c r="N47" s="27" t="s">
        <v>19</v>
      </c>
      <c r="O47" s="27" t="s">
        <v>18</v>
      </c>
      <c r="Q47" s="26"/>
      <c r="R47" s="6" t="s">
        <v>17</v>
      </c>
      <c r="S47" s="8">
        <v>839.7</v>
      </c>
      <c r="T47" s="7">
        <v>36500</v>
      </c>
      <c r="U47" s="5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4.4">
      <c r="A48" s="1"/>
      <c r="B48" s="16"/>
      <c r="C48" s="23" t="s">
        <v>16</v>
      </c>
      <c r="D48" s="22">
        <f>FV(D45,1,0,-D21,0)</f>
        <v>460047</v>
      </c>
      <c r="E48" s="22">
        <f>FV(E45,1,0,-E21,0)</f>
        <v>27966.560000000001</v>
      </c>
      <c r="F48" s="22">
        <f>E48*H45</f>
        <v>7047.57312</v>
      </c>
      <c r="G48" s="25">
        <f>FV(G45,1,0,-G21,0)</f>
        <v>5.378400000000001</v>
      </c>
      <c r="H48" s="24">
        <f>(G48*70%)+O21</f>
        <v>44.067145074992347</v>
      </c>
      <c r="I48" s="19">
        <f>G48*9</f>
        <v>48.405600000000007</v>
      </c>
      <c r="J48" s="20">
        <f>AVERAGE(I48,K48)</f>
        <v>104.87880000000001</v>
      </c>
      <c r="K48" s="19">
        <f>G48*30</f>
        <v>161.35200000000003</v>
      </c>
      <c r="L48" s="19">
        <f>H48*1.5</f>
        <v>66.100717612488523</v>
      </c>
      <c r="M48" s="20">
        <f>AVERAGE(L48,N48)</f>
        <v>121.18464895622895</v>
      </c>
      <c r="N48" s="19">
        <f>H48*4</f>
        <v>176.26858029996939</v>
      </c>
      <c r="O48" s="19">
        <f>0.6*J48+0.4*M48</f>
        <v>111.4011395824916</v>
      </c>
      <c r="R48" s="6" t="s">
        <v>15</v>
      </c>
      <c r="S48" s="8">
        <v>822.4</v>
      </c>
      <c r="T48" s="7">
        <v>42200</v>
      </c>
      <c r="U48" s="5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14.4">
      <c r="A49" s="1"/>
      <c r="B49" s="16"/>
      <c r="C49" s="23" t="s">
        <v>14</v>
      </c>
      <c r="D49" s="22">
        <f>FV(D44,5,0,-D48,0)</f>
        <v>587149.50398343755</v>
      </c>
      <c r="E49" s="22">
        <f>FV(E44,4,0,-E48,0)</f>
        <v>44005.923592601612</v>
      </c>
      <c r="F49" s="22">
        <f>E49*H44</f>
        <v>10825.457203779997</v>
      </c>
      <c r="G49" s="22">
        <f>(F49*G48)/F48</f>
        <v>8.2615161323520052</v>
      </c>
      <c r="H49" s="21">
        <f>FV(9%,4,0,-H48,0)</f>
        <v>62.204371593061282</v>
      </c>
      <c r="I49" s="19">
        <f>G49*9</f>
        <v>74.353645191168042</v>
      </c>
      <c r="J49" s="20">
        <f>AVERAGE(I49,K49)</f>
        <v>161.0995645808641</v>
      </c>
      <c r="K49" s="19">
        <f>G49*30</f>
        <v>247.84548397056017</v>
      </c>
      <c r="L49" s="19">
        <f>H49*1.5</f>
        <v>93.306557389591916</v>
      </c>
      <c r="M49" s="20">
        <f>AVERAGE(L49,N49)</f>
        <v>171.06202188091851</v>
      </c>
      <c r="N49" s="19">
        <f>H49*4</f>
        <v>248.81748637224513</v>
      </c>
      <c r="O49" s="19">
        <f>0.6*J49+0.4*M49</f>
        <v>165.08454750088586</v>
      </c>
      <c r="R49" s="6" t="s">
        <v>13</v>
      </c>
      <c r="S49" s="8">
        <v>810.7</v>
      </c>
      <c r="T49" s="7">
        <v>44300</v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4.4">
      <c r="A50" s="1"/>
      <c r="B50" s="16"/>
      <c r="C50" s="23" t="s">
        <v>12</v>
      </c>
      <c r="D50" s="22">
        <f>FV(5%,5,0,-D49,0)</f>
        <v>749368.08636508172</v>
      </c>
      <c r="E50" s="22">
        <f>FV(E44,5,0,-E49,0)</f>
        <v>77553.47345495614</v>
      </c>
      <c r="F50" s="22">
        <f>FV(F44,5,0,-F49,0)</f>
        <v>19078.154469919213</v>
      </c>
      <c r="G50" s="22">
        <f>FV(G44,5,0,-G49,0)</f>
        <v>14.559614246473192</v>
      </c>
      <c r="H50" s="21">
        <f>FV(9%,5,0,-H49,0)</f>
        <v>95.709136232585195</v>
      </c>
      <c r="I50" s="19">
        <f>G50*9</f>
        <v>131.03652821825872</v>
      </c>
      <c r="J50" s="20">
        <f>AVERAGE(I50,K50)</f>
        <v>283.91247780622723</v>
      </c>
      <c r="K50" s="19">
        <f>G50*30</f>
        <v>436.78842739419576</v>
      </c>
      <c r="L50" s="19">
        <f>H50*1.5</f>
        <v>143.56370434887779</v>
      </c>
      <c r="M50" s="20">
        <f>AVERAGE(L50,N50)</f>
        <v>263.20012463960927</v>
      </c>
      <c r="N50" s="19">
        <f>H50*4</f>
        <v>382.83654493034078</v>
      </c>
      <c r="O50" s="19">
        <f>0.6*J50+0.4*M50</f>
        <v>275.62753653958003</v>
      </c>
      <c r="P50" s="1"/>
      <c r="Q50" s="18"/>
      <c r="R50" s="6" t="s">
        <v>11</v>
      </c>
      <c r="S50" s="8">
        <v>811.6</v>
      </c>
      <c r="T50" s="7">
        <v>46300</v>
      </c>
      <c r="U50" s="17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4.4">
      <c r="A51" s="1"/>
      <c r="B51" s="16"/>
      <c r="I51" s="1"/>
      <c r="R51" s="6" t="s">
        <v>10</v>
      </c>
      <c r="S51" s="8">
        <v>828.6</v>
      </c>
      <c r="T51" s="7">
        <v>48600</v>
      </c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24">
      <c r="A52" s="1"/>
      <c r="B52" s="1"/>
      <c r="C52" s="14" t="s">
        <v>9</v>
      </c>
      <c r="D52" s="15" t="s">
        <v>8</v>
      </c>
      <c r="E52" s="14" t="s">
        <v>7</v>
      </c>
      <c r="F52" s="14" t="s">
        <v>6</v>
      </c>
      <c r="G52" s="14" t="s">
        <v>5</v>
      </c>
      <c r="H52" s="1"/>
      <c r="I52" s="1"/>
      <c r="R52" s="6" t="s">
        <v>4</v>
      </c>
      <c r="S52" s="8">
        <v>843.9</v>
      </c>
      <c r="T52" s="7">
        <v>51100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4.4">
      <c r="A53" s="1"/>
      <c r="B53" s="1"/>
      <c r="C53" s="13" t="s">
        <v>3</v>
      </c>
      <c r="D53" s="12">
        <f ca="1">IFERROR(__xludf.DUMMYFUNCTION("googlefinance(""nse:""&amp;C53,""price"")"),125.87)</f>
        <v>125.87</v>
      </c>
      <c r="E53" s="11">
        <v>7.4999999999999997E-3</v>
      </c>
      <c r="F53" s="10">
        <f ca="1">IFERROR(MAX(0.25, MIN(1,1.25 - 0.5*(D53/O48))),"")</f>
        <v>0.68505963910362722</v>
      </c>
      <c r="G53" s="9">
        <f ca="1">E53*F53</f>
        <v>5.1379472932772041E-3</v>
      </c>
      <c r="H53" s="1"/>
      <c r="I53" s="1"/>
      <c r="R53" s="6" t="s">
        <v>2</v>
      </c>
      <c r="S53" s="8">
        <v>808.6</v>
      </c>
      <c r="T53" s="7">
        <v>50700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4.4">
      <c r="A54" s="1"/>
      <c r="B54" s="1"/>
      <c r="C54" s="1"/>
      <c r="D54" s="1"/>
      <c r="E54" s="1"/>
      <c r="F54" s="1"/>
      <c r="G54" s="1"/>
      <c r="H54" s="1"/>
      <c r="I54" s="1"/>
      <c r="R54" s="6" t="s">
        <v>1</v>
      </c>
      <c r="S54" s="6"/>
      <c r="T54" s="6">
        <v>39214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4.4">
      <c r="A55" s="1"/>
      <c r="B55" s="1"/>
      <c r="C55" s="1"/>
      <c r="D55" s="1"/>
      <c r="E55" s="1"/>
      <c r="F55" s="1"/>
      <c r="G55" s="1"/>
      <c r="H55" s="1"/>
      <c r="I55" s="1"/>
      <c r="R55" s="6" t="s">
        <v>0</v>
      </c>
      <c r="S55" s="6"/>
      <c r="T55" s="6">
        <v>63300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4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R56" s="5"/>
      <c r="S56" s="5"/>
      <c r="T56" s="5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14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R58" s="5"/>
      <c r="S58" s="5"/>
      <c r="T58" s="5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ht="14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ht="14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4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14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ht="14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ht="14.4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ht="14.4">
      <c r="A79" s="1"/>
      <c r="B79" s="3"/>
      <c r="C79" s="3"/>
      <c r="D79" s="3"/>
      <c r="E79" s="3"/>
      <c r="F79" s="3"/>
      <c r="G79" s="3"/>
      <c r="H79" s="3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ht="14.4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ht="14.4">
      <c r="A81" s="1"/>
      <c r="B81" s="3"/>
      <c r="C81" s="3"/>
      <c r="D81" s="3"/>
      <c r="E81" s="3"/>
      <c r="F81" s="3"/>
      <c r="G81" s="3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ht="14.4">
      <c r="A82" s="1"/>
      <c r="B82" s="3"/>
      <c r="C82" s="3"/>
      <c r="D82" s="3"/>
      <c r="E82" s="3"/>
      <c r="F82" s="3"/>
      <c r="G82" s="3"/>
      <c r="H82" s="3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ht="14.4">
      <c r="A83" s="1"/>
      <c r="E83" s="3"/>
      <c r="F83" s="3"/>
      <c r="G83" s="3"/>
      <c r="H83" s="3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ht="14.4">
      <c r="A84" s="1"/>
      <c r="E84" s="3"/>
      <c r="F84" s="3"/>
      <c r="G84" s="3"/>
      <c r="H84" s="3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ht="14.4">
      <c r="A85" s="1"/>
      <c r="E85" s="3"/>
      <c r="F85" s="3"/>
      <c r="G85" s="3"/>
      <c r="H85" s="3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ht="14.4">
      <c r="A86" s="1"/>
      <c r="E86" s="3"/>
      <c r="F86" s="3"/>
      <c r="G86" s="3"/>
      <c r="H86" s="3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ht="14.4">
      <c r="A87" s="1"/>
      <c r="E87" s="3"/>
      <c r="F87" s="3"/>
      <c r="G87" s="3"/>
      <c r="H87" s="3"/>
      <c r="I87" s="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ht="14.4">
      <c r="A88" s="1"/>
      <c r="E88" s="3"/>
      <c r="F88" s="3"/>
      <c r="G88" s="3"/>
      <c r="H88" s="3"/>
      <c r="I88" s="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ht="14.4">
      <c r="A89" s="1"/>
      <c r="E89" s="3"/>
      <c r="F89" s="3"/>
      <c r="G89" s="3"/>
      <c r="H89" s="3"/>
      <c r="I89" s="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ht="14.4">
      <c r="A90" s="1"/>
      <c r="E90" s="3"/>
      <c r="F90" s="3"/>
      <c r="G90" s="3"/>
      <c r="H90" s="3"/>
      <c r="I90" s="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ht="14.4">
      <c r="A91" s="1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ht="14.4">
      <c r="A92" s="1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ht="14.4">
      <c r="A93" s="1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ht="14.4">
      <c r="A94" s="1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ht="14.4">
      <c r="A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ht="14.4">
      <c r="A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ht="14.4">
      <c r="A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ht="14.4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ht="14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ht="14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ht="14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ht="14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ht="14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1:42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1:42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1:42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1:42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1:42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1:42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1:42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1:42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1:42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1:42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1:42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1:42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1:42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1:42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1:42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1:42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42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1:42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1:42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1:42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1:42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1:42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1:42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1:42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1:42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1:42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1:42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1:42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1:42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1:42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1:42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1:42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1:42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1:42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1:42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1:42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1:42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1:42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1:42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1:42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1:42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1:42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1:42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1:42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1:42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1:42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1:42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1:42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1:42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42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</row>
    <row r="578" spans="1:42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</row>
    <row r="579" spans="1:42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</row>
    <row r="580" spans="1:42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</row>
    <row r="581" spans="1:42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</row>
    <row r="582" spans="1:42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</row>
    <row r="583" spans="1:42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</row>
    <row r="584" spans="1:42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</row>
    <row r="585" spans="1:42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</row>
    <row r="586" spans="1:42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</row>
    <row r="587" spans="1:42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</row>
    <row r="588" spans="1:42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</row>
    <row r="589" spans="1:42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</row>
    <row r="590" spans="1:42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</row>
    <row r="591" spans="1:42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</row>
    <row r="592" spans="1:42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</row>
    <row r="593" spans="1:42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</row>
    <row r="594" spans="1:42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</row>
    <row r="595" spans="1:42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</row>
    <row r="596" spans="1:42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</row>
    <row r="597" spans="1:42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</row>
    <row r="598" spans="1:42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</row>
    <row r="599" spans="1:42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</row>
    <row r="600" spans="1:42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</row>
    <row r="601" spans="1:42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</row>
    <row r="602" spans="1:42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</row>
    <row r="603" spans="1:42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</row>
    <row r="604" spans="1:42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</row>
    <row r="605" spans="1:42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</row>
    <row r="606" spans="1:42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</row>
    <row r="607" spans="1:42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</row>
    <row r="608" spans="1:42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</row>
    <row r="609" spans="1:42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</row>
    <row r="610" spans="1:42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</row>
    <row r="611" spans="1:42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</row>
    <row r="612" spans="1:42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</row>
    <row r="613" spans="1:42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</row>
    <row r="614" spans="1:42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</row>
    <row r="615" spans="1:42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</row>
    <row r="616" spans="1:42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</row>
    <row r="617" spans="1:42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</row>
    <row r="618" spans="1:42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</row>
    <row r="619" spans="1:42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</row>
    <row r="620" spans="1:42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</row>
    <row r="621" spans="1:42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</row>
    <row r="622" spans="1:42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</row>
    <row r="623" spans="1:42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</row>
    <row r="624" spans="1:42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</row>
    <row r="625" spans="1:42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</row>
    <row r="626" spans="1:42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</row>
    <row r="627" spans="1:42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</row>
    <row r="628" spans="1:42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</row>
    <row r="629" spans="1:42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</row>
    <row r="630" spans="1:42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</row>
    <row r="631" spans="1:42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</row>
    <row r="632" spans="1:42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</row>
    <row r="633" spans="1:42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</row>
    <row r="634" spans="1:42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</row>
    <row r="635" spans="1:42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</row>
    <row r="636" spans="1:42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</row>
    <row r="637" spans="1:42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</row>
    <row r="638" spans="1:42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</row>
    <row r="639" spans="1:42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</row>
    <row r="640" spans="1:42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</row>
    <row r="641" spans="1:42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</row>
    <row r="642" spans="1:42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</row>
    <row r="643" spans="1:42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</row>
    <row r="644" spans="1:42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</row>
    <row r="645" spans="1:42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  <row r="665" spans="1:42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</row>
    <row r="666" spans="1:42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</row>
    <row r="667" spans="1:42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</row>
    <row r="668" spans="1:42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</row>
    <row r="669" spans="1:42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</row>
    <row r="670" spans="1:42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</row>
    <row r="671" spans="1:42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</row>
    <row r="672" spans="1:42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</row>
    <row r="673" spans="1:42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</row>
    <row r="674" spans="1:42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</row>
    <row r="675" spans="1:42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</row>
    <row r="676" spans="1:42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</row>
    <row r="677" spans="1:42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</row>
    <row r="678" spans="1:42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</row>
    <row r="679" spans="1:42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</row>
    <row r="680" spans="1:42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</row>
    <row r="681" spans="1:42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</row>
    <row r="682" spans="1:42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</row>
    <row r="683" spans="1:42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</row>
    <row r="684" spans="1:42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</row>
    <row r="685" spans="1:42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</row>
    <row r="686" spans="1:42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</row>
    <row r="687" spans="1:42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</row>
    <row r="688" spans="1:42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</row>
    <row r="689" spans="1:42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</row>
    <row r="690" spans="1:42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</row>
    <row r="691" spans="1:42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</row>
    <row r="692" spans="1:42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</row>
    <row r="693" spans="1:42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</row>
    <row r="694" spans="1:42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</row>
    <row r="695" spans="1:42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</row>
    <row r="696" spans="1:42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</row>
    <row r="697" spans="1:42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</row>
    <row r="698" spans="1:42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</row>
    <row r="699" spans="1:42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</row>
    <row r="700" spans="1:42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</row>
    <row r="701" spans="1:42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</row>
    <row r="702" spans="1:42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</row>
    <row r="703" spans="1:42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</row>
    <row r="704" spans="1:42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</row>
    <row r="705" spans="1:42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</row>
    <row r="706" spans="1:42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</row>
    <row r="707" spans="1:42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</row>
    <row r="708" spans="1:42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</row>
    <row r="709" spans="1:42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</row>
    <row r="710" spans="1:42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</row>
    <row r="711" spans="1:42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</row>
    <row r="712" spans="1:42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</row>
    <row r="713" spans="1:42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</row>
    <row r="714" spans="1:42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</row>
    <row r="715" spans="1:42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</row>
    <row r="716" spans="1:42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</row>
    <row r="717" spans="1:42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</row>
    <row r="718" spans="1:42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</row>
    <row r="719" spans="1:42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</row>
    <row r="720" spans="1:42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</row>
    <row r="721" spans="1:42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</row>
    <row r="722" spans="1:42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</row>
    <row r="723" spans="1:42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</row>
    <row r="724" spans="1:42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</row>
    <row r="725" spans="1:42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</row>
    <row r="726" spans="1:42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</row>
    <row r="727" spans="1:42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</row>
    <row r="728" spans="1:42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</row>
    <row r="729" spans="1:42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</row>
    <row r="730" spans="1:42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</row>
    <row r="731" spans="1:42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</row>
    <row r="732" spans="1:42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</row>
    <row r="733" spans="1:42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</row>
    <row r="734" spans="1:42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</row>
    <row r="735" spans="1:42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</row>
    <row r="736" spans="1:42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</row>
    <row r="737" spans="1:42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</row>
    <row r="738" spans="1:42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</row>
    <row r="739" spans="1:42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</row>
    <row r="740" spans="1:42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</row>
    <row r="741" spans="1:42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</row>
    <row r="742" spans="1:42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</row>
    <row r="743" spans="1:42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</row>
    <row r="744" spans="1:42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</row>
    <row r="745" spans="1:42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</row>
    <row r="746" spans="1:42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</row>
    <row r="747" spans="1:42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</row>
    <row r="748" spans="1:42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</row>
    <row r="749" spans="1:42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</row>
    <row r="750" spans="1:42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</row>
    <row r="751" spans="1:42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</row>
    <row r="752" spans="1:42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</row>
    <row r="753" spans="1:42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</row>
    <row r="754" spans="1:42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</row>
    <row r="755" spans="1:42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</row>
    <row r="756" spans="1:42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</row>
    <row r="757" spans="1:42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</row>
    <row r="758" spans="1:42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</row>
    <row r="759" spans="1:42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</row>
    <row r="760" spans="1:42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</row>
    <row r="761" spans="1:42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</row>
    <row r="762" spans="1:42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</row>
    <row r="763" spans="1:42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</row>
    <row r="764" spans="1:42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</row>
    <row r="765" spans="1:42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</row>
    <row r="766" spans="1:42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</row>
    <row r="767" spans="1:42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</row>
    <row r="768" spans="1:42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</row>
    <row r="769" spans="1:42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</row>
    <row r="770" spans="1:42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</row>
    <row r="771" spans="1:42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</row>
    <row r="772" spans="1:42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</row>
    <row r="773" spans="1:42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</row>
    <row r="774" spans="1:42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</row>
    <row r="775" spans="1:42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</row>
    <row r="776" spans="1:42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</row>
    <row r="777" spans="1:42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</row>
    <row r="778" spans="1:42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</row>
    <row r="779" spans="1:42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</row>
    <row r="780" spans="1:42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</row>
    <row r="781" spans="1:42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</row>
    <row r="782" spans="1:42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</row>
    <row r="783" spans="1:42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</row>
    <row r="784" spans="1:42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</row>
    <row r="785" spans="1:42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</row>
    <row r="786" spans="1:42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</row>
    <row r="787" spans="1:42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</row>
    <row r="788" spans="1:42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</row>
    <row r="789" spans="1:42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</row>
    <row r="790" spans="1:42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</row>
    <row r="791" spans="1:42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</row>
    <row r="792" spans="1:42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</row>
    <row r="793" spans="1:42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</row>
    <row r="794" spans="1:42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</row>
    <row r="795" spans="1:42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</row>
    <row r="796" spans="1:42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</row>
    <row r="797" spans="1:42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</row>
    <row r="798" spans="1:42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</row>
    <row r="799" spans="1:42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</row>
    <row r="800" spans="1:42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</row>
    <row r="801" spans="1:42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</row>
    <row r="802" spans="1:42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</row>
    <row r="803" spans="1:42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</row>
    <row r="804" spans="1:42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</row>
    <row r="805" spans="1:42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</row>
    <row r="806" spans="1:42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</row>
    <row r="807" spans="1:42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</row>
    <row r="808" spans="1:42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</row>
    <row r="809" spans="1:42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</row>
    <row r="810" spans="1:42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</row>
    <row r="811" spans="1:42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</row>
    <row r="812" spans="1:42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</row>
    <row r="813" spans="1:42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</row>
    <row r="814" spans="1:42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</row>
    <row r="815" spans="1:42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</row>
    <row r="816" spans="1:42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</row>
    <row r="817" spans="1:42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</row>
    <row r="818" spans="1:42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</row>
    <row r="819" spans="1:42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</row>
    <row r="820" spans="1:42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</row>
    <row r="821" spans="1:42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</row>
    <row r="822" spans="1:42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</row>
    <row r="823" spans="1:42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</row>
    <row r="824" spans="1:42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</row>
    <row r="825" spans="1:42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</row>
    <row r="826" spans="1:42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</row>
    <row r="827" spans="1:42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</row>
    <row r="828" spans="1:42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</row>
    <row r="829" spans="1:42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</row>
    <row r="830" spans="1:42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</row>
    <row r="831" spans="1:42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</row>
    <row r="832" spans="1:42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</row>
    <row r="833" spans="1:42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</row>
    <row r="834" spans="1:42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</row>
    <row r="835" spans="1:42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</row>
    <row r="836" spans="1:42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</row>
    <row r="837" spans="1:42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</row>
    <row r="838" spans="1:42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</row>
    <row r="839" spans="1:42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</row>
    <row r="840" spans="1:42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</row>
    <row r="841" spans="1:42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</row>
    <row r="842" spans="1:42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</row>
    <row r="843" spans="1:42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</row>
    <row r="844" spans="1:42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</row>
    <row r="845" spans="1:42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</row>
    <row r="846" spans="1:42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</row>
    <row r="847" spans="1:42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</row>
    <row r="848" spans="1:42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</row>
    <row r="849" spans="1:42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</row>
    <row r="850" spans="1:42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</row>
    <row r="851" spans="1:42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</row>
    <row r="852" spans="1:42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</row>
    <row r="853" spans="1:42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</row>
    <row r="854" spans="1:42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</row>
    <row r="855" spans="1:42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</row>
    <row r="856" spans="1:42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</row>
    <row r="857" spans="1:42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</row>
    <row r="858" spans="1:42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</row>
    <row r="859" spans="1:42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</row>
    <row r="860" spans="1:42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</row>
    <row r="861" spans="1:42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</row>
    <row r="862" spans="1:42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</row>
    <row r="863" spans="1:42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</row>
    <row r="864" spans="1:42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</row>
    <row r="865" spans="1:42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</row>
    <row r="866" spans="1:42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</row>
    <row r="867" spans="1:42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</row>
    <row r="868" spans="1:42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</row>
    <row r="869" spans="1:42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</row>
    <row r="870" spans="1:42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</row>
    <row r="871" spans="1:42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</row>
    <row r="872" spans="1:42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</row>
    <row r="873" spans="1:42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</row>
    <row r="874" spans="1:42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</row>
    <row r="875" spans="1:42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</row>
    <row r="876" spans="1:42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</row>
    <row r="877" spans="1:42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</row>
    <row r="878" spans="1:42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</row>
    <row r="879" spans="1:42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</row>
    <row r="880" spans="1:42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</row>
    <row r="881" spans="1:42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</row>
    <row r="882" spans="1:42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</row>
    <row r="883" spans="1:42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</row>
    <row r="884" spans="1:42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</row>
    <row r="885" spans="1:42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</row>
    <row r="886" spans="1:42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</row>
    <row r="887" spans="1:42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</row>
    <row r="888" spans="1:42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</row>
    <row r="889" spans="1:42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</row>
    <row r="890" spans="1:42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</row>
    <row r="891" spans="1:42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</row>
    <row r="892" spans="1:42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</row>
    <row r="893" spans="1:42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</row>
    <row r="894" spans="1:42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</row>
    <row r="895" spans="1:42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</row>
    <row r="896" spans="1:42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</row>
    <row r="897" spans="1:42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</row>
    <row r="898" spans="1:42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</row>
    <row r="899" spans="1:42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</row>
    <row r="900" spans="1:42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</row>
    <row r="901" spans="1:42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</row>
    <row r="902" spans="1:42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</row>
    <row r="903" spans="1:42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</row>
    <row r="904" spans="1:42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</row>
    <row r="905" spans="1:42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</row>
    <row r="906" spans="1:42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</row>
    <row r="907" spans="1:42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</row>
    <row r="908" spans="1:42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</row>
    <row r="909" spans="1:42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</row>
    <row r="910" spans="1:42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</row>
    <row r="911" spans="1:42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</row>
    <row r="912" spans="1:42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</row>
    <row r="913" spans="1:42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</row>
    <row r="914" spans="1:42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</row>
    <row r="915" spans="1:42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</row>
    <row r="916" spans="1:42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</row>
    <row r="917" spans="1:42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</row>
    <row r="918" spans="1:42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</row>
    <row r="919" spans="1:42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</row>
    <row r="920" spans="1:42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</row>
    <row r="921" spans="1:42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</row>
    <row r="922" spans="1:42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</row>
    <row r="923" spans="1:42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</row>
    <row r="924" spans="1:42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</row>
    <row r="925" spans="1:42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</row>
    <row r="926" spans="1:42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</row>
    <row r="927" spans="1:42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</row>
    <row r="928" spans="1:42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</row>
    <row r="929" spans="1:42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</row>
    <row r="930" spans="1:42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</row>
    <row r="931" spans="1:42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</row>
    <row r="932" spans="1:42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</row>
    <row r="933" spans="1:42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</row>
    <row r="934" spans="1:42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</row>
    <row r="935" spans="1:42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</row>
    <row r="936" spans="1:42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</row>
    <row r="937" spans="1:42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</row>
    <row r="938" spans="1:42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</row>
    <row r="939" spans="1:42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</row>
    <row r="940" spans="1:42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</row>
    <row r="941" spans="1:42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</row>
    <row r="942" spans="1:42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</row>
    <row r="943" spans="1:42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</row>
    <row r="944" spans="1:42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</row>
    <row r="945" spans="1:42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</row>
    <row r="946" spans="1:42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</row>
    <row r="947" spans="1:42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</row>
    <row r="948" spans="1:42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</row>
    <row r="949" spans="1:42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</row>
    <row r="950" spans="1:42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</row>
    <row r="951" spans="1:42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</row>
    <row r="952" spans="1:42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</row>
    <row r="953" spans="1:42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</row>
    <row r="954" spans="1:42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</row>
    <row r="955" spans="1:42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</row>
    <row r="956" spans="1:42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</row>
    <row r="957" spans="1:42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</row>
    <row r="958" spans="1:42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</row>
    <row r="959" spans="1:42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</row>
    <row r="960" spans="1:42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</row>
    <row r="961" spans="1:42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</row>
    <row r="962" spans="1:42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</row>
    <row r="963" spans="1:42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</row>
    <row r="964" spans="1:42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</row>
    <row r="965" spans="1:42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</row>
    <row r="966" spans="1:42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</row>
    <row r="967" spans="1:42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</row>
    <row r="968" spans="1:42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</row>
    <row r="969" spans="1:42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</row>
    <row r="970" spans="1:42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</row>
    <row r="971" spans="1:42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</row>
    <row r="972" spans="1:42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</row>
    <row r="973" spans="1:42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</row>
    <row r="974" spans="1:42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</row>
    <row r="975" spans="1:42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</row>
    <row r="976" spans="1:42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</row>
    <row r="977" spans="1:42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</row>
    <row r="978" spans="1:42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</row>
    <row r="979" spans="1:42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</row>
    <row r="980" spans="1:42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</row>
    <row r="981" spans="1:42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</row>
    <row r="982" spans="1:42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</row>
    <row r="983" spans="1:42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</row>
  </sheetData>
  <mergeCells count="4">
    <mergeCell ref="B1:Q3"/>
    <mergeCell ref="T30:T32"/>
    <mergeCell ref="I46:K46"/>
    <mergeCell ref="L46:N46"/>
  </mergeCells>
  <conditionalFormatting sqref="C30:G30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2:G32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4:D22">
    <cfRule type="colorScale" priority="1">
      <colorScale>
        <cfvo type="min"/>
        <cfvo type="max"/>
        <color rgb="FFFFFFFF"/>
        <color rgb="FF57BB8A"/>
      </colorScale>
    </cfRule>
  </conditionalFormatting>
  <conditionalFormatting sqref="D25:G27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4:G46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4:E22">
    <cfRule type="colorScale" priority="2">
      <colorScale>
        <cfvo type="min"/>
        <cfvo type="max"/>
        <color rgb="FFFFFFFF"/>
        <color rgb="FF57BB8A"/>
      </colorScale>
    </cfRule>
  </conditionalFormatting>
  <conditionalFormatting sqref="F14:F22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4:G22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4:H22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25:H27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8:J20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5:J27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8:L22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30:N30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4:M20">
    <cfRule type="colorScale" priority="8">
      <colorScale>
        <cfvo type="min"/>
        <cfvo type="max"/>
        <color rgb="FFFFFFFF"/>
        <color rgb="FF57BB8A"/>
      </colorScale>
    </cfRule>
  </conditionalFormatting>
  <conditionalFormatting sqref="M25:O27">
    <cfRule type="colorScale" priority="2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N14:N20">
    <cfRule type="colorScale" priority="9">
      <colorScale>
        <cfvo type="min"/>
        <cfvo type="max"/>
        <color rgb="FFFFFFFF"/>
        <color rgb="FF57BB8A"/>
      </colorScale>
    </cfRule>
  </conditionalFormatting>
  <conditionalFormatting sqref="O14:O22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18:Q22">
    <cfRule type="colorScale" priority="1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P25:Q27">
    <cfRule type="colorScale" priority="2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Q32:S32">
    <cfRule type="colorScale" priority="1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S42:S53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42:T55 Q32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2025-08-19T08:49:59Z</dcterms:created>
  <dcterms:modified xsi:type="dcterms:W3CDTF">2025-08-19T08:50:21Z</dcterms:modified>
</cp:coreProperties>
</file>