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FAE671F6-1CF9-4EBE-8183-80BDCE1F03F3}" xr6:coauthVersionLast="47" xr6:coauthVersionMax="47" xr10:uidLastSave="{00000000-0000-0000-0000-000000000000}"/>
  <bookViews>
    <workbookView xWindow="-108" yWindow="-108" windowWidth="23256" windowHeight="12456" xr2:uid="{10181D8A-8ED5-4029-A6B4-5FBF3169C4A6}"/>
  </bookViews>
  <sheets>
    <sheet name="Footwear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78" i="1" l="1"/>
  <c r="AK178" i="1"/>
  <c r="AJ178" i="1"/>
  <c r="AI178" i="1"/>
  <c r="AH178" i="1"/>
  <c r="AG178" i="1"/>
  <c r="AF178" i="1"/>
  <c r="AE178" i="1"/>
  <c r="AD178" i="1"/>
  <c r="AA178" i="1"/>
  <c r="Z178" i="1"/>
  <c r="Y178" i="1"/>
  <c r="AN176" i="1"/>
  <c r="AM176" i="1"/>
  <c r="AK176" i="1"/>
  <c r="AJ176" i="1"/>
  <c r="AI176" i="1"/>
  <c r="AH176" i="1"/>
  <c r="AG176" i="1"/>
  <c r="AF176" i="1"/>
  <c r="AD176" i="1"/>
  <c r="AC176" i="1"/>
  <c r="AB176" i="1"/>
  <c r="AA176" i="1"/>
  <c r="Z176" i="1"/>
  <c r="Y176" i="1"/>
  <c r="D176" i="1"/>
  <c r="C176" i="1"/>
  <c r="AO176" i="1" s="1"/>
  <c r="AN175" i="1"/>
  <c r="AK175" i="1"/>
  <c r="AJ175" i="1"/>
  <c r="AI175" i="1"/>
  <c r="AH175" i="1"/>
  <c r="AG175" i="1"/>
  <c r="AF175" i="1"/>
  <c r="AD175" i="1"/>
  <c r="AC175" i="1"/>
  <c r="AB175" i="1"/>
  <c r="AA175" i="1"/>
  <c r="Z175" i="1"/>
  <c r="Y175" i="1"/>
  <c r="D175" i="1"/>
  <c r="C175" i="1"/>
  <c r="AO175" i="1" s="1"/>
  <c r="AN174" i="1"/>
  <c r="AK174" i="1"/>
  <c r="AJ174" i="1"/>
  <c r="AI174" i="1"/>
  <c r="AH174" i="1"/>
  <c r="AG174" i="1"/>
  <c r="AF174" i="1"/>
  <c r="AD174" i="1"/>
  <c r="AC174" i="1"/>
  <c r="AB174" i="1"/>
  <c r="AA174" i="1"/>
  <c r="Z174" i="1"/>
  <c r="Y174" i="1"/>
  <c r="D174" i="1"/>
  <c r="C174" i="1"/>
  <c r="AM174" i="1" s="1"/>
  <c r="AN173" i="1"/>
  <c r="AK173" i="1"/>
  <c r="AJ173" i="1"/>
  <c r="AI173" i="1"/>
  <c r="AH173" i="1"/>
  <c r="AG173" i="1"/>
  <c r="AF173" i="1"/>
  <c r="AD173" i="1"/>
  <c r="AC173" i="1"/>
  <c r="AB173" i="1"/>
  <c r="AA173" i="1"/>
  <c r="Z173" i="1"/>
  <c r="Y173" i="1"/>
  <c r="D173" i="1"/>
  <c r="C173" i="1"/>
  <c r="AO173" i="1" s="1"/>
  <c r="AN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D172" i="1"/>
  <c r="C172" i="1"/>
  <c r="AO172" i="1" s="1"/>
  <c r="AN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D171" i="1"/>
  <c r="C171" i="1"/>
  <c r="AL171" i="1" s="1"/>
  <c r="AN170" i="1"/>
  <c r="AL170" i="1"/>
  <c r="AK170" i="1"/>
  <c r="AJ170" i="1"/>
  <c r="AI170" i="1"/>
  <c r="AH170" i="1"/>
  <c r="AG170" i="1"/>
  <c r="AF170" i="1"/>
  <c r="AE170" i="1"/>
  <c r="AD170" i="1"/>
  <c r="AC170" i="1"/>
  <c r="AB170" i="1"/>
  <c r="AB178" i="1" s="1"/>
  <c r="AA170" i="1"/>
  <c r="Z170" i="1"/>
  <c r="Y170" i="1"/>
  <c r="D170" i="1"/>
  <c r="C170" i="1"/>
  <c r="AO170" i="1" s="1"/>
  <c r="AN169" i="1"/>
  <c r="AK169" i="1"/>
  <c r="AJ169" i="1"/>
  <c r="AI169" i="1"/>
  <c r="AH169" i="1"/>
  <c r="AG169" i="1"/>
  <c r="AF169" i="1"/>
  <c r="AE169" i="1"/>
  <c r="AD169" i="1"/>
  <c r="AC169" i="1"/>
  <c r="AC178" i="1" s="1"/>
  <c r="AB169" i="1"/>
  <c r="AA169" i="1"/>
  <c r="Z169" i="1"/>
  <c r="Y169" i="1"/>
  <c r="D169" i="1"/>
  <c r="C169" i="1"/>
  <c r="AM169" i="1" s="1"/>
  <c r="AN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D168" i="1"/>
  <c r="C168" i="1"/>
  <c r="AM168" i="1" s="1"/>
  <c r="H9" i="1"/>
  <c r="AL175" i="1" l="1"/>
  <c r="D178" i="1"/>
  <c r="AL172" i="1"/>
  <c r="AL173" i="1"/>
  <c r="AM175" i="1"/>
  <c r="AL176" i="1"/>
  <c r="AO168" i="1"/>
  <c r="AL169" i="1"/>
  <c r="AO174" i="1"/>
  <c r="AM172" i="1"/>
  <c r="AO169" i="1"/>
  <c r="AO171" i="1"/>
  <c r="AM170" i="1"/>
  <c r="AM178" i="1" s="1"/>
  <c r="AM173" i="1"/>
  <c r="AM171" i="1"/>
  <c r="AL168" i="1"/>
  <c r="AL178" i="1" s="1"/>
  <c r="AL174" i="1"/>
  <c r="AO178" i="1" l="1"/>
</calcChain>
</file>

<file path=xl/sharedStrings.xml><?xml version="1.0" encoding="utf-8"?>
<sst xmlns="http://schemas.openxmlformats.org/spreadsheetml/2006/main" count="245" uniqueCount="76">
  <si>
    <t>FOOTWEAR INDUSTRY</t>
  </si>
  <si>
    <t>PER/CAPITA</t>
  </si>
  <si>
    <t># OF PAIRS</t>
  </si>
  <si>
    <t>INDIA</t>
  </si>
  <si>
    <t>MARKET IN CR</t>
  </si>
  <si>
    <t>GROWTH</t>
  </si>
  <si>
    <t>MARKET</t>
  </si>
  <si>
    <t>UN_ORGANISED</t>
  </si>
  <si>
    <t>ORGANISED</t>
  </si>
  <si>
    <t>FY_20</t>
  </si>
  <si>
    <t>FY_2020</t>
  </si>
  <si>
    <t>WORLD</t>
  </si>
  <si>
    <t>FY_21 (COVID)</t>
  </si>
  <si>
    <t>FY_2025</t>
  </si>
  <si>
    <t>ADV. ECO</t>
  </si>
  <si>
    <t>FY_22</t>
  </si>
  <si>
    <t>EST_FY_25</t>
  </si>
  <si>
    <t>SIZE</t>
  </si>
  <si>
    <t>COMPANY</t>
  </si>
  <si>
    <t>MARKETCAP</t>
  </si>
  <si>
    <t>SALES_23</t>
  </si>
  <si>
    <t>PROFIT_23</t>
  </si>
  <si>
    <t>METROBRAND</t>
  </si>
  <si>
    <t>RELAXO</t>
  </si>
  <si>
    <t>BATAINDIA</t>
  </si>
  <si>
    <t>REDTAPE</t>
  </si>
  <si>
    <t>CAMPUS</t>
  </si>
  <si>
    <t>SREEL</t>
  </si>
  <si>
    <t>KHADIM</t>
  </si>
  <si>
    <t>LIBERTSHOE</t>
  </si>
  <si>
    <t>LEHAR</t>
  </si>
  <si>
    <t>INDUSTRY</t>
  </si>
  <si>
    <t>SALES_5Y_GR</t>
  </si>
  <si>
    <t>CY_SALES GR</t>
  </si>
  <si>
    <t>CY_PROFIT_GR</t>
  </si>
  <si>
    <t>SOLVENCY</t>
  </si>
  <si>
    <t>DEBT2EQUITY</t>
  </si>
  <si>
    <t>ICR</t>
  </si>
  <si>
    <t>DEBTRATIO</t>
  </si>
  <si>
    <t>LIQUIDITY</t>
  </si>
  <si>
    <t>MARGIN_23</t>
  </si>
  <si>
    <t>CY_MARGIN</t>
  </si>
  <si>
    <t>TR.DAYS</t>
  </si>
  <si>
    <t>CUR. RATIO</t>
  </si>
  <si>
    <t>PROFITABILITY</t>
  </si>
  <si>
    <t>ROE</t>
  </si>
  <si>
    <t>ROA</t>
  </si>
  <si>
    <t>VALUATIONS</t>
  </si>
  <si>
    <t>TRAIL_PE</t>
  </si>
  <si>
    <t>PBV</t>
  </si>
  <si>
    <t>YIELD</t>
  </si>
  <si>
    <t>RAWDATA</t>
  </si>
  <si>
    <t>Security Code</t>
  </si>
  <si>
    <t>CMP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</si>
  <si>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</si>
  <si>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</si>
  <si>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</si>
  <si>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</si>
  <si>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</si>
  <si>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</si>
  <si>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</si>
  <si>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>TRADE REC.</t>
  </si>
  <si>
    <t>FV</t>
  </si>
  <si>
    <t>TRAIL_EPS</t>
  </si>
  <si>
    <t>Companies weightage</t>
  </si>
  <si>
    <t>SALES_18</t>
  </si>
  <si>
    <t>9M_FY24_SALES</t>
  </si>
  <si>
    <t>9M_FY23_SALES</t>
  </si>
  <si>
    <t>9M_FY24_PROFIT</t>
  </si>
  <si>
    <t>9M_FY23_PROFIT</t>
  </si>
  <si>
    <t>FINANCE</t>
  </si>
  <si>
    <t>EXPENSE</t>
  </si>
  <si>
    <t>CY_PRPFIT_GR</t>
  </si>
  <si>
    <t>ROPE</t>
  </si>
  <si>
    <t>BOOKVALUE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</si>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</sst>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3"/>
      <color rgb="FFFFFFFF"/>
      <name val="Arial"/>
    </font>
    <font>
      <sz val="11"/>
      <name val="Arial"/>
    </font>
    <font>
      <b/>
      <sz val="11"/>
      <color rgb="FFFFFFFF"/>
      <name val="Arial"/>
    </font>
    <font>
      <b/>
      <sz val="10"/>
      <color rgb="FFFFFFFF"/>
      <name val="Arial"/>
    </font>
    <font>
      <sz val="10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Calibri"/>
    </font>
    <font>
      <b/>
      <u/>
      <sz val="23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CCCCC"/>
        <bgColor rgb="FFCCCCCC"/>
      </patternFill>
    </fill>
    <fill>
      <patternFill patternType="solid">
        <fgColor rgb="FF4C1130"/>
        <bgColor rgb="FF4C1130"/>
      </patternFill>
    </fill>
    <fill>
      <patternFill patternType="solid">
        <fgColor rgb="FFB7B7B7"/>
        <bgColor rgb="FFB7B7B7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2" borderId="0" xfId="0" applyFont="1" applyFill="1"/>
    <xf numFmtId="0" fontId="5" fillId="2" borderId="0" xfId="0" applyFont="1" applyFill="1"/>
    <xf numFmtId="0" fontId="1" fillId="0" borderId="0" xfId="0" applyFont="1"/>
    <xf numFmtId="0" fontId="6" fillId="0" borderId="0" xfId="0" applyFont="1"/>
    <xf numFmtId="9" fontId="6" fillId="0" borderId="0" xfId="0" applyNumberFormat="1" applyFont="1"/>
    <xf numFmtId="9" fontId="1" fillId="0" borderId="0" xfId="0" applyNumberFormat="1" applyFont="1"/>
    <xf numFmtId="0" fontId="6" fillId="0" borderId="7" xfId="0" applyFont="1" applyBorder="1"/>
    <xf numFmtId="9" fontId="6" fillId="0" borderId="7" xfId="0" applyNumberFormat="1" applyFont="1" applyBorder="1"/>
    <xf numFmtId="9" fontId="1" fillId="0" borderId="7" xfId="0" applyNumberFormat="1" applyFont="1" applyBorder="1"/>
    <xf numFmtId="0" fontId="1" fillId="0" borderId="7" xfId="0" applyFont="1" applyBorder="1"/>
    <xf numFmtId="0" fontId="4" fillId="2" borderId="8" xfId="0" applyFont="1" applyFill="1" applyBorder="1"/>
    <xf numFmtId="0" fontId="7" fillId="0" borderId="0" xfId="0" applyFont="1"/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7" xfId="0" applyFont="1" applyBorder="1"/>
    <xf numFmtId="1" fontId="8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0" xfId="0" applyFont="1"/>
    <xf numFmtId="0" fontId="9" fillId="3" borderId="9" xfId="0" applyFont="1" applyFill="1" applyBorder="1"/>
    <xf numFmtId="1" fontId="9" fillId="3" borderId="9" xfId="0" applyNumberFormat="1" applyFont="1" applyFill="1" applyBorder="1" applyAlignment="1">
      <alignment horizontal="right"/>
    </xf>
    <xf numFmtId="0" fontId="9" fillId="0" borderId="9" xfId="0" applyFont="1" applyBorder="1"/>
    <xf numFmtId="0" fontId="9" fillId="0" borderId="9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0" xfId="0" applyNumberFormat="1" applyFont="1" applyAlignment="1">
      <alignment horizontal="center"/>
    </xf>
    <xf numFmtId="9" fontId="8" fillId="0" borderId="7" xfId="0" applyNumberFormat="1" applyFont="1" applyBorder="1" applyAlignment="1">
      <alignment horizontal="right"/>
    </xf>
    <xf numFmtId="0" fontId="8" fillId="0" borderId="7" xfId="0" applyFont="1" applyBorder="1"/>
    <xf numFmtId="9" fontId="8" fillId="0" borderId="7" xfId="0" applyNumberFormat="1" applyFont="1" applyBorder="1"/>
    <xf numFmtId="0" fontId="9" fillId="0" borderId="0" xfId="0" applyFont="1"/>
    <xf numFmtId="9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" fontId="9" fillId="0" borderId="9" xfId="0" applyNumberFormat="1" applyFont="1" applyBorder="1" applyAlignment="1">
      <alignment horizontal="right"/>
    </xf>
    <xf numFmtId="10" fontId="4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8" fillId="0" borderId="0" xfId="0" applyNumberFormat="1" applyFont="1"/>
    <xf numFmtId="0" fontId="9" fillId="0" borderId="10" xfId="0" applyFont="1" applyBorder="1"/>
    <xf numFmtId="164" fontId="9" fillId="0" borderId="11" xfId="0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0" fontId="4" fillId="2" borderId="12" xfId="0" applyFont="1" applyFill="1" applyBorder="1"/>
    <xf numFmtId="164" fontId="9" fillId="0" borderId="9" xfId="0" applyNumberFormat="1" applyFont="1" applyBorder="1" applyAlignment="1">
      <alignment horizontal="right"/>
    </xf>
    <xf numFmtId="1" fontId="4" fillId="2" borderId="0" xfId="0" applyNumberFormat="1" applyFont="1" applyFill="1"/>
    <xf numFmtId="0" fontId="4" fillId="4" borderId="0" xfId="0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1" fontId="8" fillId="0" borderId="0" xfId="0" applyNumberFormat="1" applyFont="1"/>
    <xf numFmtId="10" fontId="8" fillId="0" borderId="0" xfId="0" applyNumberFormat="1" applyFont="1"/>
    <xf numFmtId="2" fontId="8" fillId="0" borderId="0" xfId="0" applyNumberFormat="1" applyFont="1"/>
    <xf numFmtId="0" fontId="10" fillId="0" borderId="7" xfId="0" applyFont="1" applyBorder="1" applyAlignment="1">
      <alignment horizontal="right"/>
    </xf>
    <xf numFmtId="0" fontId="10" fillId="0" borderId="7" xfId="0" applyFont="1" applyBorder="1"/>
    <xf numFmtId="1" fontId="8" fillId="0" borderId="7" xfId="0" applyNumberFormat="1" applyFont="1" applyBorder="1"/>
    <xf numFmtId="10" fontId="8" fillId="0" borderId="7" xfId="0" applyNumberFormat="1" applyFont="1" applyBorder="1"/>
    <xf numFmtId="164" fontId="8" fillId="0" borderId="7" xfId="0" applyNumberFormat="1" applyFont="1" applyBorder="1"/>
    <xf numFmtId="2" fontId="8" fillId="0" borderId="7" xfId="0" applyNumberFormat="1" applyFont="1" applyBorder="1"/>
    <xf numFmtId="1" fontId="9" fillId="0" borderId="9" xfId="0" applyNumberFormat="1" applyFont="1" applyBorder="1"/>
    <xf numFmtId="10" fontId="9" fillId="0" borderId="9" xfId="0" applyNumberFormat="1" applyFont="1" applyBorder="1"/>
    <xf numFmtId="2" fontId="9" fillId="0" borderId="9" xfId="0" applyNumberFormat="1" applyFont="1" applyBorder="1"/>
    <xf numFmtId="1" fontId="8" fillId="0" borderId="9" xfId="0" applyNumberFormat="1" applyFont="1" applyBorder="1"/>
    <xf numFmtId="0" fontId="1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'Footwear '!$C$20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29D-4BD1-974B-411D1029EDA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29D-4BD1-974B-411D1029EDA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29D-4BD1-974B-411D1029EDA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29D-4BD1-974B-411D1029EDA1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29D-4BD1-974B-411D1029EDA1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129D-4BD1-974B-411D1029EDA1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129D-4BD1-974B-411D1029EDA1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129D-4BD1-974B-411D1029EDA1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129D-4BD1-974B-411D1029EDA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'Footwear '!$B$21:$B$29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'!$C$21:$C$29</c:f>
              <c:numCache>
                <c:formatCode>0</c:formatCode>
                <c:ptCount val="9"/>
                <c:pt idx="0">
                  <c:v>30670.647120000001</c:v>
                </c:pt>
                <c:pt idx="1">
                  <c:v>20874.737613599998</c:v>
                </c:pt>
                <c:pt idx="2">
                  <c:v>18100.44544</c:v>
                </c:pt>
                <c:pt idx="3">
                  <c:v>8313.1624800000009</c:v>
                </c:pt>
                <c:pt idx="4">
                  <c:v>7431.4499232999997</c:v>
                </c:pt>
                <c:pt idx="5">
                  <c:v>710.85880699999996</c:v>
                </c:pt>
                <c:pt idx="6">
                  <c:v>646.90596000000005</c:v>
                </c:pt>
                <c:pt idx="7">
                  <c:v>478.24351799999999</c:v>
                </c:pt>
                <c:pt idx="8">
                  <c:v>223.656657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29D-4BD1-974B-411D1029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'!$C$139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'!$B$140:$B$148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'!$C$140:$C$148</c:f>
              <c:numCache>
                <c:formatCode>0.0%</c:formatCode>
                <c:ptCount val="9"/>
                <c:pt idx="0">
                  <c:v>0.21450651747199662</c:v>
                </c:pt>
                <c:pt idx="1">
                  <c:v>8.1153432684808499E-2</c:v>
                </c:pt>
                <c:pt idx="2">
                  <c:v>0.23022095509622237</c:v>
                </c:pt>
                <c:pt idx="3">
                  <c:v>0.27734375</c:v>
                </c:pt>
                <c:pt idx="4">
                  <c:v>0.19749502042469871</c:v>
                </c:pt>
                <c:pt idx="5">
                  <c:v>6.9518716577540107E-2</c:v>
                </c:pt>
                <c:pt idx="6">
                  <c:v>8.5308056872037921E-2</c:v>
                </c:pt>
                <c:pt idx="7">
                  <c:v>6.9518716577540107E-2</c:v>
                </c:pt>
                <c:pt idx="8">
                  <c:v>6.3291139240506333E-2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37B-46C3-A628-87DF41CEB979}"/>
            </c:ext>
          </c:extLst>
        </c:ser>
        <c:ser>
          <c:idx val="1"/>
          <c:order val="1"/>
          <c:tx>
            <c:strRef>
              <c:f>'Footwear '!$D$139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'!$B$140:$B$148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'!$D$140:$D$148</c:f>
              <c:numCache>
                <c:formatCode>0.0%</c:formatCode>
                <c:ptCount val="9"/>
                <c:pt idx="0">
                  <c:v>0.11536066801728198</c:v>
                </c:pt>
                <c:pt idx="1">
                  <c:v>5.8698867188095569E-2</c:v>
                </c:pt>
                <c:pt idx="2">
                  <c:v>9.9814585908529055E-2</c:v>
                </c:pt>
                <c:pt idx="3">
                  <c:v>9.6010818120351588E-2</c:v>
                </c:pt>
                <c:pt idx="4">
                  <c:v>9.9928256636261148E-2</c:v>
                </c:pt>
                <c:pt idx="5">
                  <c:v>6.1757719714964368E-2</c:v>
                </c:pt>
                <c:pt idx="6">
                  <c:v>2.2959183673469389E-2</c:v>
                </c:pt>
                <c:pt idx="7">
                  <c:v>2.8199566160520606E-2</c:v>
                </c:pt>
                <c:pt idx="8">
                  <c:v>2.1739130434782608E-2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37B-46C3-A628-87DF41CE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730698"/>
        <c:axId val="2123060985"/>
      </c:barChart>
      <c:catAx>
        <c:axId val="13387306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3060985"/>
        <c:crosses val="autoZero"/>
        <c:auto val="1"/>
        <c:lblAlgn val="ctr"/>
        <c:lblOffset val="100"/>
        <c:noMultiLvlLbl val="1"/>
      </c:catAx>
      <c:valAx>
        <c:axId val="21230609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873069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'!$H$139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'!$G$140:$G$148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'!$H$140:$H$148</c:f>
              <c:numCache>
                <c:formatCode>0</c:formatCode>
                <c:ptCount val="9"/>
                <c:pt idx="0">
                  <c:v>94.879166666666663</c:v>
                </c:pt>
                <c:pt idx="1">
                  <c:v>104.75</c:v>
                </c:pt>
                <c:pt idx="2">
                  <c:v>67.047619047619051</c:v>
                </c:pt>
                <c:pt idx="3">
                  <c:v>75.25</c:v>
                </c:pt>
                <c:pt idx="4">
                  <c:v>81.149999999999991</c:v>
                </c:pt>
                <c:pt idx="5">
                  <c:v>25.462500000000002</c:v>
                </c:pt>
                <c:pt idx="6">
                  <c:v>71.39</c:v>
                </c:pt>
                <c:pt idx="7">
                  <c:v>94</c:v>
                </c:pt>
                <c:pt idx="8">
                  <c:v>26.6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EC-4E8F-B177-0A69B20F1208}"/>
            </c:ext>
          </c:extLst>
        </c:ser>
        <c:ser>
          <c:idx val="1"/>
          <c:order val="1"/>
          <c:tx>
            <c:strRef>
              <c:f>'Footwear '!$I$139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'!$G$140:$G$148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'!$I$140:$I$148</c:f>
              <c:numCache>
                <c:formatCode>0</c:formatCode>
                <c:ptCount val="9"/>
                <c:pt idx="0">
                  <c:v>16.837986176494599</c:v>
                </c:pt>
                <c:pt idx="1">
                  <c:v>10.849151898800018</c:v>
                </c:pt>
                <c:pt idx="2">
                  <c:v>12.285207907293797</c:v>
                </c:pt>
                <c:pt idx="3">
                  <c:v>15.607407407407408</c:v>
                </c:pt>
                <c:pt idx="4">
                  <c:v>9.973532475202342</c:v>
                </c:pt>
                <c:pt idx="5">
                  <c:v>1.7701889168765741</c:v>
                </c:pt>
                <c:pt idx="6">
                  <c:v>2.8057205240174672</c:v>
                </c:pt>
                <c:pt idx="7">
                  <c:v>2.35</c:v>
                </c:pt>
                <c:pt idx="8">
                  <c:v>2.2400000000000002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BEC-4E8F-B177-0A69B20F1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850290"/>
        <c:axId val="1043260869"/>
      </c:barChart>
      <c:catAx>
        <c:axId val="10228502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3260869"/>
        <c:crosses val="autoZero"/>
        <c:auto val="1"/>
        <c:lblAlgn val="ctr"/>
        <c:lblOffset val="100"/>
        <c:noMultiLvlLbl val="1"/>
      </c:catAx>
      <c:valAx>
        <c:axId val="10432608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285029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'!$M$139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'!$L$140:$L$148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'!$M$140:$M$148</c:f>
              <c:numCache>
                <c:formatCode>0.0%</c:formatCode>
                <c:ptCount val="9"/>
                <c:pt idx="0">
                  <c:v>1.0539721575688376E-2</c:v>
                </c:pt>
                <c:pt idx="1">
                  <c:v>9.5465393794749408E-3</c:v>
                </c:pt>
                <c:pt idx="2">
                  <c:v>1.4914772727272728E-2</c:v>
                </c:pt>
                <c:pt idx="3">
                  <c:v>1.3289036544850499E-2</c:v>
                </c:pt>
                <c:pt idx="4">
                  <c:v>1.2322858903265559E-2</c:v>
                </c:pt>
                <c:pt idx="5">
                  <c:v>3.9273441335297005E-2</c:v>
                </c:pt>
                <c:pt idx="6">
                  <c:v>1.4007564084605687E-2</c:v>
                </c:pt>
                <c:pt idx="7">
                  <c:v>1.0638297872340425E-2</c:v>
                </c:pt>
                <c:pt idx="8">
                  <c:v>3.7593984962406013E-2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685-4D11-898F-0F5B55A8F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448591"/>
        <c:axId val="1317423053"/>
      </c:barChart>
      <c:catAx>
        <c:axId val="1010448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7423053"/>
        <c:crosses val="autoZero"/>
        <c:auto val="1"/>
        <c:lblAlgn val="ctr"/>
        <c:lblOffset val="100"/>
        <c:noMultiLvlLbl val="1"/>
      </c:catAx>
      <c:valAx>
        <c:axId val="13174230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044859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# OF PAIRS vs PER/CAPITA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'!$C$5</c:f>
              <c:strCache>
                <c:ptCount val="1"/>
                <c:pt idx="0">
                  <c:v># OF PAIRS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'!$B$6:$B$8</c:f>
              <c:strCache>
                <c:ptCount val="3"/>
                <c:pt idx="0">
                  <c:v>INDIA</c:v>
                </c:pt>
                <c:pt idx="1">
                  <c:v>WORLD</c:v>
                </c:pt>
                <c:pt idx="2">
                  <c:v>ADV. ECO</c:v>
                </c:pt>
              </c:strCache>
            </c:strRef>
          </c:cat>
          <c:val>
            <c:numRef>
              <c:f>'Footwear '!$C$6:$C$8</c:f>
              <c:numCache>
                <c:formatCode>General</c:formatCode>
                <c:ptCount val="3"/>
                <c:pt idx="0">
                  <c:v>1.9</c:v>
                </c:pt>
                <c:pt idx="1">
                  <c:v>3.2</c:v>
                </c:pt>
                <c:pt idx="2">
                  <c:v>6.5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D62-4935-B639-BFF06745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01741"/>
        <c:axId val="1127031519"/>
      </c:barChart>
      <c:catAx>
        <c:axId val="9058017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PER/CAPITA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7031519"/>
        <c:crosses val="autoZero"/>
        <c:auto val="1"/>
        <c:lblAlgn val="ctr"/>
        <c:lblOffset val="100"/>
        <c:noMultiLvlLbl val="1"/>
      </c:catAx>
      <c:valAx>
        <c:axId val="11270315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# OF PAIRS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580174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'!$G$5</c:f>
              <c:strCache>
                <c:ptCount val="1"/>
                <c:pt idx="0">
                  <c:v>MARKET IN 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'!$F$6:$F$9</c:f>
              <c:strCache>
                <c:ptCount val="4"/>
                <c:pt idx="0">
                  <c:v>FY_20</c:v>
                </c:pt>
                <c:pt idx="1">
                  <c:v>FY_21 (COVID)</c:v>
                </c:pt>
                <c:pt idx="2">
                  <c:v>FY_22</c:v>
                </c:pt>
                <c:pt idx="3">
                  <c:v>EST_FY_25</c:v>
                </c:pt>
              </c:strCache>
            </c:strRef>
          </c:cat>
          <c:val>
            <c:numRef>
              <c:f>'Footwear '!$G$6:$G$9</c:f>
              <c:numCache>
                <c:formatCode>General</c:formatCode>
                <c:ptCount val="4"/>
                <c:pt idx="0">
                  <c:v>96000</c:v>
                </c:pt>
                <c:pt idx="1">
                  <c:v>66000</c:v>
                </c:pt>
                <c:pt idx="2">
                  <c:v>93000</c:v>
                </c:pt>
                <c:pt idx="3">
                  <c:v>141500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B6-4EE1-A259-1F2212A4F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139312"/>
        <c:axId val="1300827677"/>
      </c:barChart>
      <c:catAx>
        <c:axId val="203613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0827677"/>
        <c:crosses val="autoZero"/>
        <c:auto val="1"/>
        <c:lblAlgn val="ctr"/>
        <c:lblOffset val="100"/>
        <c:noMultiLvlLbl val="1"/>
      </c:catAx>
      <c:valAx>
        <c:axId val="13008276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3613931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UN_ORGANISED and ORGANISED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'!$L$5</c:f>
              <c:strCache>
                <c:ptCount val="1"/>
                <c:pt idx="0">
                  <c:v>UN_ORGANISED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'!$K$6:$K$7</c:f>
              <c:strCache>
                <c:ptCount val="2"/>
                <c:pt idx="0">
                  <c:v>FY_2020</c:v>
                </c:pt>
                <c:pt idx="1">
                  <c:v>FY_2025</c:v>
                </c:pt>
              </c:strCache>
            </c:strRef>
          </c:cat>
          <c:val>
            <c:numRef>
              <c:f>'Footwear '!$L$6:$L$7</c:f>
              <c:numCache>
                <c:formatCode>0%</c:formatCode>
                <c:ptCount val="2"/>
                <c:pt idx="0">
                  <c:v>0.69</c:v>
                </c:pt>
                <c:pt idx="1">
                  <c:v>0.62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88E-4ED2-8936-11C745FA41F0}"/>
            </c:ext>
          </c:extLst>
        </c:ser>
        <c:ser>
          <c:idx val="1"/>
          <c:order val="1"/>
          <c:tx>
            <c:strRef>
              <c:f>'Footwear '!$M$5</c:f>
              <c:strCache>
                <c:ptCount val="1"/>
                <c:pt idx="0">
                  <c:v>ORGANISED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'!$K$6:$K$7</c:f>
              <c:strCache>
                <c:ptCount val="2"/>
                <c:pt idx="0">
                  <c:v>FY_2020</c:v>
                </c:pt>
                <c:pt idx="1">
                  <c:v>FY_2025</c:v>
                </c:pt>
              </c:strCache>
            </c:strRef>
          </c:cat>
          <c:val>
            <c:numRef>
              <c:f>'Footwear '!$M$6:$M$7</c:f>
              <c:numCache>
                <c:formatCode>0%</c:formatCode>
                <c:ptCount val="2"/>
                <c:pt idx="0">
                  <c:v>0.31</c:v>
                </c:pt>
                <c:pt idx="1">
                  <c:v>0.38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88E-4ED2-8936-11C745FA4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16442"/>
        <c:axId val="1336937228"/>
      </c:barChart>
      <c:catAx>
        <c:axId val="15212164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MARKET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6937228"/>
        <c:crosses val="autoZero"/>
        <c:auto val="1"/>
        <c:lblAlgn val="ctr"/>
        <c:lblOffset val="100"/>
        <c:noMultiLvlLbl val="1"/>
      </c:catAx>
      <c:valAx>
        <c:axId val="13369372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2121644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'!$C$49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'!$B$50:$B$58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'!$C$50:$C$58</c:f>
              <c:numCache>
                <c:formatCode>0%</c:formatCode>
                <c:ptCount val="9"/>
                <c:pt idx="0">
                  <c:v>0.14410939094906117</c:v>
                </c:pt>
                <c:pt idx="1">
                  <c:v>7.2196399677454171E-2</c:v>
                </c:pt>
                <c:pt idx="2">
                  <c:v>5.5019476590912442E-2</c:v>
                </c:pt>
                <c:pt idx="4">
                  <c:v>0.29339151891355919</c:v>
                </c:pt>
                <c:pt idx="5">
                  <c:v>7.2413263368977798E-2</c:v>
                </c:pt>
                <c:pt idx="6">
                  <c:v>-2.498247101461315E-2</c:v>
                </c:pt>
                <c:pt idx="7">
                  <c:v>3.6757106943644535E-2</c:v>
                </c:pt>
                <c:pt idx="8">
                  <c:v>0.21915246532175248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BEF-4EBA-BD06-EB55ED4D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106247"/>
        <c:axId val="2116318630"/>
      </c:barChart>
      <c:catAx>
        <c:axId val="1179106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16318630"/>
        <c:crosses val="autoZero"/>
        <c:auto val="1"/>
        <c:lblAlgn val="ctr"/>
        <c:lblOffset val="100"/>
        <c:noMultiLvlLbl val="1"/>
      </c:catAx>
      <c:valAx>
        <c:axId val="21163186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910624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CY_SALES GR and CY_PROFIT_GR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'!$G$49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'!$F$50:$F$58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'!$G$50:$G$58</c:f>
              <c:numCache>
                <c:formatCode>0%</c:formatCode>
                <c:ptCount val="9"/>
                <c:pt idx="0">
                  <c:v>0.12065698041692996</c:v>
                </c:pt>
                <c:pt idx="1">
                  <c:v>7.3835480673934528E-2</c:v>
                </c:pt>
                <c:pt idx="2">
                  <c:v>2.6187803965582734E-3</c:v>
                </c:pt>
                <c:pt idx="3">
                  <c:v>0.22681359044995419</c:v>
                </c:pt>
                <c:pt idx="4">
                  <c:v>-4.5774647887323994E-2</c:v>
                </c:pt>
                <c:pt idx="5">
                  <c:v>8.0000000000000071E-2</c:v>
                </c:pt>
                <c:pt idx="6">
                  <c:v>-4.5454545454545414E-2</c:v>
                </c:pt>
                <c:pt idx="7">
                  <c:v>-3.2110091743119296E-2</c:v>
                </c:pt>
                <c:pt idx="8">
                  <c:v>1.980198019801982E-2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C55-49C3-8227-9A593A7FF340}"/>
            </c:ext>
          </c:extLst>
        </c:ser>
        <c:ser>
          <c:idx val="1"/>
          <c:order val="1"/>
          <c:tx>
            <c:strRef>
              <c:f>'Footwear '!$H$49</c:f>
              <c:strCache>
                <c:ptCount val="1"/>
                <c:pt idx="0">
                  <c:v>CY_PROFIT_GR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'!$F$50:$F$58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'!$H$50:$H$58</c:f>
              <c:numCache>
                <c:formatCode>0%</c:formatCode>
                <c:ptCount val="9"/>
                <c:pt idx="0">
                  <c:v>-0.12457912457912457</c:v>
                </c:pt>
                <c:pt idx="1">
                  <c:v>0.52747252747252737</c:v>
                </c:pt>
                <c:pt idx="2">
                  <c:v>-0.22957198443579763</c:v>
                </c:pt>
                <c:pt idx="3">
                  <c:v>0.25</c:v>
                </c:pt>
                <c:pt idx="4">
                  <c:v>-0.4042553191489362</c:v>
                </c:pt>
                <c:pt idx="5">
                  <c:v>0.11538461538461542</c:v>
                </c:pt>
                <c:pt idx="6">
                  <c:v>-0.44444444444444442</c:v>
                </c:pt>
                <c:pt idx="7">
                  <c:v>9.4786729857819912E-3</c:v>
                </c:pt>
                <c:pt idx="8">
                  <c:v>3.3980582524271843E-2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FC55-49C3-8227-9A593A7F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537675"/>
        <c:axId val="273540943"/>
      </c:barChart>
      <c:catAx>
        <c:axId val="11135376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3540943"/>
        <c:crosses val="autoZero"/>
        <c:auto val="1"/>
        <c:lblAlgn val="ctr"/>
        <c:lblOffset val="100"/>
        <c:noMultiLvlLbl val="1"/>
      </c:catAx>
      <c:valAx>
        <c:axId val="2735409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353767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'Footwear '!$G$20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69A7-4FD2-B0EC-6B8C8551F66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69A7-4FD2-B0EC-6B8C8551F66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69A7-4FD2-B0EC-6B8C8551F66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69A7-4FD2-B0EC-6B8C8551F66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69A7-4FD2-B0EC-6B8C8551F66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69A7-4FD2-B0EC-6B8C8551F66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69A7-4FD2-B0EC-6B8C8551F66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69A7-4FD2-B0EC-6B8C8551F66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69A7-4FD2-B0EC-6B8C8551F66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'Footwear '!$F$21:$F$29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'!$G$21:$G$29</c:f>
              <c:numCache>
                <c:formatCode>General</c:formatCode>
                <c:ptCount val="9"/>
                <c:pt idx="0">
                  <c:v>2127</c:v>
                </c:pt>
                <c:pt idx="1">
                  <c:v>2783</c:v>
                </c:pt>
                <c:pt idx="2">
                  <c:v>3452</c:v>
                </c:pt>
                <c:pt idx="3">
                  <c:v>1468</c:v>
                </c:pt>
                <c:pt idx="4">
                  <c:v>1484</c:v>
                </c:pt>
                <c:pt idx="5">
                  <c:v>200</c:v>
                </c:pt>
                <c:pt idx="6">
                  <c:v>660</c:v>
                </c:pt>
                <c:pt idx="7">
                  <c:v>654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A7-4FD2-B0EC-6B8C8551F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'Footwear '!$K$20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C60-4BE7-AC06-5895F6421EB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C60-4BE7-AC06-5895F6421EB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C60-4BE7-AC06-5895F6421EB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C60-4BE7-AC06-5895F6421EB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C60-4BE7-AC06-5895F6421EB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1C60-4BE7-AC06-5895F6421EB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1C60-4BE7-AC06-5895F6421EB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1C60-4BE7-AC06-5895F6421EBD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1C60-4BE7-AC06-5895F6421EB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'Footwear '!$J$21:$J$29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'!$K$21:$K$29</c:f>
              <c:numCache>
                <c:formatCode>General</c:formatCode>
                <c:ptCount val="9"/>
                <c:pt idx="0">
                  <c:v>365</c:v>
                </c:pt>
                <c:pt idx="1">
                  <c:v>154</c:v>
                </c:pt>
                <c:pt idx="2">
                  <c:v>323</c:v>
                </c:pt>
                <c:pt idx="3">
                  <c:v>142</c:v>
                </c:pt>
                <c:pt idx="4">
                  <c:v>117</c:v>
                </c:pt>
                <c:pt idx="5">
                  <c:v>26</c:v>
                </c:pt>
                <c:pt idx="6">
                  <c:v>18</c:v>
                </c:pt>
                <c:pt idx="7">
                  <c:v>13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C60-4BE7-AC06-5895F6421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'!$C$80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'!$B$81:$B$89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'!$C$81:$C$89</c:f>
              <c:numCache>
                <c:formatCode>0.00</c:formatCode>
                <c:ptCount val="9"/>
                <c:pt idx="0">
                  <c:v>0.62295043430223673</c:v>
                </c:pt>
                <c:pt idx="1">
                  <c:v>0.11856832697455787</c:v>
                </c:pt>
                <c:pt idx="2">
                  <c:v>0.90021382751247325</c:v>
                </c:pt>
                <c:pt idx="3">
                  <c:v>0.919921875</c:v>
                </c:pt>
                <c:pt idx="4">
                  <c:v>0.55197326221261944</c:v>
                </c:pt>
                <c:pt idx="5">
                  <c:v>0</c:v>
                </c:pt>
                <c:pt idx="6">
                  <c:v>1.5402843601895735</c:v>
                </c:pt>
                <c:pt idx="7">
                  <c:v>0.73796791443850263</c:v>
                </c:pt>
                <c:pt idx="8">
                  <c:v>0.759493670886076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1CB-47F6-BE40-7E6E9CFD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288228"/>
        <c:axId val="608041607"/>
      </c:barChart>
      <c:catAx>
        <c:axId val="1272288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8041607"/>
        <c:crosses val="autoZero"/>
        <c:auto val="1"/>
        <c:lblAlgn val="ctr"/>
        <c:lblOffset val="100"/>
        <c:noMultiLvlLbl val="1"/>
      </c:catAx>
      <c:valAx>
        <c:axId val="6080416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7228822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'!$G$80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'!$F$81:$F$89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'!$G$81:$G$89</c:f>
              <c:numCache>
                <c:formatCode>0</c:formatCode>
                <c:ptCount val="9"/>
                <c:pt idx="0">
                  <c:v>7.9047619047619051</c:v>
                </c:pt>
                <c:pt idx="1">
                  <c:v>11.105263157894736</c:v>
                </c:pt>
                <c:pt idx="2">
                  <c:v>4.6296296296296298</c:v>
                </c:pt>
                <c:pt idx="3">
                  <c:v>11.764705882352942</c:v>
                </c:pt>
                <c:pt idx="4">
                  <c:v>6.3103448275862073</c:v>
                </c:pt>
                <c:pt idx="5">
                  <c:v>37</c:v>
                </c:pt>
                <c:pt idx="6">
                  <c:v>3.3870967741935485</c:v>
                </c:pt>
                <c:pt idx="7">
                  <c:v>6.083333333333333</c:v>
                </c:pt>
                <c:pt idx="8">
                  <c:v>3.8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041-4551-B9BE-F4540A3DA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601529"/>
        <c:axId val="1371871082"/>
      </c:barChart>
      <c:catAx>
        <c:axId val="1843601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71871082"/>
        <c:crosses val="autoZero"/>
        <c:auto val="1"/>
        <c:lblAlgn val="ctr"/>
        <c:lblOffset val="100"/>
        <c:noMultiLvlLbl val="1"/>
      </c:catAx>
      <c:valAx>
        <c:axId val="13718710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360152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'!$K$80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'!$J$81:$J$89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'!$K$81:$K$89</c:f>
              <c:numCache>
                <c:formatCode>0.00</c:formatCode>
                <c:ptCount val="9"/>
                <c:pt idx="0">
                  <c:v>0.46220436853466673</c:v>
                </c:pt>
                <c:pt idx="1">
                  <c:v>0.27669273811157358</c:v>
                </c:pt>
                <c:pt idx="2">
                  <c:v>0.5664400494437577</c:v>
                </c:pt>
                <c:pt idx="3">
                  <c:v>0.62474645030425968</c:v>
                </c:pt>
                <c:pt idx="4">
                  <c:v>0.49402138635509546</c:v>
                </c:pt>
                <c:pt idx="5">
                  <c:v>5.7007125890736345E-2</c:v>
                </c:pt>
                <c:pt idx="6">
                  <c:v>0.70790816326530615</c:v>
                </c:pt>
                <c:pt idx="7">
                  <c:v>0.55748373101952275</c:v>
                </c:pt>
                <c:pt idx="8">
                  <c:v>0.58695652173913049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8CB-40EA-8970-4BAF0386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690070"/>
        <c:axId val="1441713270"/>
      </c:barChart>
      <c:catAx>
        <c:axId val="18846900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1713270"/>
        <c:crosses val="autoZero"/>
        <c:auto val="1"/>
        <c:lblAlgn val="ctr"/>
        <c:lblOffset val="100"/>
        <c:noMultiLvlLbl val="1"/>
      </c:catAx>
      <c:valAx>
        <c:axId val="14417132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469007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'Footwear '!$C$110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'!$B$111:$B$119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'!$C$111:$C$119</c:f>
              <c:numCache>
                <c:formatCode>0.0%</c:formatCode>
                <c:ptCount val="9"/>
                <c:pt idx="0">
                  <c:v>0.17160319699106724</c:v>
                </c:pt>
                <c:pt idx="1">
                  <c:v>5.533596837944664E-2</c:v>
                </c:pt>
                <c:pt idx="2">
                  <c:v>9.3568945538818074E-2</c:v>
                </c:pt>
                <c:pt idx="3">
                  <c:v>9.6730245231607628E-2</c:v>
                </c:pt>
                <c:pt idx="4">
                  <c:v>7.8840970350404313E-2</c:v>
                </c:pt>
                <c:pt idx="5">
                  <c:v>0.13</c:v>
                </c:pt>
                <c:pt idx="6">
                  <c:v>2.7272727272727271E-2</c:v>
                </c:pt>
                <c:pt idx="7">
                  <c:v>1.9877675840978593E-2</c:v>
                </c:pt>
                <c:pt idx="8">
                  <c:v>2.4752475247524754E-2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C2C-47D0-A795-7E7E6E9F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072503"/>
        <c:axId val="1852242757"/>
      </c:barChart>
      <c:lineChart>
        <c:grouping val="standard"/>
        <c:varyColors val="0"/>
        <c:ser>
          <c:idx val="1"/>
          <c:order val="1"/>
          <c:tx>
            <c:strRef>
              <c:f>'Footwear '!$D$110</c:f>
              <c:strCache>
                <c:ptCount val="1"/>
                <c:pt idx="0">
                  <c:v>CY_MARGIN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'!$B$111:$B$119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'!$D$111:$D$119</c:f>
              <c:numCache>
                <c:formatCode>0.0%</c:formatCode>
                <c:ptCount val="9"/>
                <c:pt idx="0">
                  <c:v>0.14656144306651633</c:v>
                </c:pt>
                <c:pt idx="1">
                  <c:v>6.4143977849561606E-2</c:v>
                </c:pt>
                <c:pt idx="2">
                  <c:v>7.3880597014925373E-2</c:v>
                </c:pt>
                <c:pt idx="3">
                  <c:v>0.10104790419161677</c:v>
                </c:pt>
                <c:pt idx="4">
                  <c:v>5.1660516605166053E-2</c:v>
                </c:pt>
                <c:pt idx="5">
                  <c:v>0.13425925925925927</c:v>
                </c:pt>
                <c:pt idx="6">
                  <c:v>1.5873015873015872E-2</c:v>
                </c:pt>
                <c:pt idx="7">
                  <c:v>1.5873015873015872E-2</c:v>
                </c:pt>
                <c:pt idx="8">
                  <c:v>1.5873015873015872E-2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C-47D0-A795-7E7E6E9F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072503"/>
        <c:axId val="1852242757"/>
      </c:lineChart>
      <c:catAx>
        <c:axId val="2055072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2242757"/>
        <c:crosses val="autoZero"/>
        <c:auto val="1"/>
        <c:lblAlgn val="ctr"/>
        <c:lblOffset val="100"/>
        <c:noMultiLvlLbl val="1"/>
      </c:catAx>
      <c:valAx>
        <c:axId val="18522427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5507250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'!$H$110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'!$G$111:$G$119</c:f>
              <c:strCache>
                <c:ptCount val="9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  <c:pt idx="5">
                  <c:v>SREEL</c:v>
                </c:pt>
                <c:pt idx="6">
                  <c:v>KHADIM</c:v>
                </c:pt>
                <c:pt idx="7">
                  <c:v>LIBERTSHOE</c:v>
                </c:pt>
                <c:pt idx="8">
                  <c:v>LEHAR</c:v>
                </c:pt>
              </c:strCache>
            </c:strRef>
          </c:cat>
          <c:val>
            <c:numRef>
              <c:f>'Footwear '!$H$111:$H$119</c:f>
              <c:numCache>
                <c:formatCode>0</c:formatCode>
                <c:ptCount val="9"/>
                <c:pt idx="0">
                  <c:v>22.382204983544902</c:v>
                </c:pt>
                <c:pt idx="1">
                  <c:v>41.803844771828963</c:v>
                </c:pt>
                <c:pt idx="2">
                  <c:v>10.573580533024334</c:v>
                </c:pt>
                <c:pt idx="3">
                  <c:v>14.918256130790191</c:v>
                </c:pt>
                <c:pt idx="4">
                  <c:v>34.861927223719682</c:v>
                </c:pt>
                <c:pt idx="5">
                  <c:v>0.91249999999999998</c:v>
                </c:pt>
                <c:pt idx="6">
                  <c:v>106.73484848484848</c:v>
                </c:pt>
                <c:pt idx="7">
                  <c:v>60.833333333333329</c:v>
                </c:pt>
                <c:pt idx="8">
                  <c:v>144.55445544554456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C9-4D94-9A14-BB87DF182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458669"/>
        <c:axId val="854236444"/>
      </c:barChart>
      <c:catAx>
        <c:axId val="11034586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54236444"/>
        <c:crosses val="autoZero"/>
        <c:auto val="1"/>
        <c:lblAlgn val="ctr"/>
        <c:lblOffset val="100"/>
        <c:noMultiLvlLbl val="1"/>
      </c:catAx>
      <c:valAx>
        <c:axId val="8542364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34586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'Footwear '!$L$110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'Footwear '!$K$111:$K$115</c:f>
              <c:strCache>
                <c:ptCount val="5"/>
                <c:pt idx="0">
                  <c:v>METROBRAND</c:v>
                </c:pt>
                <c:pt idx="1">
                  <c:v>RELAXO</c:v>
                </c:pt>
                <c:pt idx="2">
                  <c:v>BATAINDIA</c:v>
                </c:pt>
                <c:pt idx="3">
                  <c:v>REDTAPE</c:v>
                </c:pt>
                <c:pt idx="4">
                  <c:v>CAMPUS</c:v>
                </c:pt>
              </c:strCache>
            </c:strRef>
          </c:cat>
          <c:val>
            <c:numRef>
              <c:f>'Footwear '!$L$111:$L$115</c:f>
              <c:numCache>
                <c:formatCode>0.00</c:formatCode>
                <c:ptCount val="5"/>
                <c:pt idx="0">
                  <c:v>3.0005425834455921</c:v>
                </c:pt>
                <c:pt idx="1">
                  <c:v>2.2634516633177046</c:v>
                </c:pt>
                <c:pt idx="2">
                  <c:v>1.7825086306098965</c:v>
                </c:pt>
                <c:pt idx="3">
                  <c:v>1.4219474497681608</c:v>
                </c:pt>
                <c:pt idx="4">
                  <c:v>1.7940936813254649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06F-4951-A1C9-38C8C25C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171557"/>
        <c:axId val="929672939"/>
      </c:barChart>
      <c:catAx>
        <c:axId val="20951715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9672939"/>
        <c:crosses val="autoZero"/>
        <c:auto val="1"/>
        <c:lblAlgn val="ctr"/>
        <c:lblOffset val="100"/>
        <c:noMultiLvlLbl val="1"/>
      </c:catAx>
      <c:valAx>
        <c:axId val="9296729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517155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31</xdr:row>
      <xdr:rowOff>66675</xdr:rowOff>
    </xdr:from>
    <xdr:ext cx="4648200" cy="28860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66933584-7083-496E-81B9-6B4F6A3A7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876300</xdr:colOff>
      <xdr:row>31</xdr:row>
      <xdr:rowOff>66675</xdr:rowOff>
    </xdr:from>
    <xdr:ext cx="4705350" cy="28860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ED8CE1ED-70D5-49A2-A9F4-B6B197902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781050</xdr:colOff>
      <xdr:row>31</xdr:row>
      <xdr:rowOff>47625</xdr:rowOff>
    </xdr:from>
    <xdr:ext cx="4705350" cy="29337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2CA103F-74D9-4C37-9628-8C9DBC53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114300</xdr:colOff>
      <xdr:row>91</xdr:row>
      <xdr:rowOff>85725</xdr:rowOff>
    </xdr:from>
    <xdr:ext cx="4810125" cy="29813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CD2FA538-3947-4366-BD92-0367AC095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123825</xdr:colOff>
      <xdr:row>91</xdr:row>
      <xdr:rowOff>85725</xdr:rowOff>
    </xdr:from>
    <xdr:ext cx="4810125" cy="298132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F88277DB-3B86-4124-9D41-9657744AF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133350</xdr:colOff>
      <xdr:row>91</xdr:row>
      <xdr:rowOff>85725</xdr:rowOff>
    </xdr:from>
    <xdr:ext cx="4810125" cy="298132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9AD456B9-4B1F-457D-8F86-194656190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161925</xdr:colOff>
      <xdr:row>121</xdr:row>
      <xdr:rowOff>47625</xdr:rowOff>
    </xdr:from>
    <xdr:ext cx="4705350" cy="29337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ED106C2A-3BF3-4612-A15C-E42E9F06C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5</xdr:col>
      <xdr:colOff>66675</xdr:colOff>
      <xdr:row>121</xdr:row>
      <xdr:rowOff>47625</xdr:rowOff>
    </xdr:from>
    <xdr:ext cx="4705350" cy="29337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68A48BAB-4AE0-41B6-98A4-E41479431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9</xdr:col>
      <xdr:colOff>933450</xdr:colOff>
      <xdr:row>121</xdr:row>
      <xdr:rowOff>47625</xdr:rowOff>
    </xdr:from>
    <xdr:ext cx="4705350" cy="293370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5CDD0C78-EE88-44F5-9FDE-856F242D1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66675</xdr:colOff>
      <xdr:row>150</xdr:row>
      <xdr:rowOff>57150</xdr:rowOff>
    </xdr:from>
    <xdr:ext cx="4705350" cy="26289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2FAA7312-3D44-4A9A-9E26-427EF03B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4</xdr:col>
      <xdr:colOff>933450</xdr:colOff>
      <xdr:row>150</xdr:row>
      <xdr:rowOff>57150</xdr:rowOff>
    </xdr:from>
    <xdr:ext cx="4257675" cy="26289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D8803529-3CAB-447C-B87E-7973472BD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9</xdr:col>
      <xdr:colOff>390525</xdr:colOff>
      <xdr:row>150</xdr:row>
      <xdr:rowOff>57150</xdr:rowOff>
    </xdr:from>
    <xdr:ext cx="4257675" cy="262890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FF567705-C590-4308-81E6-ED332507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219075</xdr:colOff>
      <xdr:row>8</xdr:row>
      <xdr:rowOff>57150</xdr:rowOff>
    </xdr:from>
    <xdr:ext cx="4257675" cy="195262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5886EDF4-2802-4E8E-A40F-D75BCA2E3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4</xdr:col>
      <xdr:colOff>704850</xdr:colOff>
      <xdr:row>9</xdr:row>
      <xdr:rowOff>104775</xdr:rowOff>
    </xdr:from>
    <xdr:ext cx="3924300" cy="170497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76569AC4-15F7-4691-BFF4-1263CD58A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8</xdr:col>
      <xdr:colOff>790575</xdr:colOff>
      <xdr:row>7</xdr:row>
      <xdr:rowOff>85725</xdr:rowOff>
    </xdr:from>
    <xdr:ext cx="4010025" cy="2124075"/>
    <xdr:graphicFrame macro="">
      <xdr:nvGraphicFramePr>
        <xdr:cNvPr id="16" name="Chart 15" title="Chart">
          <a:extLst>
            <a:ext uri="{FF2B5EF4-FFF2-40B4-BE49-F238E27FC236}">
              <a16:creationId xmlns:a16="http://schemas.microsoft.com/office/drawing/2014/main" id="{55B26736-67F0-4C40-A4AE-49B27D5E7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171450</xdr:colOff>
      <xdr:row>60</xdr:row>
      <xdr:rowOff>28575</xdr:rowOff>
    </xdr:from>
    <xdr:ext cx="4705350" cy="2886075"/>
    <xdr:graphicFrame macro="">
      <xdr:nvGraphicFramePr>
        <xdr:cNvPr id="17" name="Chart 16" title="Chart">
          <a:extLst>
            <a:ext uri="{FF2B5EF4-FFF2-40B4-BE49-F238E27FC236}">
              <a16:creationId xmlns:a16="http://schemas.microsoft.com/office/drawing/2014/main" id="{8AFF6B1B-2173-4E34-B435-D52BC1966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5</xdr:col>
      <xdr:colOff>95250</xdr:colOff>
      <xdr:row>60</xdr:row>
      <xdr:rowOff>28575</xdr:rowOff>
    </xdr:from>
    <xdr:ext cx="4648200" cy="2886075"/>
    <xdr:graphicFrame macro="">
      <xdr:nvGraphicFramePr>
        <xdr:cNvPr id="18" name="Chart 17" title="Chart">
          <a:extLst>
            <a:ext uri="{FF2B5EF4-FFF2-40B4-BE49-F238E27FC236}">
              <a16:creationId xmlns:a16="http://schemas.microsoft.com/office/drawing/2014/main" id="{DA340A84-0D91-4537-8B44-8B5F116C6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FootWear%20(6).xlsx" TargetMode="External"/><Relationship Id="rId1" Type="http://schemas.openxmlformats.org/officeDocument/2006/relationships/externalLinkPath" Target="/Users/profi/Downloads/FootWear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otwear "/>
      <sheetName val="FOOTWEAR INDUSTRY"/>
      <sheetName val="TOP Companies"/>
      <sheetName val="DashBoard"/>
      <sheetName val="Footwear"/>
      <sheetName val="BATAINDIA"/>
      <sheetName val="rel old"/>
      <sheetName val="Sheet3"/>
      <sheetName val="kHADIM"/>
      <sheetName val="RELAXO"/>
    </sheetNames>
    <sheetDataSet>
      <sheetData sheetId="0">
        <row r="5">
          <cell r="C5" t="str">
            <v># OF PAIRS</v>
          </cell>
          <cell r="G5" t="str">
            <v>MARKET IN CR</v>
          </cell>
          <cell r="L5" t="str">
            <v>UN_ORGANISED</v>
          </cell>
          <cell r="M5" t="str">
            <v>ORGANISED</v>
          </cell>
        </row>
        <row r="6">
          <cell r="B6" t="str">
            <v>INDIA</v>
          </cell>
          <cell r="C6">
            <v>1.9</v>
          </cell>
          <cell r="F6" t="str">
            <v>FY_20</v>
          </cell>
          <cell r="G6">
            <v>96000</v>
          </cell>
          <cell r="K6" t="str">
            <v>FY_2020</v>
          </cell>
          <cell r="L6">
            <v>0.69</v>
          </cell>
          <cell r="M6">
            <v>0.31</v>
          </cell>
        </row>
        <row r="7">
          <cell r="B7" t="str">
            <v>WORLD</v>
          </cell>
          <cell r="C7">
            <v>3.2</v>
          </cell>
          <cell r="F7" t="str">
            <v>FY_21 (COVID)</v>
          </cell>
          <cell r="G7">
            <v>66000</v>
          </cell>
          <cell r="K7" t="str">
            <v>FY_2025</v>
          </cell>
          <cell r="L7">
            <v>0.62</v>
          </cell>
          <cell r="M7">
            <v>0.38</v>
          </cell>
        </row>
        <row r="8">
          <cell r="B8" t="str">
            <v>ADV. ECO</v>
          </cell>
          <cell r="C8">
            <v>6.5</v>
          </cell>
          <cell r="F8" t="str">
            <v>FY_22</v>
          </cell>
          <cell r="G8">
            <v>93000</v>
          </cell>
        </row>
        <row r="9">
          <cell r="F9" t="str">
            <v>EST_FY_25</v>
          </cell>
          <cell r="G9">
            <v>141500</v>
          </cell>
        </row>
        <row r="20">
          <cell r="C20" t="str">
            <v>MARKETCAP</v>
          </cell>
          <cell r="G20" t="str">
            <v>SALES_23</v>
          </cell>
          <cell r="K20" t="str">
            <v>PROFIT_23</v>
          </cell>
        </row>
        <row r="21">
          <cell r="B21" t="str">
            <v>METROBRAND</v>
          </cell>
          <cell r="C21">
            <v>30670.647120000001</v>
          </cell>
          <cell r="F21" t="str">
            <v>METROBRAND</v>
          </cell>
          <cell r="G21">
            <v>2127</v>
          </cell>
          <cell r="J21" t="str">
            <v>METROBRAND</v>
          </cell>
          <cell r="K21">
            <v>365</v>
          </cell>
        </row>
        <row r="22">
          <cell r="B22" t="str">
            <v>RELAXO</v>
          </cell>
          <cell r="C22">
            <v>20874.737613599998</v>
          </cell>
          <cell r="F22" t="str">
            <v>RELAXO</v>
          </cell>
          <cell r="G22">
            <v>2783</v>
          </cell>
          <cell r="J22" t="str">
            <v>RELAXO</v>
          </cell>
          <cell r="K22">
            <v>154</v>
          </cell>
        </row>
        <row r="23">
          <cell r="B23" t="str">
            <v>BATAINDIA</v>
          </cell>
          <cell r="C23">
            <v>18100.44544</v>
          </cell>
          <cell r="F23" t="str">
            <v>BATAINDIA</v>
          </cell>
          <cell r="G23">
            <v>3452</v>
          </cell>
          <cell r="J23" t="str">
            <v>BATAINDIA</v>
          </cell>
          <cell r="K23">
            <v>323</v>
          </cell>
        </row>
        <row r="24">
          <cell r="B24" t="str">
            <v>REDTAPE</v>
          </cell>
          <cell r="C24">
            <v>8313.1624800000009</v>
          </cell>
          <cell r="F24" t="str">
            <v>REDTAPE</v>
          </cell>
          <cell r="G24">
            <v>1468</v>
          </cell>
          <cell r="J24" t="str">
            <v>REDTAPE</v>
          </cell>
          <cell r="K24">
            <v>142</v>
          </cell>
        </row>
        <row r="25">
          <cell r="B25" t="str">
            <v>CAMPUS</v>
          </cell>
          <cell r="C25">
            <v>7431.4499232999997</v>
          </cell>
          <cell r="F25" t="str">
            <v>CAMPUS</v>
          </cell>
          <cell r="G25">
            <v>1484</v>
          </cell>
          <cell r="J25" t="str">
            <v>CAMPUS</v>
          </cell>
          <cell r="K25">
            <v>117</v>
          </cell>
        </row>
        <row r="26">
          <cell r="B26" t="str">
            <v>SREEL</v>
          </cell>
          <cell r="C26">
            <v>710.85880699999996</v>
          </cell>
          <cell r="F26" t="str">
            <v>SREEL</v>
          </cell>
          <cell r="G26">
            <v>200</v>
          </cell>
          <cell r="J26" t="str">
            <v>SREEL</v>
          </cell>
          <cell r="K26">
            <v>26</v>
          </cell>
        </row>
        <row r="27">
          <cell r="B27" t="str">
            <v>KHADIM</v>
          </cell>
          <cell r="C27">
            <v>646.90596000000005</v>
          </cell>
          <cell r="F27" t="str">
            <v>KHADIM</v>
          </cell>
          <cell r="G27">
            <v>660</v>
          </cell>
          <cell r="J27" t="str">
            <v>KHADIM</v>
          </cell>
          <cell r="K27">
            <v>18</v>
          </cell>
        </row>
        <row r="28">
          <cell r="B28" t="str">
            <v>LIBERTSHOE</v>
          </cell>
          <cell r="C28">
            <v>478.24351799999999</v>
          </cell>
          <cell r="F28" t="str">
            <v>LIBERTSHOE</v>
          </cell>
          <cell r="G28">
            <v>654</v>
          </cell>
          <cell r="J28" t="str">
            <v>LIBERTSHOE</v>
          </cell>
          <cell r="K28">
            <v>13</v>
          </cell>
        </row>
        <row r="29">
          <cell r="B29" t="str">
            <v>LEHAR</v>
          </cell>
          <cell r="C29">
            <v>223.656657</v>
          </cell>
          <cell r="F29" t="str">
            <v>LEHAR</v>
          </cell>
          <cell r="G29">
            <v>202</v>
          </cell>
          <cell r="J29" t="str">
            <v>LEHAR</v>
          </cell>
          <cell r="K29">
            <v>5</v>
          </cell>
        </row>
        <row r="49">
          <cell r="C49" t="str">
            <v>SALES_5Y_GR</v>
          </cell>
          <cell r="G49" t="str">
            <v>CY_SALES GR</v>
          </cell>
          <cell r="H49" t="str">
            <v>CY_PROFIT_GR</v>
          </cell>
        </row>
        <row r="50">
          <cell r="B50" t="str">
            <v>METROBRAND</v>
          </cell>
          <cell r="C50">
            <v>0.14410939094906117</v>
          </cell>
          <cell r="F50" t="str">
            <v>METROBRAND</v>
          </cell>
          <cell r="G50">
            <v>0.12065698041692996</v>
          </cell>
          <cell r="H50">
            <v>-0.12457912457912457</v>
          </cell>
        </row>
        <row r="51">
          <cell r="B51" t="str">
            <v>RELAXO</v>
          </cell>
          <cell r="C51">
            <v>7.2196399677454171E-2</v>
          </cell>
          <cell r="F51" t="str">
            <v>RELAXO</v>
          </cell>
          <cell r="G51">
            <v>7.3835480673934528E-2</v>
          </cell>
          <cell r="H51">
            <v>0.52747252747252737</v>
          </cell>
        </row>
        <row r="52">
          <cell r="B52" t="str">
            <v>BATAINDIA</v>
          </cell>
          <cell r="C52">
            <v>5.5019476590912442E-2</v>
          </cell>
          <cell r="F52" t="str">
            <v>BATAINDIA</v>
          </cell>
          <cell r="G52">
            <v>2.6187803965582734E-3</v>
          </cell>
          <cell r="H52">
            <v>-0.22957198443579763</v>
          </cell>
        </row>
        <row r="53">
          <cell r="B53" t="str">
            <v>REDTAPE</v>
          </cell>
          <cell r="F53" t="str">
            <v>REDTAPE</v>
          </cell>
          <cell r="G53">
            <v>0.22681359044995419</v>
          </cell>
          <cell r="H53">
            <v>0.25</v>
          </cell>
        </row>
        <row r="54">
          <cell r="B54" t="str">
            <v>CAMPUS</v>
          </cell>
          <cell r="C54">
            <v>0.29339151891355919</v>
          </cell>
          <cell r="F54" t="str">
            <v>CAMPUS</v>
          </cell>
          <cell r="G54">
            <v>-4.5774647887323994E-2</v>
          </cell>
          <cell r="H54">
            <v>-0.4042553191489362</v>
          </cell>
        </row>
        <row r="55">
          <cell r="B55" t="str">
            <v>SREEL</v>
          </cell>
          <cell r="C55">
            <v>7.2413263368977798E-2</v>
          </cell>
          <cell r="F55" t="str">
            <v>SREEL</v>
          </cell>
          <cell r="G55">
            <v>8.0000000000000071E-2</v>
          </cell>
          <cell r="H55">
            <v>0.11538461538461542</v>
          </cell>
        </row>
        <row r="56">
          <cell r="B56" t="str">
            <v>KHADIM</v>
          </cell>
          <cell r="C56">
            <v>-2.498247101461315E-2</v>
          </cell>
          <cell r="F56" t="str">
            <v>KHADIM</v>
          </cell>
          <cell r="G56">
            <v>-4.5454545454545414E-2</v>
          </cell>
          <cell r="H56">
            <v>-0.44444444444444442</v>
          </cell>
        </row>
        <row r="57">
          <cell r="B57" t="str">
            <v>LIBERTSHOE</v>
          </cell>
          <cell r="C57">
            <v>3.6757106943644535E-2</v>
          </cell>
          <cell r="F57" t="str">
            <v>LIBERTSHOE</v>
          </cell>
          <cell r="G57">
            <v>-3.2110091743119296E-2</v>
          </cell>
          <cell r="H57">
            <v>9.4786729857819912E-3</v>
          </cell>
        </row>
        <row r="58">
          <cell r="B58" t="str">
            <v>LEHAR</v>
          </cell>
          <cell r="C58">
            <v>0.21915246532175248</v>
          </cell>
          <cell r="F58" t="str">
            <v>LEHAR</v>
          </cell>
          <cell r="G58">
            <v>1.980198019801982E-2</v>
          </cell>
          <cell r="H58">
            <v>3.3980582524271843E-2</v>
          </cell>
        </row>
        <row r="80">
          <cell r="C80" t="str">
            <v>DEBT2EQUITY</v>
          </cell>
          <cell r="G80" t="str">
            <v>ICR</v>
          </cell>
          <cell r="K80" t="str">
            <v>DEBTRATIO</v>
          </cell>
        </row>
        <row r="81">
          <cell r="B81" t="str">
            <v>METROBRAND</v>
          </cell>
          <cell r="C81">
            <v>0.62295043430223673</v>
          </cell>
          <cell r="F81" t="str">
            <v>METROBRAND</v>
          </cell>
          <cell r="G81">
            <v>7.9047619047619051</v>
          </cell>
          <cell r="J81" t="str">
            <v>METROBRAND</v>
          </cell>
          <cell r="K81">
            <v>0.46220436853466673</v>
          </cell>
        </row>
        <row r="82">
          <cell r="B82" t="str">
            <v>RELAXO</v>
          </cell>
          <cell r="C82">
            <v>0.11856832697455787</v>
          </cell>
          <cell r="F82" t="str">
            <v>RELAXO</v>
          </cell>
          <cell r="G82">
            <v>11.105263157894736</v>
          </cell>
          <cell r="J82" t="str">
            <v>RELAXO</v>
          </cell>
          <cell r="K82">
            <v>0.27669273811157358</v>
          </cell>
        </row>
        <row r="83">
          <cell r="B83" t="str">
            <v>BATAINDIA</v>
          </cell>
          <cell r="C83">
            <v>0.90021382751247325</v>
          </cell>
          <cell r="F83" t="str">
            <v>BATAINDIA</v>
          </cell>
          <cell r="G83">
            <v>4.6296296296296298</v>
          </cell>
          <cell r="J83" t="str">
            <v>BATAINDIA</v>
          </cell>
          <cell r="K83">
            <v>0.5664400494437577</v>
          </cell>
        </row>
        <row r="84">
          <cell r="B84" t="str">
            <v>REDTAPE</v>
          </cell>
          <cell r="C84">
            <v>0.919921875</v>
          </cell>
          <cell r="F84" t="str">
            <v>REDTAPE</v>
          </cell>
          <cell r="G84">
            <v>11.764705882352942</v>
          </cell>
          <cell r="J84" t="str">
            <v>REDTAPE</v>
          </cell>
          <cell r="K84">
            <v>0.62474645030425968</v>
          </cell>
        </row>
        <row r="85">
          <cell r="B85" t="str">
            <v>CAMPUS</v>
          </cell>
          <cell r="C85">
            <v>0.55197326221261944</v>
          </cell>
          <cell r="F85" t="str">
            <v>CAMPUS</v>
          </cell>
          <cell r="G85">
            <v>6.3103448275862073</v>
          </cell>
          <cell r="J85" t="str">
            <v>CAMPUS</v>
          </cell>
          <cell r="K85">
            <v>0.49402138635509546</v>
          </cell>
        </row>
        <row r="86">
          <cell r="B86" t="str">
            <v>SREEL</v>
          </cell>
          <cell r="C86">
            <v>0</v>
          </cell>
          <cell r="F86" t="str">
            <v>SREEL</v>
          </cell>
          <cell r="G86">
            <v>37</v>
          </cell>
          <cell r="J86" t="str">
            <v>SREEL</v>
          </cell>
          <cell r="K86">
            <v>5.7007125890736345E-2</v>
          </cell>
        </row>
        <row r="87">
          <cell r="B87" t="str">
            <v>KHADIM</v>
          </cell>
          <cell r="C87">
            <v>1.5402843601895735</v>
          </cell>
          <cell r="F87" t="str">
            <v>KHADIM</v>
          </cell>
          <cell r="G87">
            <v>3.3870967741935485</v>
          </cell>
          <cell r="J87" t="str">
            <v>KHADIM</v>
          </cell>
          <cell r="K87">
            <v>0.70790816326530615</v>
          </cell>
        </row>
        <row r="88">
          <cell r="B88" t="str">
            <v>LIBERTSHOE</v>
          </cell>
          <cell r="C88">
            <v>0.73796791443850263</v>
          </cell>
          <cell r="F88" t="str">
            <v>LIBERTSHOE</v>
          </cell>
          <cell r="G88">
            <v>6.083333333333333</v>
          </cell>
          <cell r="J88" t="str">
            <v>LIBERTSHOE</v>
          </cell>
          <cell r="K88">
            <v>0.55748373101952275</v>
          </cell>
        </row>
        <row r="89">
          <cell r="B89" t="str">
            <v>LEHAR</v>
          </cell>
          <cell r="C89">
            <v>0.759493670886076</v>
          </cell>
          <cell r="F89" t="str">
            <v>LEHAR</v>
          </cell>
          <cell r="G89">
            <v>3.8</v>
          </cell>
          <cell r="J89" t="str">
            <v>LEHAR</v>
          </cell>
          <cell r="K89">
            <v>0.58695652173913049</v>
          </cell>
        </row>
        <row r="110">
          <cell r="C110" t="str">
            <v>MARGIN_23</v>
          </cell>
          <cell r="D110" t="str">
            <v>CY_MARGIN</v>
          </cell>
          <cell r="H110" t="str">
            <v>TR.DAYS</v>
          </cell>
          <cell r="L110" t="str">
            <v>CUR. RATIO</v>
          </cell>
        </row>
        <row r="111">
          <cell r="B111" t="str">
            <v>METROBRAND</v>
          </cell>
          <cell r="C111">
            <v>0.17160319699106724</v>
          </cell>
          <cell r="D111">
            <v>0.14656144306651633</v>
          </cell>
          <cell r="G111" t="str">
            <v>METROBRAND</v>
          </cell>
          <cell r="H111">
            <v>22.382204983544902</v>
          </cell>
          <cell r="K111" t="str">
            <v>METROBRAND</v>
          </cell>
          <cell r="L111">
            <v>3.0005425834455921</v>
          </cell>
        </row>
        <row r="112">
          <cell r="B112" t="str">
            <v>RELAXO</v>
          </cell>
          <cell r="C112">
            <v>5.533596837944664E-2</v>
          </cell>
          <cell r="D112">
            <v>6.4143977849561606E-2</v>
          </cell>
          <cell r="G112" t="str">
            <v>RELAXO</v>
          </cell>
          <cell r="H112">
            <v>41.803844771828963</v>
          </cell>
          <cell r="K112" t="str">
            <v>RELAXO</v>
          </cell>
          <cell r="L112">
            <v>2.2634516633177046</v>
          </cell>
        </row>
        <row r="113">
          <cell r="B113" t="str">
            <v>BATAINDIA</v>
          </cell>
          <cell r="C113">
            <v>9.3568945538818074E-2</v>
          </cell>
          <cell r="D113">
            <v>7.3880597014925373E-2</v>
          </cell>
          <cell r="G113" t="str">
            <v>BATAINDIA</v>
          </cell>
          <cell r="H113">
            <v>10.573580533024334</v>
          </cell>
          <cell r="K113" t="str">
            <v>BATAINDIA</v>
          </cell>
          <cell r="L113">
            <v>1.7825086306098965</v>
          </cell>
        </row>
        <row r="114">
          <cell r="B114" t="str">
            <v>REDTAPE</v>
          </cell>
          <cell r="C114">
            <v>9.6730245231607628E-2</v>
          </cell>
          <cell r="D114">
            <v>0.10104790419161677</v>
          </cell>
          <cell r="G114" t="str">
            <v>REDTAPE</v>
          </cell>
          <cell r="H114">
            <v>14.918256130790191</v>
          </cell>
          <cell r="K114" t="str">
            <v>REDTAPE</v>
          </cell>
          <cell r="L114">
            <v>1.4219474497681608</v>
          </cell>
        </row>
        <row r="115">
          <cell r="B115" t="str">
            <v>CAMPUS</v>
          </cell>
          <cell r="C115">
            <v>7.8840970350404313E-2</v>
          </cell>
          <cell r="D115">
            <v>5.1660516605166053E-2</v>
          </cell>
          <cell r="G115" t="str">
            <v>CAMPUS</v>
          </cell>
          <cell r="H115">
            <v>34.861927223719682</v>
          </cell>
          <cell r="K115" t="str">
            <v>CAMPUS</v>
          </cell>
          <cell r="L115">
            <v>1.7940936813254649</v>
          </cell>
        </row>
        <row r="116">
          <cell r="B116" t="str">
            <v>SREEL</v>
          </cell>
          <cell r="C116">
            <v>0.13</v>
          </cell>
          <cell r="D116">
            <v>0.13425925925925927</v>
          </cell>
          <cell r="G116" t="str">
            <v>SREEL</v>
          </cell>
          <cell r="H116">
            <v>0.91249999999999998</v>
          </cell>
        </row>
        <row r="117">
          <cell r="B117" t="str">
            <v>KHADIM</v>
          </cell>
          <cell r="C117">
            <v>2.7272727272727271E-2</v>
          </cell>
          <cell r="D117">
            <v>1.5873015873015872E-2</v>
          </cell>
          <cell r="G117" t="str">
            <v>KHADIM</v>
          </cell>
          <cell r="H117">
            <v>106.73484848484848</v>
          </cell>
        </row>
        <row r="118">
          <cell r="B118" t="str">
            <v>LIBERTSHOE</v>
          </cell>
          <cell r="C118">
            <v>1.9877675840978593E-2</v>
          </cell>
          <cell r="D118">
            <v>1.5873015873015872E-2</v>
          </cell>
          <cell r="G118" t="str">
            <v>LIBERTSHOE</v>
          </cell>
          <cell r="H118">
            <v>60.833333333333329</v>
          </cell>
        </row>
        <row r="119">
          <cell r="B119" t="str">
            <v>LEHAR</v>
          </cell>
          <cell r="C119">
            <v>2.4752475247524754E-2</v>
          </cell>
          <cell r="D119">
            <v>1.5873015873015872E-2</v>
          </cell>
          <cell r="G119" t="str">
            <v>LEHAR</v>
          </cell>
          <cell r="H119">
            <v>144.55445544554456</v>
          </cell>
        </row>
        <row r="139">
          <cell r="C139" t="str">
            <v>ROE</v>
          </cell>
          <cell r="D139" t="str">
            <v>ROA</v>
          </cell>
          <cell r="H139" t="str">
            <v>TRAIL_PE</v>
          </cell>
          <cell r="I139" t="str">
            <v>PBV</v>
          </cell>
          <cell r="M139" t="str">
            <v>YIELD</v>
          </cell>
        </row>
        <row r="140">
          <cell r="B140" t="str">
            <v>METROBRAND</v>
          </cell>
          <cell r="C140">
            <v>0.21450651747199662</v>
          </cell>
          <cell r="D140">
            <v>0.11536066801728198</v>
          </cell>
          <cell r="G140" t="str">
            <v>METROBRAND</v>
          </cell>
          <cell r="H140">
            <v>94.879166666666663</v>
          </cell>
          <cell r="I140">
            <v>16.837986176494599</v>
          </cell>
          <cell r="L140" t="str">
            <v>METROBRAND</v>
          </cell>
          <cell r="M140">
            <v>1.0539721575688376E-2</v>
          </cell>
        </row>
        <row r="141">
          <cell r="B141" t="str">
            <v>RELAXO</v>
          </cell>
          <cell r="C141">
            <v>8.1153432684808499E-2</v>
          </cell>
          <cell r="D141">
            <v>5.8698867188095569E-2</v>
          </cell>
          <cell r="G141" t="str">
            <v>RELAXO</v>
          </cell>
          <cell r="H141">
            <v>104.75</v>
          </cell>
          <cell r="I141">
            <v>10.849151898800018</v>
          </cell>
          <cell r="L141" t="str">
            <v>RELAXO</v>
          </cell>
          <cell r="M141">
            <v>9.5465393794749408E-3</v>
          </cell>
        </row>
        <row r="142">
          <cell r="B142" t="str">
            <v>BATAINDIA</v>
          </cell>
          <cell r="C142">
            <v>0.23022095509622237</v>
          </cell>
          <cell r="D142">
            <v>9.9814585908529055E-2</v>
          </cell>
          <cell r="G142" t="str">
            <v>BATAINDIA</v>
          </cell>
          <cell r="H142">
            <v>67.047619047619051</v>
          </cell>
          <cell r="I142">
            <v>12.285207907293797</v>
          </cell>
          <cell r="L142" t="str">
            <v>BATAINDIA</v>
          </cell>
          <cell r="M142">
            <v>1.4914772727272728E-2</v>
          </cell>
        </row>
        <row r="143">
          <cell r="B143" t="str">
            <v>REDTAPE</v>
          </cell>
          <cell r="C143">
            <v>0.27734375</v>
          </cell>
          <cell r="D143">
            <v>9.6010818120351588E-2</v>
          </cell>
          <cell r="G143" t="str">
            <v>REDTAPE</v>
          </cell>
          <cell r="H143">
            <v>75.25</v>
          </cell>
          <cell r="I143">
            <v>15.607407407407408</v>
          </cell>
          <cell r="L143" t="str">
            <v>REDTAPE</v>
          </cell>
          <cell r="M143">
            <v>1.3289036544850499E-2</v>
          </cell>
        </row>
        <row r="144">
          <cell r="B144" t="str">
            <v>CAMPUS</v>
          </cell>
          <cell r="C144">
            <v>0.19749502042469871</v>
          </cell>
          <cell r="D144">
            <v>9.9928256636261148E-2</v>
          </cell>
          <cell r="G144" t="str">
            <v>CAMPUS</v>
          </cell>
          <cell r="H144">
            <v>81.149999999999991</v>
          </cell>
          <cell r="I144">
            <v>9.973532475202342</v>
          </cell>
          <cell r="L144" t="str">
            <v>CAMPUS</v>
          </cell>
          <cell r="M144">
            <v>1.2322858903265559E-2</v>
          </cell>
        </row>
        <row r="145">
          <cell r="B145" t="str">
            <v>SREEL</v>
          </cell>
          <cell r="C145">
            <v>6.9518716577540107E-2</v>
          </cell>
          <cell r="D145">
            <v>6.1757719714964368E-2</v>
          </cell>
          <cell r="G145" t="str">
            <v>SREEL</v>
          </cell>
          <cell r="H145">
            <v>25.462500000000002</v>
          </cell>
          <cell r="I145">
            <v>1.7701889168765741</v>
          </cell>
          <cell r="L145" t="str">
            <v>SREEL</v>
          </cell>
          <cell r="M145">
            <v>3.9273441335297005E-2</v>
          </cell>
        </row>
        <row r="146">
          <cell r="B146" t="str">
            <v>KHADIM</v>
          </cell>
          <cell r="C146">
            <v>8.5308056872037921E-2</v>
          </cell>
          <cell r="D146">
            <v>2.2959183673469389E-2</v>
          </cell>
          <cell r="G146" t="str">
            <v>KHADIM</v>
          </cell>
          <cell r="H146">
            <v>71.39</v>
          </cell>
          <cell r="I146">
            <v>2.8057205240174672</v>
          </cell>
          <cell r="L146" t="str">
            <v>KHADIM</v>
          </cell>
          <cell r="M146">
            <v>1.4007564084605687E-2</v>
          </cell>
        </row>
        <row r="147">
          <cell r="B147" t="str">
            <v>LIBERTSHOE</v>
          </cell>
          <cell r="C147">
            <v>6.9518716577540107E-2</v>
          </cell>
          <cell r="D147">
            <v>2.8199566160520606E-2</v>
          </cell>
          <cell r="G147" t="str">
            <v>LIBERTSHOE</v>
          </cell>
          <cell r="H147">
            <v>94</v>
          </cell>
          <cell r="I147">
            <v>2.35</v>
          </cell>
          <cell r="L147" t="str">
            <v>LIBERTSHOE</v>
          </cell>
          <cell r="M147">
            <v>1.0638297872340425E-2</v>
          </cell>
        </row>
        <row r="148">
          <cell r="B148" t="str">
            <v>LEHAR</v>
          </cell>
          <cell r="C148">
            <v>6.3291139240506333E-2</v>
          </cell>
          <cell r="D148">
            <v>2.1739130434782608E-2</v>
          </cell>
          <cell r="G148" t="str">
            <v>LEHAR</v>
          </cell>
          <cell r="H148">
            <v>26.6</v>
          </cell>
          <cell r="I148">
            <v>2.2400000000000002</v>
          </cell>
          <cell r="L148" t="str">
            <v>LEHAR</v>
          </cell>
          <cell r="M148">
            <v>3.7593984962406013E-2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7ECA-D786-4C84-BF11-AD2CC25BADF7}">
  <sheetPr>
    <outlinePr summaryBelow="0" summaryRight="0"/>
  </sheetPr>
  <dimension ref="A1:AO1143"/>
  <sheetViews>
    <sheetView showGridLines="0" tabSelected="1" workbookViewId="0"/>
  </sheetViews>
  <sheetFormatPr defaultColWidth="14" defaultRowHeight="15" customHeight="1" x14ac:dyDescent="0.3"/>
  <cols>
    <col min="1" max="6" width="14" customWidth="1"/>
    <col min="7" max="7" width="15.44140625" customWidth="1"/>
    <col min="8" max="8" width="16.109375" customWidth="1"/>
    <col min="25" max="25" width="16.5546875" customWidth="1"/>
    <col min="26" max="26" width="17.44140625" customWidth="1"/>
    <col min="27" max="27" width="16.5546875" customWidth="1"/>
    <col min="28" max="28" width="15.5546875" customWidth="1"/>
    <col min="33" max="33" width="16" customWidth="1"/>
  </cols>
  <sheetData>
    <row r="1" spans="2:13" ht="15.75" customHeight="1" x14ac:dyDescent="0.3"/>
    <row r="2" spans="2:13" ht="15.75" customHeigh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ht="15.75" customHeigh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3" ht="15.75" customHeight="1" x14ac:dyDescent="0.3"/>
    <row r="5" spans="2:13" ht="15.75" customHeight="1" x14ac:dyDescent="0.3">
      <c r="B5" s="7" t="s">
        <v>1</v>
      </c>
      <c r="C5" s="7" t="s">
        <v>2</v>
      </c>
      <c r="F5" s="8" t="s">
        <v>3</v>
      </c>
      <c r="G5" s="8" t="s">
        <v>4</v>
      </c>
      <c r="H5" s="8" t="s">
        <v>5</v>
      </c>
      <c r="K5" s="8" t="s">
        <v>6</v>
      </c>
      <c r="L5" s="8" t="s">
        <v>7</v>
      </c>
      <c r="M5" s="8" t="s">
        <v>8</v>
      </c>
    </row>
    <row r="6" spans="2:13" ht="15.75" customHeight="1" x14ac:dyDescent="0.3">
      <c r="B6" s="9" t="s">
        <v>3</v>
      </c>
      <c r="C6" s="9">
        <v>1.9</v>
      </c>
      <c r="F6" s="10" t="s">
        <v>9</v>
      </c>
      <c r="G6" s="10">
        <v>96000</v>
      </c>
      <c r="K6" s="10" t="s">
        <v>10</v>
      </c>
      <c r="L6" s="11">
        <v>0.69</v>
      </c>
      <c r="M6" s="12">
        <v>0.31</v>
      </c>
    </row>
    <row r="7" spans="2:13" ht="15.75" customHeight="1" thickBot="1" x14ac:dyDescent="0.35">
      <c r="B7" s="9" t="s">
        <v>11</v>
      </c>
      <c r="C7" s="9">
        <v>3.2</v>
      </c>
      <c r="F7" s="10" t="s">
        <v>12</v>
      </c>
      <c r="G7" s="10">
        <v>66000</v>
      </c>
      <c r="K7" s="13" t="s">
        <v>13</v>
      </c>
      <c r="L7" s="14">
        <v>0.62</v>
      </c>
      <c r="M7" s="15">
        <v>0.38</v>
      </c>
    </row>
    <row r="8" spans="2:13" ht="15.75" customHeight="1" thickTop="1" thickBot="1" x14ac:dyDescent="0.35">
      <c r="B8" s="16" t="s">
        <v>14</v>
      </c>
      <c r="C8" s="16">
        <v>6.5</v>
      </c>
      <c r="F8" s="10" t="s">
        <v>15</v>
      </c>
      <c r="G8" s="10">
        <v>93000</v>
      </c>
    </row>
    <row r="9" spans="2:13" ht="15.75" customHeight="1" thickTop="1" thickBot="1" x14ac:dyDescent="0.35">
      <c r="F9" s="13" t="s">
        <v>16</v>
      </c>
      <c r="G9" s="13">
        <v>141500</v>
      </c>
      <c r="H9" s="15">
        <f>(G9/G8)^(1/3)-1</f>
        <v>0.15015886308022086</v>
      </c>
    </row>
    <row r="10" spans="2:13" ht="15.75" customHeight="1" thickTop="1" x14ac:dyDescent="0.3"/>
    <row r="11" spans="2:13" ht="15.75" customHeight="1" x14ac:dyDescent="0.3"/>
    <row r="12" spans="2:13" ht="15.75" customHeight="1" x14ac:dyDescent="0.3"/>
    <row r="13" spans="2:13" ht="15.75" customHeight="1" x14ac:dyDescent="0.3"/>
    <row r="14" spans="2:13" ht="15.75" customHeight="1" x14ac:dyDescent="0.3"/>
    <row r="15" spans="2:13" ht="15.75" customHeight="1" x14ac:dyDescent="0.3"/>
    <row r="16" spans="2:13" ht="15.75" customHeight="1" x14ac:dyDescent="0.3"/>
    <row r="17" spans="1:11" ht="15.75" customHeight="1" x14ac:dyDescent="0.3"/>
    <row r="18" spans="1:11" ht="15.75" customHeight="1" x14ac:dyDescent="0.3"/>
    <row r="19" spans="1:11" ht="15.75" customHeight="1" x14ac:dyDescent="0.3"/>
    <row r="20" spans="1:11" ht="15.75" customHeight="1" x14ac:dyDescent="0.3">
      <c r="A20" s="17" t="s">
        <v>17</v>
      </c>
      <c r="B20" s="7" t="s">
        <v>18</v>
      </c>
      <c r="C20" s="7" t="s">
        <v>19</v>
      </c>
      <c r="F20" s="7" t="s">
        <v>18</v>
      </c>
      <c r="G20" s="7" t="s">
        <v>20</v>
      </c>
      <c r="J20" s="7" t="s">
        <v>18</v>
      </c>
      <c r="K20" s="7" t="s">
        <v>21</v>
      </c>
    </row>
    <row r="21" spans="1:11" ht="15.75" customHeight="1" x14ac:dyDescent="0.3">
      <c r="B21" s="18" t="s">
        <v>22</v>
      </c>
      <c r="C21" s="19">
        <v>30670.647120000001</v>
      </c>
      <c r="F21" s="18" t="s">
        <v>22</v>
      </c>
      <c r="G21" s="20">
        <v>2127</v>
      </c>
      <c r="J21" s="18" t="s">
        <v>22</v>
      </c>
      <c r="K21" s="20">
        <v>365</v>
      </c>
    </row>
    <row r="22" spans="1:11" ht="15.75" customHeight="1" x14ac:dyDescent="0.3">
      <c r="B22" s="18" t="s">
        <v>23</v>
      </c>
      <c r="C22" s="19">
        <v>20874.737613599998</v>
      </c>
      <c r="F22" s="18" t="s">
        <v>23</v>
      </c>
      <c r="G22" s="20">
        <v>2783</v>
      </c>
      <c r="J22" s="18" t="s">
        <v>23</v>
      </c>
      <c r="K22" s="20">
        <v>154</v>
      </c>
    </row>
    <row r="23" spans="1:11" ht="15.75" customHeight="1" x14ac:dyDescent="0.3">
      <c r="B23" s="18" t="s">
        <v>24</v>
      </c>
      <c r="C23" s="19">
        <v>18100.44544</v>
      </c>
      <c r="F23" s="18" t="s">
        <v>24</v>
      </c>
      <c r="G23" s="20">
        <v>3452</v>
      </c>
      <c r="J23" s="18" t="s">
        <v>24</v>
      </c>
      <c r="K23" s="20">
        <v>323</v>
      </c>
    </row>
    <row r="24" spans="1:11" ht="15.75" customHeight="1" x14ac:dyDescent="0.3">
      <c r="B24" s="18" t="s">
        <v>25</v>
      </c>
      <c r="C24" s="19">
        <v>8313.1624800000009</v>
      </c>
      <c r="F24" s="18" t="s">
        <v>25</v>
      </c>
      <c r="G24" s="20">
        <v>1468</v>
      </c>
      <c r="J24" s="18" t="s">
        <v>25</v>
      </c>
      <c r="K24" s="20">
        <v>142</v>
      </c>
    </row>
    <row r="25" spans="1:11" ht="15.75" customHeight="1" x14ac:dyDescent="0.3">
      <c r="B25" s="18" t="s">
        <v>26</v>
      </c>
      <c r="C25" s="19">
        <v>7431.4499232999997</v>
      </c>
      <c r="F25" s="18" t="s">
        <v>26</v>
      </c>
      <c r="G25" s="20">
        <v>1484</v>
      </c>
      <c r="J25" s="18" t="s">
        <v>26</v>
      </c>
      <c r="K25" s="20">
        <v>117</v>
      </c>
    </row>
    <row r="26" spans="1:11" ht="15.75" customHeight="1" x14ac:dyDescent="0.3">
      <c r="B26" s="18" t="s">
        <v>27</v>
      </c>
      <c r="C26" s="19">
        <v>710.85880699999996</v>
      </c>
      <c r="F26" s="18" t="s">
        <v>27</v>
      </c>
      <c r="G26" s="20">
        <v>200</v>
      </c>
      <c r="J26" s="18" t="s">
        <v>27</v>
      </c>
      <c r="K26" s="20">
        <v>26</v>
      </c>
    </row>
    <row r="27" spans="1:11" ht="15.75" customHeight="1" x14ac:dyDescent="0.3">
      <c r="B27" s="18" t="s">
        <v>28</v>
      </c>
      <c r="C27" s="19">
        <v>646.90596000000005</v>
      </c>
      <c r="F27" s="18" t="s">
        <v>28</v>
      </c>
      <c r="G27" s="20">
        <v>660</v>
      </c>
      <c r="J27" s="18" t="s">
        <v>28</v>
      </c>
      <c r="K27" s="20">
        <v>18</v>
      </c>
    </row>
    <row r="28" spans="1:11" ht="15.75" customHeight="1" x14ac:dyDescent="0.3">
      <c r="B28" s="18" t="s">
        <v>29</v>
      </c>
      <c r="C28" s="19">
        <v>478.24351799999999</v>
      </c>
      <c r="F28" s="18" t="s">
        <v>29</v>
      </c>
      <c r="G28" s="20">
        <v>654</v>
      </c>
      <c r="J28" s="18" t="s">
        <v>29</v>
      </c>
      <c r="K28" s="20">
        <v>13</v>
      </c>
    </row>
    <row r="29" spans="1:11" ht="15.75" customHeight="1" thickBot="1" x14ac:dyDescent="0.35">
      <c r="B29" s="21" t="s">
        <v>30</v>
      </c>
      <c r="C29" s="22">
        <v>223.656657</v>
      </c>
      <c r="F29" s="21" t="s">
        <v>30</v>
      </c>
      <c r="G29" s="23">
        <v>202</v>
      </c>
      <c r="J29" s="21" t="s">
        <v>30</v>
      </c>
      <c r="K29" s="23">
        <v>5</v>
      </c>
    </row>
    <row r="30" spans="1:11" ht="15.75" customHeight="1" thickTop="1" thickBot="1" x14ac:dyDescent="0.35">
      <c r="B30" s="24"/>
      <c r="C30" s="24"/>
      <c r="F30" s="24"/>
      <c r="G30" s="24"/>
      <c r="J30" s="24"/>
      <c r="K30" s="24"/>
    </row>
    <row r="31" spans="1:11" ht="15.75" customHeight="1" thickTop="1" x14ac:dyDescent="0.3">
      <c r="B31" s="25" t="s">
        <v>31</v>
      </c>
      <c r="C31" s="26">
        <v>87450.107518899997</v>
      </c>
      <c r="F31" s="27" t="s">
        <v>31</v>
      </c>
      <c r="G31" s="28">
        <v>13030</v>
      </c>
      <c r="J31" s="27" t="s">
        <v>31</v>
      </c>
      <c r="K31" s="28">
        <v>1163</v>
      </c>
    </row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pans="1:8" ht="15.75" customHeight="1" x14ac:dyDescent="0.3">
      <c r="A49" s="7" t="s">
        <v>5</v>
      </c>
      <c r="B49" s="8" t="s">
        <v>18</v>
      </c>
      <c r="C49" s="8" t="s">
        <v>32</v>
      </c>
      <c r="F49" s="7" t="s">
        <v>18</v>
      </c>
      <c r="G49" s="7" t="s">
        <v>33</v>
      </c>
      <c r="H49" s="7" t="s">
        <v>34</v>
      </c>
    </row>
    <row r="50" spans="1:8" ht="15.75" customHeight="1" x14ac:dyDescent="0.3">
      <c r="B50" s="18" t="s">
        <v>22</v>
      </c>
      <c r="C50" s="29">
        <v>0.14410939094906117</v>
      </c>
      <c r="F50" s="18" t="s">
        <v>22</v>
      </c>
      <c r="G50" s="29">
        <v>0.12065698041692996</v>
      </c>
      <c r="H50" s="29">
        <v>-0.12457912457912457</v>
      </c>
    </row>
    <row r="51" spans="1:8" ht="15.75" customHeight="1" x14ac:dyDescent="0.3">
      <c r="B51" s="18" t="s">
        <v>23</v>
      </c>
      <c r="C51" s="29">
        <v>7.2196399677454171E-2</v>
      </c>
      <c r="F51" s="18" t="s">
        <v>23</v>
      </c>
      <c r="G51" s="29">
        <v>7.3835480673934528E-2</v>
      </c>
      <c r="H51" s="29">
        <v>0.52747252747252737</v>
      </c>
    </row>
    <row r="52" spans="1:8" ht="15.75" customHeight="1" x14ac:dyDescent="0.3">
      <c r="B52" s="18" t="s">
        <v>24</v>
      </c>
      <c r="C52" s="29">
        <v>5.5019476590912442E-2</v>
      </c>
      <c r="F52" s="18" t="s">
        <v>24</v>
      </c>
      <c r="G52" s="29">
        <v>2.6187803965582734E-3</v>
      </c>
      <c r="H52" s="29">
        <v>-0.22957198443579763</v>
      </c>
    </row>
    <row r="53" spans="1:8" ht="15.75" customHeight="1" x14ac:dyDescent="0.3">
      <c r="B53" s="18" t="s">
        <v>25</v>
      </c>
      <c r="C53" s="30"/>
      <c r="F53" s="18" t="s">
        <v>25</v>
      </c>
      <c r="G53" s="29">
        <v>0.22681359044995419</v>
      </c>
      <c r="H53" s="29">
        <v>0.25</v>
      </c>
    </row>
    <row r="54" spans="1:8" ht="15.75" customHeight="1" x14ac:dyDescent="0.3">
      <c r="B54" s="18" t="s">
        <v>26</v>
      </c>
      <c r="C54" s="29">
        <v>0.29339151891355919</v>
      </c>
      <c r="F54" s="18" t="s">
        <v>26</v>
      </c>
      <c r="G54" s="29">
        <v>-4.5774647887323994E-2</v>
      </c>
      <c r="H54" s="29">
        <v>-0.4042553191489362</v>
      </c>
    </row>
    <row r="55" spans="1:8" ht="15.75" customHeight="1" x14ac:dyDescent="0.3">
      <c r="B55" s="18" t="s">
        <v>27</v>
      </c>
      <c r="C55" s="29">
        <v>7.2413263368977798E-2</v>
      </c>
      <c r="F55" s="18" t="s">
        <v>27</v>
      </c>
      <c r="G55" s="29">
        <v>8.0000000000000071E-2</v>
      </c>
      <c r="H55" s="29">
        <v>0.11538461538461542</v>
      </c>
    </row>
    <row r="56" spans="1:8" ht="15.75" customHeight="1" x14ac:dyDescent="0.3">
      <c r="B56" s="18" t="s">
        <v>28</v>
      </c>
      <c r="C56" s="29">
        <v>-2.498247101461315E-2</v>
      </c>
      <c r="F56" s="18" t="s">
        <v>28</v>
      </c>
      <c r="G56" s="29">
        <v>-4.5454545454545414E-2</v>
      </c>
      <c r="H56" s="29">
        <v>-0.44444444444444442</v>
      </c>
    </row>
    <row r="57" spans="1:8" ht="15.75" customHeight="1" x14ac:dyDescent="0.3">
      <c r="B57" s="18" t="s">
        <v>29</v>
      </c>
      <c r="C57" s="29">
        <v>3.6757106943644535E-2</v>
      </c>
      <c r="F57" s="18" t="s">
        <v>29</v>
      </c>
      <c r="G57" s="29">
        <v>-3.2110091743119296E-2</v>
      </c>
      <c r="H57" s="29">
        <v>9.4786729857819912E-3</v>
      </c>
    </row>
    <row r="58" spans="1:8" ht="15.75" customHeight="1" thickBot="1" x14ac:dyDescent="0.35">
      <c r="B58" s="21" t="s">
        <v>30</v>
      </c>
      <c r="C58" s="31">
        <v>0.21915246532175248</v>
      </c>
      <c r="F58" s="21" t="s">
        <v>30</v>
      </c>
      <c r="G58" s="31">
        <v>1.980198019801982E-2</v>
      </c>
      <c r="H58" s="31">
        <v>3.3980582524271843E-2</v>
      </c>
    </row>
    <row r="59" spans="1:8" ht="15.75" customHeight="1" thickTop="1" thickBot="1" x14ac:dyDescent="0.35">
      <c r="B59" s="32"/>
      <c r="C59" s="32"/>
      <c r="F59" s="32"/>
      <c r="G59" s="33"/>
      <c r="H59" s="33"/>
    </row>
    <row r="60" spans="1:8" ht="15.75" customHeight="1" thickTop="1" x14ac:dyDescent="0.3">
      <c r="B60" s="34" t="s">
        <v>31</v>
      </c>
      <c r="C60" s="35">
        <v>0.113526453349579</v>
      </c>
      <c r="F60" s="34" t="s">
        <v>31</v>
      </c>
      <c r="G60" s="35">
        <v>6.3772208495117111E-2</v>
      </c>
      <c r="H60" s="35">
        <v>-6.965761511216062E-2</v>
      </c>
    </row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spans="1:11" ht="15.75" customHeight="1" x14ac:dyDescent="0.3"/>
    <row r="66" spans="1:11" ht="15.75" customHeight="1" x14ac:dyDescent="0.3"/>
    <row r="67" spans="1:11" ht="15.75" customHeight="1" x14ac:dyDescent="0.3"/>
    <row r="68" spans="1:11" ht="15.75" customHeight="1" x14ac:dyDescent="0.3"/>
    <row r="69" spans="1:11" ht="15.75" customHeight="1" x14ac:dyDescent="0.3"/>
    <row r="70" spans="1:11" ht="15.75" customHeight="1" x14ac:dyDescent="0.3"/>
    <row r="71" spans="1:11" ht="15.75" customHeight="1" x14ac:dyDescent="0.3"/>
    <row r="72" spans="1:11" ht="15.75" customHeight="1" x14ac:dyDescent="0.3"/>
    <row r="73" spans="1:11" ht="15.75" customHeight="1" x14ac:dyDescent="0.3"/>
    <row r="74" spans="1:11" ht="15.75" customHeight="1" x14ac:dyDescent="0.3"/>
    <row r="75" spans="1:11" ht="15.75" customHeight="1" x14ac:dyDescent="0.3"/>
    <row r="76" spans="1:11" ht="15.75" customHeight="1" x14ac:dyDescent="0.3"/>
    <row r="77" spans="1:11" ht="15.75" customHeight="1" x14ac:dyDescent="0.3"/>
    <row r="78" spans="1:11" ht="15.75" customHeight="1" x14ac:dyDescent="0.3"/>
    <row r="79" spans="1:11" ht="15.75" customHeight="1" x14ac:dyDescent="0.3">
      <c r="A79" s="17" t="s">
        <v>35</v>
      </c>
    </row>
    <row r="80" spans="1:11" ht="15.75" customHeight="1" x14ac:dyDescent="0.3">
      <c r="B80" s="7" t="s">
        <v>18</v>
      </c>
      <c r="C80" s="7" t="s">
        <v>36</v>
      </c>
      <c r="F80" s="7" t="s">
        <v>18</v>
      </c>
      <c r="G80" s="7" t="s">
        <v>37</v>
      </c>
      <c r="J80" s="7" t="s">
        <v>18</v>
      </c>
      <c r="K80" s="7" t="s">
        <v>38</v>
      </c>
    </row>
    <row r="81" spans="2:11" ht="15.75" customHeight="1" x14ac:dyDescent="0.3">
      <c r="B81" s="18" t="s">
        <v>22</v>
      </c>
      <c r="C81" s="36">
        <v>0.62295043430223673</v>
      </c>
      <c r="F81" s="18" t="s">
        <v>22</v>
      </c>
      <c r="G81" s="19">
        <v>7.9047619047619051</v>
      </c>
      <c r="J81" s="18" t="s">
        <v>22</v>
      </c>
      <c r="K81" s="36">
        <v>0.46220436853466673</v>
      </c>
    </row>
    <row r="82" spans="2:11" ht="15.75" customHeight="1" x14ac:dyDescent="0.3">
      <c r="B82" s="18" t="s">
        <v>23</v>
      </c>
      <c r="C82" s="36">
        <v>0.11856832697455787</v>
      </c>
      <c r="F82" s="18" t="s">
        <v>23</v>
      </c>
      <c r="G82" s="19">
        <v>11.105263157894736</v>
      </c>
      <c r="J82" s="18" t="s">
        <v>23</v>
      </c>
      <c r="K82" s="36">
        <v>0.27669273811157358</v>
      </c>
    </row>
    <row r="83" spans="2:11" ht="15.75" customHeight="1" x14ac:dyDescent="0.3">
      <c r="B83" s="18" t="s">
        <v>24</v>
      </c>
      <c r="C83" s="36">
        <v>0.90021382751247325</v>
      </c>
      <c r="F83" s="18" t="s">
        <v>24</v>
      </c>
      <c r="G83" s="19">
        <v>4.6296296296296298</v>
      </c>
      <c r="J83" s="18" t="s">
        <v>24</v>
      </c>
      <c r="K83" s="36">
        <v>0.5664400494437577</v>
      </c>
    </row>
    <row r="84" spans="2:11" ht="15.75" customHeight="1" x14ac:dyDescent="0.3">
      <c r="B84" s="18" t="s">
        <v>25</v>
      </c>
      <c r="C84" s="36">
        <v>0.919921875</v>
      </c>
      <c r="F84" s="18" t="s">
        <v>25</v>
      </c>
      <c r="G84" s="19">
        <v>11.764705882352942</v>
      </c>
      <c r="J84" s="18" t="s">
        <v>25</v>
      </c>
      <c r="K84" s="36">
        <v>0.62474645030425968</v>
      </c>
    </row>
    <row r="85" spans="2:11" ht="15.75" customHeight="1" x14ac:dyDescent="0.3">
      <c r="B85" s="18" t="s">
        <v>26</v>
      </c>
      <c r="C85" s="36">
        <v>0.55197326221261944</v>
      </c>
      <c r="F85" s="18" t="s">
        <v>26</v>
      </c>
      <c r="G85" s="19">
        <v>6.3103448275862073</v>
      </c>
      <c r="J85" s="18" t="s">
        <v>26</v>
      </c>
      <c r="K85" s="36">
        <v>0.49402138635509546</v>
      </c>
    </row>
    <row r="86" spans="2:11" ht="15.75" customHeight="1" x14ac:dyDescent="0.3">
      <c r="B86" s="18" t="s">
        <v>27</v>
      </c>
      <c r="C86" s="36">
        <v>0</v>
      </c>
      <c r="F86" s="18" t="s">
        <v>27</v>
      </c>
      <c r="G86" s="19">
        <v>37</v>
      </c>
      <c r="J86" s="18" t="s">
        <v>27</v>
      </c>
      <c r="K86" s="36">
        <v>5.7007125890736345E-2</v>
      </c>
    </row>
    <row r="87" spans="2:11" ht="15.75" customHeight="1" x14ac:dyDescent="0.3">
      <c r="B87" s="18" t="s">
        <v>28</v>
      </c>
      <c r="C87" s="36">
        <v>1.5402843601895735</v>
      </c>
      <c r="F87" s="18" t="s">
        <v>28</v>
      </c>
      <c r="G87" s="19">
        <v>3.3870967741935485</v>
      </c>
      <c r="J87" s="18" t="s">
        <v>28</v>
      </c>
      <c r="K87" s="36">
        <v>0.70790816326530615</v>
      </c>
    </row>
    <row r="88" spans="2:11" ht="15.75" customHeight="1" x14ac:dyDescent="0.3">
      <c r="B88" s="18" t="s">
        <v>29</v>
      </c>
      <c r="C88" s="36">
        <v>0.73796791443850263</v>
      </c>
      <c r="F88" s="18" t="s">
        <v>29</v>
      </c>
      <c r="G88" s="19">
        <v>6.083333333333333</v>
      </c>
      <c r="J88" s="18" t="s">
        <v>29</v>
      </c>
      <c r="K88" s="36">
        <v>0.55748373101952275</v>
      </c>
    </row>
    <row r="89" spans="2:11" ht="15.75" customHeight="1" thickBot="1" x14ac:dyDescent="0.35">
      <c r="B89" s="21" t="s">
        <v>30</v>
      </c>
      <c r="C89" s="37">
        <v>0.759493670886076</v>
      </c>
      <c r="F89" s="21" t="s">
        <v>30</v>
      </c>
      <c r="G89" s="22">
        <v>3.8</v>
      </c>
      <c r="J89" s="21" t="s">
        <v>30</v>
      </c>
      <c r="K89" s="37">
        <v>0.58695652173913049</v>
      </c>
    </row>
    <row r="90" spans="2:11" ht="15.75" customHeight="1" thickTop="1" thickBot="1" x14ac:dyDescent="0.35">
      <c r="B90" s="24"/>
      <c r="C90" s="24"/>
      <c r="F90" s="24"/>
      <c r="G90" s="24"/>
      <c r="J90" s="24"/>
      <c r="K90" s="24"/>
    </row>
    <row r="91" spans="2:11" ht="15.75" customHeight="1" thickTop="1" x14ac:dyDescent="0.3">
      <c r="B91" s="27" t="s">
        <v>31</v>
      </c>
      <c r="C91" s="38">
        <v>0.55607936024284099</v>
      </c>
      <c r="F91" s="27" t="s">
        <v>31</v>
      </c>
      <c r="G91" s="39">
        <v>6.4070175438596495</v>
      </c>
      <c r="J91" s="27" t="s">
        <v>31</v>
      </c>
      <c r="K91" s="38">
        <v>0.47863242194380146</v>
      </c>
    </row>
    <row r="92" spans="2:11" ht="15.75" customHeight="1" x14ac:dyDescent="0.3"/>
    <row r="93" spans="2:11" ht="15.75" customHeight="1" x14ac:dyDescent="0.3"/>
    <row r="94" spans="2:11" ht="15.75" customHeight="1" x14ac:dyDescent="0.3"/>
    <row r="95" spans="2:11" ht="15.75" customHeight="1" x14ac:dyDescent="0.3"/>
    <row r="96" spans="2:11" ht="15.75" customHeight="1" x14ac:dyDescent="0.3"/>
    <row r="97" spans="1:12" ht="15.75" customHeight="1" x14ac:dyDescent="0.3"/>
    <row r="98" spans="1:12" ht="15.75" customHeight="1" x14ac:dyDescent="0.3"/>
    <row r="99" spans="1:12" ht="15.75" customHeight="1" x14ac:dyDescent="0.3"/>
    <row r="100" spans="1:12" ht="15.75" customHeight="1" x14ac:dyDescent="0.3"/>
    <row r="101" spans="1:12" ht="15.75" customHeight="1" x14ac:dyDescent="0.3"/>
    <row r="102" spans="1:12" ht="15.75" customHeight="1" x14ac:dyDescent="0.3"/>
    <row r="103" spans="1:12" ht="15.75" customHeight="1" x14ac:dyDescent="0.3"/>
    <row r="104" spans="1:12" ht="15.75" customHeight="1" x14ac:dyDescent="0.3"/>
    <row r="105" spans="1:12" ht="15.75" customHeight="1" x14ac:dyDescent="0.3"/>
    <row r="106" spans="1:12" ht="15.75" customHeight="1" x14ac:dyDescent="0.3"/>
    <row r="107" spans="1:12" ht="15.75" customHeight="1" x14ac:dyDescent="0.3"/>
    <row r="108" spans="1:12" ht="15.75" customHeight="1" x14ac:dyDescent="0.3"/>
    <row r="109" spans="1:12" ht="15.75" customHeight="1" x14ac:dyDescent="0.3">
      <c r="A109" s="17" t="s">
        <v>39</v>
      </c>
    </row>
    <row r="110" spans="1:12" ht="15.75" customHeight="1" x14ac:dyDescent="0.3">
      <c r="B110" s="7" t="s">
        <v>18</v>
      </c>
      <c r="C110" s="7" t="s">
        <v>40</v>
      </c>
      <c r="D110" s="7" t="s">
        <v>41</v>
      </c>
      <c r="G110" s="7" t="s">
        <v>18</v>
      </c>
      <c r="H110" s="7" t="s">
        <v>42</v>
      </c>
      <c r="K110" s="7" t="s">
        <v>18</v>
      </c>
      <c r="L110" s="40" t="s">
        <v>43</v>
      </c>
    </row>
    <row r="111" spans="1:12" ht="15.75" customHeight="1" x14ac:dyDescent="0.3">
      <c r="B111" s="18" t="s">
        <v>22</v>
      </c>
      <c r="C111" s="41">
        <v>0.17160319699106724</v>
      </c>
      <c r="D111" s="41">
        <v>0.14656144306651633</v>
      </c>
      <c r="G111" s="18" t="s">
        <v>22</v>
      </c>
      <c r="H111" s="19">
        <v>22.382204983544902</v>
      </c>
      <c r="K111" s="18" t="s">
        <v>22</v>
      </c>
      <c r="L111" s="36">
        <v>3.0005425834455921</v>
      </c>
    </row>
    <row r="112" spans="1:12" ht="15.75" customHeight="1" x14ac:dyDescent="0.3">
      <c r="B112" s="18" t="s">
        <v>23</v>
      </c>
      <c r="C112" s="41">
        <v>5.533596837944664E-2</v>
      </c>
      <c r="D112" s="41">
        <v>6.4143977849561606E-2</v>
      </c>
      <c r="G112" s="18" t="s">
        <v>23</v>
      </c>
      <c r="H112" s="19">
        <v>41.803844771828963</v>
      </c>
      <c r="K112" s="18" t="s">
        <v>23</v>
      </c>
      <c r="L112" s="36">
        <v>2.2634516633177046</v>
      </c>
    </row>
    <row r="113" spans="2:12" ht="15.75" customHeight="1" x14ac:dyDescent="0.3">
      <c r="B113" s="18" t="s">
        <v>24</v>
      </c>
      <c r="C113" s="41">
        <v>9.3568945538818074E-2</v>
      </c>
      <c r="D113" s="41">
        <v>7.3880597014925373E-2</v>
      </c>
      <c r="G113" s="18" t="s">
        <v>24</v>
      </c>
      <c r="H113" s="19">
        <v>10.573580533024334</v>
      </c>
      <c r="K113" s="18" t="s">
        <v>24</v>
      </c>
      <c r="L113" s="36">
        <v>1.7825086306098965</v>
      </c>
    </row>
    <row r="114" spans="2:12" ht="15.75" customHeight="1" x14ac:dyDescent="0.3">
      <c r="B114" s="18" t="s">
        <v>25</v>
      </c>
      <c r="C114" s="41">
        <v>9.6730245231607628E-2</v>
      </c>
      <c r="D114" s="41">
        <v>0.10104790419161677</v>
      </c>
      <c r="G114" s="18" t="s">
        <v>25</v>
      </c>
      <c r="H114" s="19">
        <v>14.918256130790191</v>
      </c>
      <c r="K114" s="18" t="s">
        <v>25</v>
      </c>
      <c r="L114" s="36">
        <v>1.4219474497681608</v>
      </c>
    </row>
    <row r="115" spans="2:12" ht="15.75" customHeight="1" thickBot="1" x14ac:dyDescent="0.35">
      <c r="B115" s="18" t="s">
        <v>26</v>
      </c>
      <c r="C115" s="41">
        <v>7.8840970350404313E-2</v>
      </c>
      <c r="D115" s="41">
        <v>5.1660516605166053E-2</v>
      </c>
      <c r="G115" s="18" t="s">
        <v>26</v>
      </c>
      <c r="H115" s="19">
        <v>34.861927223719682</v>
      </c>
      <c r="K115" s="21" t="s">
        <v>26</v>
      </c>
      <c r="L115" s="37">
        <v>1.7940936813254649</v>
      </c>
    </row>
    <row r="116" spans="2:12" ht="15.75" customHeight="1" thickTop="1" x14ac:dyDescent="0.3">
      <c r="B116" s="18" t="s">
        <v>27</v>
      </c>
      <c r="C116" s="41">
        <v>0.13</v>
      </c>
      <c r="D116" s="41">
        <v>0.13425925925925927</v>
      </c>
      <c r="G116" s="18" t="s">
        <v>27</v>
      </c>
      <c r="H116" s="19">
        <v>0.91249999999999998</v>
      </c>
    </row>
    <row r="117" spans="2:12" ht="15.75" customHeight="1" x14ac:dyDescent="0.3">
      <c r="B117" s="18" t="s">
        <v>28</v>
      </c>
      <c r="C117" s="41">
        <v>2.7272727272727271E-2</v>
      </c>
      <c r="D117" s="41">
        <v>1.5873015873015872E-2</v>
      </c>
      <c r="G117" s="18" t="s">
        <v>28</v>
      </c>
      <c r="H117" s="19">
        <v>106.73484848484848</v>
      </c>
    </row>
    <row r="118" spans="2:12" ht="15.75" customHeight="1" x14ac:dyDescent="0.3">
      <c r="B118" s="18" t="s">
        <v>29</v>
      </c>
      <c r="C118" s="41">
        <v>1.9877675840978593E-2</v>
      </c>
      <c r="D118" s="41">
        <v>1.5873015873015872E-2</v>
      </c>
      <c r="G118" s="18" t="s">
        <v>29</v>
      </c>
      <c r="H118" s="19">
        <v>60.833333333333329</v>
      </c>
    </row>
    <row r="119" spans="2:12" ht="15.75" customHeight="1" thickBot="1" x14ac:dyDescent="0.35">
      <c r="B119" s="21" t="s">
        <v>30</v>
      </c>
      <c r="C119" s="42">
        <v>2.4752475247524754E-2</v>
      </c>
      <c r="D119" s="42">
        <v>1.5873015873015872E-2</v>
      </c>
      <c r="G119" s="21" t="s">
        <v>30</v>
      </c>
      <c r="H119" s="22">
        <v>144.55445544554456</v>
      </c>
    </row>
    <row r="120" spans="2:12" ht="15.75" customHeight="1" thickTop="1" thickBot="1" x14ac:dyDescent="0.35">
      <c r="B120" s="24"/>
      <c r="C120" s="43"/>
      <c r="D120" s="43"/>
      <c r="G120" s="24"/>
      <c r="H120" s="24"/>
    </row>
    <row r="121" spans="2:12" ht="15.75" customHeight="1" thickTop="1" x14ac:dyDescent="0.3">
      <c r="B121" s="44" t="s">
        <v>31</v>
      </c>
      <c r="C121" s="45">
        <v>7.8840970350404313E-2</v>
      </c>
      <c r="D121" s="45">
        <v>6.4143977849561606E-2</v>
      </c>
      <c r="G121" s="27" t="s">
        <v>31</v>
      </c>
      <c r="H121" s="46">
        <v>31.749397544128936</v>
      </c>
      <c r="K121" s="27" t="s">
        <v>31</v>
      </c>
      <c r="L121" s="47">
        <v>2.0099999999999998</v>
      </c>
    </row>
    <row r="122" spans="2:12" ht="15.75" customHeight="1" x14ac:dyDescent="0.3"/>
    <row r="123" spans="2:12" ht="15.75" customHeight="1" x14ac:dyDescent="0.3"/>
    <row r="124" spans="2:12" ht="15.75" customHeight="1" x14ac:dyDescent="0.3"/>
    <row r="125" spans="2:12" ht="15.75" customHeight="1" x14ac:dyDescent="0.3"/>
    <row r="126" spans="2:12" ht="15.75" customHeight="1" x14ac:dyDescent="0.3"/>
    <row r="127" spans="2:12" ht="15.75" customHeight="1" x14ac:dyDescent="0.3"/>
    <row r="128" spans="2:12" ht="15.75" customHeight="1" x14ac:dyDescent="0.3"/>
    <row r="129" spans="1:13" ht="15.75" customHeight="1" x14ac:dyDescent="0.3"/>
    <row r="130" spans="1:13" ht="15.75" customHeight="1" x14ac:dyDescent="0.3"/>
    <row r="131" spans="1:13" ht="15.75" customHeight="1" x14ac:dyDescent="0.3"/>
    <row r="132" spans="1:13" ht="15.75" customHeight="1" x14ac:dyDescent="0.3"/>
    <row r="133" spans="1:13" ht="15.75" customHeight="1" x14ac:dyDescent="0.3"/>
    <row r="134" spans="1:13" ht="15.75" customHeight="1" x14ac:dyDescent="0.3"/>
    <row r="135" spans="1:13" ht="15.75" customHeight="1" x14ac:dyDescent="0.3"/>
    <row r="136" spans="1:13" ht="15.75" customHeight="1" x14ac:dyDescent="0.3"/>
    <row r="137" spans="1:13" ht="15.75" customHeight="1" x14ac:dyDescent="0.3"/>
    <row r="138" spans="1:13" ht="15.75" customHeight="1" x14ac:dyDescent="0.3"/>
    <row r="139" spans="1:13" ht="15.75" customHeight="1" x14ac:dyDescent="0.3">
      <c r="A139" s="48" t="s">
        <v>44</v>
      </c>
      <c r="B139" s="7" t="s">
        <v>18</v>
      </c>
      <c r="C139" s="7" t="s">
        <v>45</v>
      </c>
      <c r="D139" s="7" t="s">
        <v>46</v>
      </c>
      <c r="F139" s="7" t="s">
        <v>47</v>
      </c>
      <c r="G139" s="7" t="s">
        <v>18</v>
      </c>
      <c r="H139" s="7" t="s">
        <v>48</v>
      </c>
      <c r="I139" s="7" t="s">
        <v>49</v>
      </c>
      <c r="L139" s="7" t="s">
        <v>18</v>
      </c>
      <c r="M139" s="7" t="s">
        <v>50</v>
      </c>
    </row>
    <row r="140" spans="1:13" ht="15.75" customHeight="1" x14ac:dyDescent="0.3">
      <c r="B140" s="18" t="s">
        <v>22</v>
      </c>
      <c r="C140" s="41">
        <v>0.21450651747199662</v>
      </c>
      <c r="D140" s="41">
        <v>0.11536066801728198</v>
      </c>
      <c r="G140" s="18" t="s">
        <v>22</v>
      </c>
      <c r="H140" s="19">
        <v>94.879166666666663</v>
      </c>
      <c r="I140" s="19">
        <v>16.837986176494599</v>
      </c>
      <c r="L140" s="18" t="s">
        <v>22</v>
      </c>
      <c r="M140" s="41">
        <v>1.0539721575688376E-2</v>
      </c>
    </row>
    <row r="141" spans="1:13" ht="15.75" customHeight="1" x14ac:dyDescent="0.3">
      <c r="B141" s="18" t="s">
        <v>23</v>
      </c>
      <c r="C141" s="41">
        <v>8.1153432684808499E-2</v>
      </c>
      <c r="D141" s="41">
        <v>5.8698867188095569E-2</v>
      </c>
      <c r="G141" s="18" t="s">
        <v>23</v>
      </c>
      <c r="H141" s="19">
        <v>104.75</v>
      </c>
      <c r="I141" s="19">
        <v>10.849151898800018</v>
      </c>
      <c r="L141" s="18" t="s">
        <v>23</v>
      </c>
      <c r="M141" s="41">
        <v>9.5465393794749408E-3</v>
      </c>
    </row>
    <row r="142" spans="1:13" ht="15.75" customHeight="1" x14ac:dyDescent="0.3">
      <c r="B142" s="18" t="s">
        <v>24</v>
      </c>
      <c r="C142" s="41">
        <v>0.23022095509622237</v>
      </c>
      <c r="D142" s="41">
        <v>9.9814585908529055E-2</v>
      </c>
      <c r="G142" s="18" t="s">
        <v>24</v>
      </c>
      <c r="H142" s="19">
        <v>67.047619047619051</v>
      </c>
      <c r="I142" s="19">
        <v>12.285207907293797</v>
      </c>
      <c r="L142" s="18" t="s">
        <v>24</v>
      </c>
      <c r="M142" s="41">
        <v>1.4914772727272728E-2</v>
      </c>
    </row>
    <row r="143" spans="1:13" ht="15.75" customHeight="1" x14ac:dyDescent="0.3">
      <c r="B143" s="18" t="s">
        <v>25</v>
      </c>
      <c r="C143" s="41">
        <v>0.27734375</v>
      </c>
      <c r="D143" s="41">
        <v>9.6010818120351588E-2</v>
      </c>
      <c r="G143" s="18" t="s">
        <v>25</v>
      </c>
      <c r="H143" s="19">
        <v>75.25</v>
      </c>
      <c r="I143" s="19">
        <v>15.607407407407408</v>
      </c>
      <c r="L143" s="18" t="s">
        <v>25</v>
      </c>
      <c r="M143" s="41">
        <v>1.3289036544850499E-2</v>
      </c>
    </row>
    <row r="144" spans="1:13" ht="15.75" customHeight="1" x14ac:dyDescent="0.3">
      <c r="B144" s="18" t="s">
        <v>26</v>
      </c>
      <c r="C144" s="41">
        <v>0.19749502042469871</v>
      </c>
      <c r="D144" s="41">
        <v>9.9928256636261148E-2</v>
      </c>
      <c r="G144" s="18" t="s">
        <v>26</v>
      </c>
      <c r="H144" s="19">
        <v>81.149999999999991</v>
      </c>
      <c r="I144" s="19">
        <v>9.973532475202342</v>
      </c>
      <c r="L144" s="18" t="s">
        <v>26</v>
      </c>
      <c r="M144" s="41">
        <v>1.2322858903265559E-2</v>
      </c>
    </row>
    <row r="145" spans="2:13" ht="15.75" customHeight="1" x14ac:dyDescent="0.3">
      <c r="B145" s="18" t="s">
        <v>27</v>
      </c>
      <c r="C145" s="41">
        <v>6.9518716577540107E-2</v>
      </c>
      <c r="D145" s="41">
        <v>6.1757719714964368E-2</v>
      </c>
      <c r="G145" s="18" t="s">
        <v>27</v>
      </c>
      <c r="H145" s="19">
        <v>25.462500000000002</v>
      </c>
      <c r="I145" s="19">
        <v>1.7701889168765741</v>
      </c>
      <c r="L145" s="18" t="s">
        <v>27</v>
      </c>
      <c r="M145" s="41">
        <v>3.9273441335297005E-2</v>
      </c>
    </row>
    <row r="146" spans="2:13" ht="15.75" customHeight="1" x14ac:dyDescent="0.3">
      <c r="B146" s="18" t="s">
        <v>28</v>
      </c>
      <c r="C146" s="41">
        <v>8.5308056872037921E-2</v>
      </c>
      <c r="D146" s="41">
        <v>2.2959183673469389E-2</v>
      </c>
      <c r="G146" s="18" t="s">
        <v>28</v>
      </c>
      <c r="H146" s="19">
        <v>71.39</v>
      </c>
      <c r="I146" s="19">
        <v>2.8057205240174672</v>
      </c>
      <c r="L146" s="18" t="s">
        <v>28</v>
      </c>
      <c r="M146" s="41">
        <v>1.4007564084605687E-2</v>
      </c>
    </row>
    <row r="147" spans="2:13" ht="15.75" customHeight="1" x14ac:dyDescent="0.3">
      <c r="B147" s="18" t="s">
        <v>29</v>
      </c>
      <c r="C147" s="41">
        <v>6.9518716577540107E-2</v>
      </c>
      <c r="D147" s="41">
        <v>2.8199566160520606E-2</v>
      </c>
      <c r="G147" s="18" t="s">
        <v>29</v>
      </c>
      <c r="H147" s="19">
        <v>94</v>
      </c>
      <c r="I147" s="19">
        <v>2.35</v>
      </c>
      <c r="L147" s="18" t="s">
        <v>29</v>
      </c>
      <c r="M147" s="41">
        <v>1.0638297872340425E-2</v>
      </c>
    </row>
    <row r="148" spans="2:13" ht="15.75" customHeight="1" thickBot="1" x14ac:dyDescent="0.35">
      <c r="B148" s="21" t="s">
        <v>30</v>
      </c>
      <c r="C148" s="42">
        <v>6.3291139240506333E-2</v>
      </c>
      <c r="D148" s="42">
        <v>2.1739130434782608E-2</v>
      </c>
      <c r="G148" s="21" t="s">
        <v>30</v>
      </c>
      <c r="H148" s="22">
        <v>26.6</v>
      </c>
      <c r="I148" s="22">
        <v>2.2400000000000002</v>
      </c>
      <c r="L148" s="21" t="s">
        <v>30</v>
      </c>
      <c r="M148" s="42">
        <v>3.7593984962406013E-2</v>
      </c>
    </row>
    <row r="149" spans="2:13" ht="15.75" customHeight="1" thickTop="1" thickBot="1" x14ac:dyDescent="0.35">
      <c r="B149" s="24"/>
      <c r="C149" s="43"/>
      <c r="D149" s="43"/>
      <c r="G149" s="24"/>
      <c r="H149" s="24"/>
      <c r="I149" s="24"/>
      <c r="L149" s="24"/>
      <c r="M149" s="43"/>
    </row>
    <row r="150" spans="2:13" ht="15.75" customHeight="1" thickTop="1" x14ac:dyDescent="0.3">
      <c r="B150" s="27" t="s">
        <v>31</v>
      </c>
      <c r="C150" s="49">
        <v>0.16715437993342569</v>
      </c>
      <c r="D150" s="49">
        <v>8.5707611027466976E-2</v>
      </c>
      <c r="G150" s="27" t="s">
        <v>31</v>
      </c>
      <c r="H150" s="39">
        <v>81.149999999999991</v>
      </c>
      <c r="I150" s="39">
        <v>12.285207907293797</v>
      </c>
      <c r="L150" s="27" t="s">
        <v>31</v>
      </c>
      <c r="M150" s="49">
        <v>1.2322858903265559E-2</v>
      </c>
    </row>
    <row r="151" spans="2:13" ht="15.75" customHeight="1" x14ac:dyDescent="0.3"/>
    <row r="152" spans="2:13" ht="15.75" customHeight="1" x14ac:dyDescent="0.3"/>
    <row r="153" spans="2:13" ht="15.75" customHeight="1" x14ac:dyDescent="0.3"/>
    <row r="154" spans="2:13" ht="15.75" customHeight="1" x14ac:dyDescent="0.3"/>
    <row r="155" spans="2:13" ht="15.75" customHeight="1" x14ac:dyDescent="0.3"/>
    <row r="156" spans="2:13" ht="15.75" customHeight="1" x14ac:dyDescent="0.3"/>
    <row r="157" spans="2:13" ht="15.75" customHeight="1" x14ac:dyDescent="0.3"/>
    <row r="158" spans="2:13" ht="15.75" customHeight="1" x14ac:dyDescent="0.3"/>
    <row r="159" spans="2:13" ht="15.75" customHeight="1" x14ac:dyDescent="0.3"/>
    <row r="160" spans="2:13" ht="15.75" customHeight="1" x14ac:dyDescent="0.3"/>
    <row r="161" spans="1:41" ht="15.75" customHeight="1" x14ac:dyDescent="0.3"/>
    <row r="162" spans="1:41" ht="15.75" customHeight="1" x14ac:dyDescent="0.3"/>
    <row r="163" spans="1:41" ht="15.75" customHeight="1" x14ac:dyDescent="0.3"/>
    <row r="164" spans="1:41" ht="15.75" customHeight="1" x14ac:dyDescent="0.3"/>
    <row r="165" spans="1:41" ht="15.75" customHeight="1" x14ac:dyDescent="0.3">
      <c r="A165" s="17" t="s">
        <v>51</v>
      </c>
    </row>
    <row r="166" spans="1:41" ht="15.75" customHeight="1" x14ac:dyDescent="0.3"/>
    <row r="167" spans="1:41" ht="15.75" customHeight="1" x14ac:dyDescent="0.3">
      <c r="A167" s="7" t="s">
        <v>52</v>
      </c>
      <c r="B167" s="7" t="s">
        <v>18</v>
      </c>
      <c r="C167" s="7" t="s">
        <v>53</v>
      </c>
      <c r="D167" s="7" t="s">
        <v>19</v>
      </c>
      <c r="E167" s="7" t="s">
        <v>54</v>
      </c>
      <c r="F167" s="7" t="s">
        <v>55</v>
      </c>
      <c r="G167" s="7" t="s">
        <v>56</v>
      </c>
      <c r="H167" s="7" t="s">
        <v>57</v>
      </c>
      <c r="I167" s="7" t="s">
        <v>58</v>
      </c>
      <c r="J167" s="7" t="s">
        <v>59</v>
      </c>
      <c r="K167" s="7" t="s">
        <v>60</v>
      </c>
      <c r="L167" s="7" t="s">
        <v>61</v>
      </c>
      <c r="M167" s="7" t="s">
        <v>62</v>
      </c>
      <c r="N167" s="7" t="s">
        <v>63</v>
      </c>
      <c r="O167" s="7" t="s">
        <v>64</v>
      </c>
      <c r="P167" s="7" t="s">
        <v>65</v>
      </c>
      <c r="Q167" s="7" t="s">
        <v>20</v>
      </c>
      <c r="R167" s="7" t="s">
        <v>21</v>
      </c>
      <c r="S167" s="7" t="s">
        <v>66</v>
      </c>
      <c r="T167" s="7" t="s">
        <v>67</v>
      </c>
      <c r="U167" s="7" t="s">
        <v>68</v>
      </c>
      <c r="V167" s="7" t="s">
        <v>69</v>
      </c>
      <c r="W167" s="50" t="s">
        <v>70</v>
      </c>
      <c r="X167" s="7" t="s">
        <v>71</v>
      </c>
      <c r="Y167" s="51" t="s">
        <v>33</v>
      </c>
      <c r="Z167" s="40" t="s">
        <v>72</v>
      </c>
      <c r="AA167" s="51" t="s">
        <v>32</v>
      </c>
      <c r="AB167" s="51" t="s">
        <v>40</v>
      </c>
      <c r="AC167" s="51" t="s">
        <v>41</v>
      </c>
      <c r="AD167" s="52" t="s">
        <v>37</v>
      </c>
      <c r="AE167" s="40" t="s">
        <v>43</v>
      </c>
      <c r="AF167" s="52" t="s">
        <v>42</v>
      </c>
      <c r="AG167" s="53" t="s">
        <v>36</v>
      </c>
      <c r="AH167" s="51" t="s">
        <v>38</v>
      </c>
      <c r="AI167" s="51" t="s">
        <v>45</v>
      </c>
      <c r="AJ167" s="51" t="s">
        <v>73</v>
      </c>
      <c r="AK167" s="51" t="s">
        <v>46</v>
      </c>
      <c r="AL167" s="51" t="s">
        <v>48</v>
      </c>
      <c r="AM167" s="51" t="s">
        <v>50</v>
      </c>
      <c r="AN167" s="51" t="s">
        <v>74</v>
      </c>
      <c r="AO167" s="51" t="s">
        <v>49</v>
      </c>
    </row>
    <row r="168" spans="1:41" ht="15.75" customHeight="1" x14ac:dyDescent="0.3">
      <c r="A168" s="54">
        <v>543426</v>
      </c>
      <c r="B168" s="55" t="s">
        <v>22</v>
      </c>
      <c r="C168" s="24">
        <f ca="1">IFERROR(__xludf.DUMMYFUNCTION("GOOGLEFINANCE(""bom:""&amp;A168,""price"")"),1149.95)</f>
        <v>1149.95</v>
      </c>
      <c r="D168" s="56">
        <f ca="1">IFERROR(__xludf.DUMMYFUNCTION("GOOGLEFINANCE(""bom:""&amp;A168,""marketcap"")/10000000"),31286.5078523)</f>
        <v>31286.507852300001</v>
      </c>
      <c r="E168" s="24">
        <v>1603.73</v>
      </c>
      <c r="F168" s="24">
        <v>534.48</v>
      </c>
      <c r="G168" s="24">
        <v>3163.99</v>
      </c>
      <c r="H168" s="24">
        <v>1462.41</v>
      </c>
      <c r="I168" s="24">
        <v>135.87</v>
      </c>
      <c r="J168" s="24">
        <v>1701.58</v>
      </c>
      <c r="K168" s="24">
        <v>1060</v>
      </c>
      <c r="L168" s="24">
        <v>130.43</v>
      </c>
      <c r="M168" s="24">
        <v>5</v>
      </c>
      <c r="N168" s="56">
        <v>12</v>
      </c>
      <c r="O168" s="57">
        <v>0.35070000000000001</v>
      </c>
      <c r="P168" s="24">
        <v>1085</v>
      </c>
      <c r="Q168" s="24">
        <v>2127</v>
      </c>
      <c r="R168" s="24">
        <v>365</v>
      </c>
      <c r="S168" s="24">
        <v>1774</v>
      </c>
      <c r="T168" s="24">
        <v>1583</v>
      </c>
      <c r="U168" s="24">
        <v>260</v>
      </c>
      <c r="V168" s="24">
        <v>297</v>
      </c>
      <c r="W168" s="24">
        <v>63</v>
      </c>
      <c r="X168" s="24">
        <v>1692</v>
      </c>
      <c r="Y168" s="57">
        <f t="shared" ref="Y168:Y172" si="0">(S168/T168)-1</f>
        <v>0.12065698041692996</v>
      </c>
      <c r="Z168" s="57">
        <f t="shared" ref="Z168:Z172" si="1">(U168/V168)-1</f>
        <v>-0.12457912457912457</v>
      </c>
      <c r="AA168" s="57">
        <f t="shared" ref="AA168:AA176" si="2">(Q168/P168)^(1/5)-1</f>
        <v>0.14410939094906117</v>
      </c>
      <c r="AB168" s="57">
        <f t="shared" ref="AB168:AB176" si="3">R168/Q168</f>
        <v>0.17160319699106724</v>
      </c>
      <c r="AC168" s="57">
        <f t="shared" ref="AC168:AC172" si="4">U168/S168</f>
        <v>0.14656144306651633</v>
      </c>
      <c r="AD168" s="56">
        <f t="shared" ref="AD168:AD176" si="5">(Q168-X168+W168)/W168</f>
        <v>7.9047619047619051</v>
      </c>
      <c r="AE168" s="58">
        <f t="shared" ref="AE168:AE172" si="6">E168/F168</f>
        <v>3.0005425834455921</v>
      </c>
      <c r="AF168" s="56">
        <f t="shared" ref="AF168:AF176" si="7">(L168/Q168)*365</f>
        <v>22.382204983544902</v>
      </c>
      <c r="AG168" s="58">
        <f t="shared" ref="AG168:AG176" si="8">K168/J168</f>
        <v>0.62295043430223673</v>
      </c>
      <c r="AH168" s="58">
        <f t="shared" ref="AH168:AH176" si="9">H168/G168</f>
        <v>0.46220436853466673</v>
      </c>
      <c r="AI168" s="57">
        <f t="shared" ref="AI168:AI176" si="10">R168/J168</f>
        <v>0.21450651747199662</v>
      </c>
      <c r="AJ168" s="58">
        <f t="shared" ref="AJ168:AJ176" si="11">R168/I168</f>
        <v>2.6863914035475087</v>
      </c>
      <c r="AK168" s="57">
        <f t="shared" ref="AK168:AK176" si="12">R168/G168</f>
        <v>0.11536066801728198</v>
      </c>
      <c r="AL168" s="56">
        <f t="shared" ref="AL168:AL176" ca="1" si="13">C168/N168</f>
        <v>95.829166666666666</v>
      </c>
      <c r="AM168" s="57">
        <f t="shared" ref="AM168:AM176" ca="1" si="14">N168/C168</f>
        <v>1.0435236314622374E-2</v>
      </c>
      <c r="AN168" s="56">
        <f t="shared" ref="AN168:AN176" si="15">(I168+J168)/(I168/M168)</f>
        <v>67.617943622580398</v>
      </c>
      <c r="AO168" s="56">
        <f t="shared" ref="AO168:AO176" ca="1" si="16">C168/AN168</f>
        <v>17.006580478380368</v>
      </c>
    </row>
    <row r="169" spans="1:41" ht="15.75" customHeight="1" x14ac:dyDescent="0.3">
      <c r="A169" s="54">
        <v>530517</v>
      </c>
      <c r="B169" s="55" t="s">
        <v>23</v>
      </c>
      <c r="C169" s="24">
        <f ca="1">IFERROR(__xludf.DUMMYFUNCTION("GOOGLEFINANCE(""bom:""&amp;A169,""price"")"),834.6)</f>
        <v>834.6</v>
      </c>
      <c r="D169" s="56">
        <f ca="1">IFERROR(__xludf.DUMMYFUNCTION("GOOGLEFINANCE(""bom:""&amp;A169,""marketcap"")/10000000"),20758.9904617)</f>
        <v>20758.990461699999</v>
      </c>
      <c r="E169" s="24">
        <v>1216.56</v>
      </c>
      <c r="F169" s="24">
        <v>537.48</v>
      </c>
      <c r="G169" s="24">
        <v>2623.56</v>
      </c>
      <c r="H169" s="24">
        <v>725.92</v>
      </c>
      <c r="I169" s="24">
        <v>24.89</v>
      </c>
      <c r="J169" s="24">
        <v>1897.64</v>
      </c>
      <c r="K169" s="24">
        <v>225</v>
      </c>
      <c r="L169" s="24">
        <v>318.74</v>
      </c>
      <c r="M169" s="24">
        <v>1</v>
      </c>
      <c r="N169" s="56">
        <v>8</v>
      </c>
      <c r="O169" s="57">
        <v>0.23910000000000001</v>
      </c>
      <c r="P169" s="24">
        <v>1964</v>
      </c>
      <c r="Q169" s="24">
        <v>2783</v>
      </c>
      <c r="R169" s="24">
        <v>154</v>
      </c>
      <c r="S169" s="24">
        <v>2167</v>
      </c>
      <c r="T169" s="24">
        <v>2018</v>
      </c>
      <c r="U169" s="24">
        <v>139</v>
      </c>
      <c r="V169" s="24">
        <v>91</v>
      </c>
      <c r="W169" s="24">
        <v>19</v>
      </c>
      <c r="X169" s="24">
        <v>2591</v>
      </c>
      <c r="Y169" s="57">
        <f t="shared" si="0"/>
        <v>7.3835480673934528E-2</v>
      </c>
      <c r="Z169" s="57">
        <f t="shared" si="1"/>
        <v>0.52747252747252737</v>
      </c>
      <c r="AA169" s="57">
        <f t="shared" si="2"/>
        <v>7.2196399677454171E-2</v>
      </c>
      <c r="AB169" s="57">
        <f t="shared" si="3"/>
        <v>5.533596837944664E-2</v>
      </c>
      <c r="AC169" s="57">
        <f t="shared" si="4"/>
        <v>6.4143977849561606E-2</v>
      </c>
      <c r="AD169" s="56">
        <f t="shared" si="5"/>
        <v>11.105263157894736</v>
      </c>
      <c r="AE169" s="58">
        <f t="shared" si="6"/>
        <v>2.2634516633177046</v>
      </c>
      <c r="AF169" s="56">
        <f t="shared" si="7"/>
        <v>41.803844771828963</v>
      </c>
      <c r="AG169" s="58">
        <f t="shared" si="8"/>
        <v>0.11856832697455787</v>
      </c>
      <c r="AH169" s="58">
        <f t="shared" si="9"/>
        <v>0.27669273811157358</v>
      </c>
      <c r="AI169" s="57">
        <f t="shared" si="10"/>
        <v>8.1153432684808499E-2</v>
      </c>
      <c r="AJ169" s="58">
        <f t="shared" si="11"/>
        <v>6.1872237846524705</v>
      </c>
      <c r="AK169" s="57">
        <f t="shared" si="12"/>
        <v>5.8698867188095569E-2</v>
      </c>
      <c r="AL169" s="56">
        <f t="shared" ca="1" si="13"/>
        <v>104.325</v>
      </c>
      <c r="AM169" s="57">
        <f t="shared" ca="1" si="14"/>
        <v>9.5854301461778101E-3</v>
      </c>
      <c r="AN169" s="56">
        <f t="shared" si="15"/>
        <v>77.241060666934516</v>
      </c>
      <c r="AO169" s="56">
        <f t="shared" ca="1" si="16"/>
        <v>10.805133860069803</v>
      </c>
    </row>
    <row r="170" spans="1:41" ht="15.75" customHeight="1" x14ac:dyDescent="0.3">
      <c r="A170" s="54">
        <v>500043</v>
      </c>
      <c r="B170" s="55" t="s">
        <v>24</v>
      </c>
      <c r="C170" s="24">
        <f ca="1">IFERROR(__xludf.DUMMYFUNCTION("GOOGLEFINANCE(""bom:""&amp;A170,""price"")"),1425.3)</f>
        <v>1425.3</v>
      </c>
      <c r="D170" s="56">
        <f ca="1">IFERROR(__xludf.DUMMYFUNCTION("GOOGLEFINANCE(""bom:""&amp;A170,""marketcap"")/10000000"),18317.7386724)</f>
        <v>18317.738672399999</v>
      </c>
      <c r="E170" s="24">
        <v>1549</v>
      </c>
      <c r="F170" s="24">
        <v>869</v>
      </c>
      <c r="G170" s="24">
        <v>3236</v>
      </c>
      <c r="H170" s="24">
        <v>1833</v>
      </c>
      <c r="I170" s="24">
        <v>64</v>
      </c>
      <c r="J170" s="24">
        <v>1403</v>
      </c>
      <c r="K170" s="24">
        <v>1263</v>
      </c>
      <c r="L170" s="24">
        <v>100</v>
      </c>
      <c r="M170" s="24">
        <v>5</v>
      </c>
      <c r="N170" s="56">
        <v>21</v>
      </c>
      <c r="O170" s="57">
        <v>0.20649999999999999</v>
      </c>
      <c r="P170" s="24">
        <v>2641</v>
      </c>
      <c r="Q170" s="24">
        <v>3452</v>
      </c>
      <c r="R170" s="24">
        <v>323</v>
      </c>
      <c r="S170" s="24">
        <v>2680</v>
      </c>
      <c r="T170" s="24">
        <v>2673</v>
      </c>
      <c r="U170" s="24">
        <v>198</v>
      </c>
      <c r="V170" s="24">
        <v>257</v>
      </c>
      <c r="W170" s="24">
        <v>108</v>
      </c>
      <c r="X170" s="24">
        <v>3060</v>
      </c>
      <c r="Y170" s="57">
        <f t="shared" si="0"/>
        <v>2.6187803965582734E-3</v>
      </c>
      <c r="Z170" s="57">
        <f t="shared" si="1"/>
        <v>-0.22957198443579763</v>
      </c>
      <c r="AA170" s="57">
        <f t="shared" si="2"/>
        <v>5.5019476590912442E-2</v>
      </c>
      <c r="AB170" s="57">
        <f t="shared" si="3"/>
        <v>9.3568945538818074E-2</v>
      </c>
      <c r="AC170" s="57">
        <f t="shared" si="4"/>
        <v>7.3880597014925373E-2</v>
      </c>
      <c r="AD170" s="56">
        <f t="shared" si="5"/>
        <v>4.6296296296296298</v>
      </c>
      <c r="AE170" s="58">
        <f t="shared" si="6"/>
        <v>1.7825086306098965</v>
      </c>
      <c r="AF170" s="56">
        <f t="shared" si="7"/>
        <v>10.573580533024334</v>
      </c>
      <c r="AG170" s="58">
        <f t="shared" si="8"/>
        <v>0.90021382751247325</v>
      </c>
      <c r="AH170" s="58">
        <f t="shared" si="9"/>
        <v>0.5664400494437577</v>
      </c>
      <c r="AI170" s="57">
        <f t="shared" si="10"/>
        <v>0.23022095509622237</v>
      </c>
      <c r="AJ170" s="58">
        <f t="shared" si="11"/>
        <v>5.046875</v>
      </c>
      <c r="AK170" s="57">
        <f t="shared" si="12"/>
        <v>9.9814585908529055E-2</v>
      </c>
      <c r="AL170" s="56">
        <f t="shared" ca="1" si="13"/>
        <v>67.871428571428567</v>
      </c>
      <c r="AM170" s="57">
        <f t="shared" ca="1" si="14"/>
        <v>1.4733740265207325E-2</v>
      </c>
      <c r="AN170" s="56">
        <f t="shared" si="15"/>
        <v>114.609375</v>
      </c>
      <c r="AO170" s="56">
        <f t="shared" ca="1" si="16"/>
        <v>12.436155419222903</v>
      </c>
    </row>
    <row r="171" spans="1:41" ht="15.75" customHeight="1" x14ac:dyDescent="0.3">
      <c r="A171" s="54">
        <v>543957</v>
      </c>
      <c r="B171" s="55" t="s">
        <v>25</v>
      </c>
      <c r="C171" s="24">
        <f ca="1">IFERROR(__xludf.DUMMYFUNCTION("GOOGLEFINANCE(""bom:""&amp;A171,""price"")"),601.8)</f>
        <v>601.79999999999995</v>
      </c>
      <c r="D171" s="56">
        <f ca="1">IFERROR(__xludf.DUMMYFUNCTION("GOOGLEFINANCE(""bom:""&amp;A171,""marketcap"")/10000000"),8324.5850855)</f>
        <v>8324.5850855000008</v>
      </c>
      <c r="E171" s="24">
        <v>920</v>
      </c>
      <c r="F171" s="24">
        <v>647</v>
      </c>
      <c r="G171" s="24">
        <v>1479</v>
      </c>
      <c r="H171" s="24">
        <v>924</v>
      </c>
      <c r="I171" s="24">
        <v>28</v>
      </c>
      <c r="J171" s="24">
        <v>512</v>
      </c>
      <c r="K171" s="24">
        <v>471</v>
      </c>
      <c r="L171" s="24">
        <v>60</v>
      </c>
      <c r="M171" s="24">
        <v>2</v>
      </c>
      <c r="N171" s="56">
        <v>8</v>
      </c>
      <c r="O171" s="57">
        <v>9.5100000000000004E-2</v>
      </c>
      <c r="P171" s="24"/>
      <c r="Q171" s="24">
        <v>1468</v>
      </c>
      <c r="R171" s="24">
        <v>142</v>
      </c>
      <c r="S171" s="24">
        <v>1336</v>
      </c>
      <c r="T171" s="24">
        <v>1089</v>
      </c>
      <c r="U171" s="24">
        <v>135</v>
      </c>
      <c r="V171" s="24">
        <v>108</v>
      </c>
      <c r="W171" s="24">
        <v>17</v>
      </c>
      <c r="X171" s="24">
        <v>1285</v>
      </c>
      <c r="Y171" s="57">
        <f t="shared" si="0"/>
        <v>0.22681359044995419</v>
      </c>
      <c r="Z171" s="57">
        <f t="shared" si="1"/>
        <v>0.25</v>
      </c>
      <c r="AA171" s="57" t="e">
        <f t="shared" si="2"/>
        <v>#DIV/0!</v>
      </c>
      <c r="AB171" s="57">
        <f t="shared" si="3"/>
        <v>9.6730245231607628E-2</v>
      </c>
      <c r="AC171" s="57">
        <f t="shared" si="4"/>
        <v>0.10104790419161677</v>
      </c>
      <c r="AD171" s="56">
        <f t="shared" si="5"/>
        <v>11.764705882352942</v>
      </c>
      <c r="AE171" s="58">
        <f t="shared" si="6"/>
        <v>1.4219474497681608</v>
      </c>
      <c r="AF171" s="56">
        <f t="shared" si="7"/>
        <v>14.918256130790191</v>
      </c>
      <c r="AG171" s="58">
        <f t="shared" si="8"/>
        <v>0.919921875</v>
      </c>
      <c r="AH171" s="58">
        <f t="shared" si="9"/>
        <v>0.62474645030425968</v>
      </c>
      <c r="AI171" s="57">
        <f t="shared" si="10"/>
        <v>0.27734375</v>
      </c>
      <c r="AJ171" s="58">
        <f t="shared" si="11"/>
        <v>5.0714285714285712</v>
      </c>
      <c r="AK171" s="57">
        <f t="shared" si="12"/>
        <v>9.6010818120351588E-2</v>
      </c>
      <c r="AL171" s="56">
        <f t="shared" ca="1" si="13"/>
        <v>75.224999999999994</v>
      </c>
      <c r="AM171" s="57">
        <f t="shared" ca="1" si="14"/>
        <v>1.3293452974410104E-2</v>
      </c>
      <c r="AN171" s="56">
        <f t="shared" si="15"/>
        <v>38.571428571428569</v>
      </c>
      <c r="AO171" s="56">
        <f t="shared" ca="1" si="16"/>
        <v>15.602222222222222</v>
      </c>
    </row>
    <row r="172" spans="1:41" ht="15.75" customHeight="1" x14ac:dyDescent="0.3">
      <c r="A172" s="54">
        <v>543523</v>
      </c>
      <c r="B172" s="55" t="s">
        <v>26</v>
      </c>
      <c r="C172" s="24">
        <f ca="1">IFERROR(__xludf.DUMMYFUNCTION("GOOGLEFINANCE(""bom:""&amp;A172,""price"")"),245.2)</f>
        <v>245.2</v>
      </c>
      <c r="D172" s="56">
        <f ca="1">IFERROR(__xludf.DUMMYFUNCTION("GOOGLEFINANCE(""bom:""&amp;A172,""marketcap"")/10000000"),7483.3432991)</f>
        <v>7483.3432991</v>
      </c>
      <c r="E172" s="24">
        <v>726.59</v>
      </c>
      <c r="F172" s="24">
        <v>404.99</v>
      </c>
      <c r="G172" s="24">
        <v>1170.8399999999999</v>
      </c>
      <c r="H172" s="24">
        <v>578.41999999999996</v>
      </c>
      <c r="I172" s="24">
        <v>152.61000000000001</v>
      </c>
      <c r="J172" s="24">
        <v>592.41999999999996</v>
      </c>
      <c r="K172" s="24">
        <v>327</v>
      </c>
      <c r="L172" s="24">
        <v>141.74</v>
      </c>
      <c r="M172" s="24">
        <v>5</v>
      </c>
      <c r="N172" s="56">
        <v>3</v>
      </c>
      <c r="O172" s="57">
        <v>8.5199999999999998E-2</v>
      </c>
      <c r="P172" s="24">
        <v>410</v>
      </c>
      <c r="Q172" s="24">
        <v>1484</v>
      </c>
      <c r="R172" s="24">
        <v>117</v>
      </c>
      <c r="S172" s="24">
        <v>1084</v>
      </c>
      <c r="T172" s="24">
        <v>1136</v>
      </c>
      <c r="U172" s="24">
        <v>56</v>
      </c>
      <c r="V172" s="24">
        <v>94</v>
      </c>
      <c r="W172" s="24">
        <v>29</v>
      </c>
      <c r="X172" s="24">
        <v>1330</v>
      </c>
      <c r="Y172" s="57">
        <f t="shared" si="0"/>
        <v>-4.5774647887323994E-2</v>
      </c>
      <c r="Z172" s="57">
        <f t="shared" si="1"/>
        <v>-0.4042553191489362</v>
      </c>
      <c r="AA172" s="57">
        <f t="shared" si="2"/>
        <v>0.29339151891355919</v>
      </c>
      <c r="AB172" s="57">
        <f t="shared" si="3"/>
        <v>7.8840970350404313E-2</v>
      </c>
      <c r="AC172" s="57">
        <f t="shared" si="4"/>
        <v>5.1660516605166053E-2</v>
      </c>
      <c r="AD172" s="56">
        <f t="shared" si="5"/>
        <v>6.3103448275862073</v>
      </c>
      <c r="AE172" s="58">
        <f t="shared" si="6"/>
        <v>1.7940936813254649</v>
      </c>
      <c r="AF172" s="56">
        <f t="shared" si="7"/>
        <v>34.861927223719682</v>
      </c>
      <c r="AG172" s="58">
        <f t="shared" si="8"/>
        <v>0.55197326221261944</v>
      </c>
      <c r="AH172" s="58">
        <f t="shared" si="9"/>
        <v>0.49402138635509546</v>
      </c>
      <c r="AI172" s="57">
        <f t="shared" si="10"/>
        <v>0.19749502042469871</v>
      </c>
      <c r="AJ172" s="58">
        <f t="shared" si="11"/>
        <v>0.76666011401611944</v>
      </c>
      <c r="AK172" s="57">
        <f t="shared" si="12"/>
        <v>9.9928256636261148E-2</v>
      </c>
      <c r="AL172" s="56">
        <f t="shared" ca="1" si="13"/>
        <v>81.733333333333334</v>
      </c>
      <c r="AM172" s="57">
        <f t="shared" ca="1" si="14"/>
        <v>1.2234910277324634E-2</v>
      </c>
      <c r="AN172" s="56">
        <f t="shared" si="15"/>
        <v>24.409606185702113</v>
      </c>
      <c r="AO172" s="56">
        <f t="shared" ca="1" si="16"/>
        <v>10.04522556138679</v>
      </c>
    </row>
    <row r="173" spans="1:41" ht="15.75" customHeight="1" x14ac:dyDescent="0.3">
      <c r="A173" s="54">
        <v>535601</v>
      </c>
      <c r="B173" s="55" t="s">
        <v>27</v>
      </c>
      <c r="C173" s="24">
        <f ca="1">IFERROR(__xludf.DUMMYFUNCTION("GOOGLEFINANCE(""bom:""&amp;A173,""price"")"),311.5)</f>
        <v>311.5</v>
      </c>
      <c r="D173" s="56">
        <f ca="1">IFERROR(__xludf.DUMMYFUNCTION("GOOGLEFINANCE(""bom:""&amp;A173,""marketcap"")/10000000"),720.120811)</f>
        <v>720.120811</v>
      </c>
      <c r="G173" s="24">
        <v>421</v>
      </c>
      <c r="H173" s="24">
        <v>24</v>
      </c>
      <c r="I173" s="24">
        <v>23</v>
      </c>
      <c r="J173" s="24">
        <v>374</v>
      </c>
      <c r="L173" s="24">
        <v>0.5</v>
      </c>
      <c r="M173" s="24">
        <v>10</v>
      </c>
      <c r="N173" s="56">
        <v>12</v>
      </c>
      <c r="O173" s="57">
        <v>8.0999999999999996E-3</v>
      </c>
      <c r="P173" s="24">
        <v>141</v>
      </c>
      <c r="Q173" s="24">
        <v>200</v>
      </c>
      <c r="R173" s="24">
        <v>26</v>
      </c>
      <c r="W173" s="24">
        <v>1</v>
      </c>
      <c r="X173" s="24">
        <v>164</v>
      </c>
      <c r="Y173" s="43">
        <f>(216/Q173)-1</f>
        <v>8.0000000000000071E-2</v>
      </c>
      <c r="Z173" s="43">
        <f>(29/R173)-1</f>
        <v>0.11538461538461542</v>
      </c>
      <c r="AA173" s="57">
        <f t="shared" si="2"/>
        <v>7.2413263368977798E-2</v>
      </c>
      <c r="AB173" s="57">
        <f t="shared" si="3"/>
        <v>0.13</v>
      </c>
      <c r="AC173" s="43">
        <f>29/216</f>
        <v>0.13425925925925927</v>
      </c>
      <c r="AD173" s="56">
        <f t="shared" si="5"/>
        <v>37</v>
      </c>
      <c r="AE173" s="58"/>
      <c r="AF173" s="56">
        <f t="shared" si="7"/>
        <v>0.91249999999999998</v>
      </c>
      <c r="AG173" s="58">
        <f t="shared" si="8"/>
        <v>0</v>
      </c>
      <c r="AH173" s="58">
        <f t="shared" si="9"/>
        <v>5.7007125890736345E-2</v>
      </c>
      <c r="AI173" s="57">
        <f t="shared" si="10"/>
        <v>6.9518716577540107E-2</v>
      </c>
      <c r="AJ173" s="58">
        <f t="shared" si="11"/>
        <v>1.1304347826086956</v>
      </c>
      <c r="AK173" s="57">
        <f t="shared" si="12"/>
        <v>6.1757719714964368E-2</v>
      </c>
      <c r="AL173" s="56">
        <f t="shared" ca="1" si="13"/>
        <v>25.958333333333332</v>
      </c>
      <c r="AM173" s="57">
        <f t="shared" ca="1" si="14"/>
        <v>3.8523274478330656E-2</v>
      </c>
      <c r="AN173" s="56">
        <f t="shared" si="15"/>
        <v>172.60869565217394</v>
      </c>
      <c r="AO173" s="56">
        <f t="shared" ca="1" si="16"/>
        <v>1.804659949622166</v>
      </c>
    </row>
    <row r="174" spans="1:41" ht="15.75" customHeight="1" x14ac:dyDescent="0.3">
      <c r="A174" s="54">
        <v>540775</v>
      </c>
      <c r="B174" s="55" t="s">
        <v>28</v>
      </c>
      <c r="C174" s="24">
        <f ca="1">IFERROR(__xludf.DUMMYFUNCTION("GOOGLEFINANCE(""bom:""&amp;A174,""price"")"),357)</f>
        <v>357</v>
      </c>
      <c r="D174" s="56">
        <f ca="1">IFERROR(__xludf.DUMMYFUNCTION("GOOGLEFINANCE(""bom:""&amp;A174,""marketcap"")/10000000"),642.3237313)</f>
        <v>642.32373129999996</v>
      </c>
      <c r="G174" s="24">
        <v>784</v>
      </c>
      <c r="H174" s="24">
        <v>555</v>
      </c>
      <c r="I174" s="24">
        <v>18</v>
      </c>
      <c r="J174" s="24">
        <v>211</v>
      </c>
      <c r="K174" s="24">
        <v>325</v>
      </c>
      <c r="L174" s="24">
        <v>193</v>
      </c>
      <c r="M174" s="24">
        <v>10</v>
      </c>
      <c r="N174" s="56">
        <v>5</v>
      </c>
      <c r="O174" s="57">
        <v>7.4000000000000003E-3</v>
      </c>
      <c r="P174" s="24">
        <v>749</v>
      </c>
      <c r="Q174" s="24">
        <v>660</v>
      </c>
      <c r="R174" s="24">
        <v>18</v>
      </c>
      <c r="W174" s="24">
        <v>31</v>
      </c>
      <c r="X174" s="24">
        <v>586</v>
      </c>
      <c r="Y174" s="43">
        <f>(630/Q174)-1</f>
        <v>-4.5454545454545414E-2</v>
      </c>
      <c r="Z174" s="43">
        <f>(10/18)-1</f>
        <v>-0.44444444444444442</v>
      </c>
      <c r="AA174" s="57">
        <f t="shared" si="2"/>
        <v>-2.498247101461315E-2</v>
      </c>
      <c r="AB174" s="57">
        <f t="shared" si="3"/>
        <v>2.7272727272727271E-2</v>
      </c>
      <c r="AC174" s="57">
        <f t="shared" ref="AC174:AC176" si="17">10/630</f>
        <v>1.5873015873015872E-2</v>
      </c>
      <c r="AD174" s="56">
        <f t="shared" si="5"/>
        <v>3.3870967741935485</v>
      </c>
      <c r="AE174" s="58"/>
      <c r="AF174" s="56">
        <f t="shared" si="7"/>
        <v>106.73484848484848</v>
      </c>
      <c r="AG174" s="58">
        <f t="shared" si="8"/>
        <v>1.5402843601895735</v>
      </c>
      <c r="AH174" s="58">
        <f t="shared" si="9"/>
        <v>0.70790816326530615</v>
      </c>
      <c r="AI174" s="57">
        <f t="shared" si="10"/>
        <v>8.5308056872037921E-2</v>
      </c>
      <c r="AJ174" s="58">
        <f t="shared" si="11"/>
        <v>1</v>
      </c>
      <c r="AK174" s="57">
        <f t="shared" si="12"/>
        <v>2.2959183673469389E-2</v>
      </c>
      <c r="AL174" s="56">
        <f t="shared" ca="1" si="13"/>
        <v>71.400000000000006</v>
      </c>
      <c r="AM174" s="57">
        <f t="shared" ca="1" si="14"/>
        <v>1.4005602240896359E-2</v>
      </c>
      <c r="AN174" s="56">
        <f t="shared" si="15"/>
        <v>127.22222222222221</v>
      </c>
      <c r="AO174" s="56">
        <f t="shared" ca="1" si="16"/>
        <v>2.8061135371179042</v>
      </c>
    </row>
    <row r="175" spans="1:41" ht="15.75" customHeight="1" x14ac:dyDescent="0.3">
      <c r="A175" s="54">
        <v>526596</v>
      </c>
      <c r="B175" s="55" t="s">
        <v>29</v>
      </c>
      <c r="C175" s="24">
        <f ca="1">IFERROR(__xludf.DUMMYFUNCTION("GOOGLEFINANCE(""bom:""&amp;A175,""price"")"),298.45)</f>
        <v>298.45</v>
      </c>
      <c r="D175" s="56">
        <f ca="1">IFERROR(__xludf.DUMMYFUNCTION("GOOGLEFINANCE(""bom:""&amp;A175,""marketcap"")/10000000"),504.5530247)</f>
        <v>504.55302469999998</v>
      </c>
      <c r="G175" s="24">
        <v>461</v>
      </c>
      <c r="H175" s="24">
        <v>257</v>
      </c>
      <c r="I175" s="24">
        <v>17</v>
      </c>
      <c r="J175" s="24">
        <v>187</v>
      </c>
      <c r="K175" s="24">
        <v>138</v>
      </c>
      <c r="L175" s="24">
        <v>109</v>
      </c>
      <c r="M175" s="24">
        <v>10</v>
      </c>
      <c r="N175" s="56">
        <v>3</v>
      </c>
      <c r="O175" s="57">
        <v>5.4999999999999997E-3</v>
      </c>
      <c r="P175" s="24">
        <v>546</v>
      </c>
      <c r="Q175" s="24">
        <v>654</v>
      </c>
      <c r="R175" s="24">
        <v>13</v>
      </c>
      <c r="W175" s="24">
        <v>12</v>
      </c>
      <c r="X175" s="24">
        <v>593</v>
      </c>
      <c r="Y175" s="43">
        <f>(633/Q175)-1</f>
        <v>-3.2110091743119296E-2</v>
      </c>
      <c r="Z175" s="43">
        <f>6/633</f>
        <v>9.4786729857819912E-3</v>
      </c>
      <c r="AA175" s="57">
        <f t="shared" si="2"/>
        <v>3.6757106943644535E-2</v>
      </c>
      <c r="AB175" s="57">
        <f t="shared" si="3"/>
        <v>1.9877675840978593E-2</v>
      </c>
      <c r="AC175" s="57">
        <f t="shared" si="17"/>
        <v>1.5873015873015872E-2</v>
      </c>
      <c r="AD175" s="56">
        <f t="shared" si="5"/>
        <v>6.083333333333333</v>
      </c>
      <c r="AE175" s="58"/>
      <c r="AF175" s="56">
        <f t="shared" si="7"/>
        <v>60.833333333333329</v>
      </c>
      <c r="AG175" s="58">
        <f t="shared" si="8"/>
        <v>0.73796791443850263</v>
      </c>
      <c r="AH175" s="58">
        <f t="shared" si="9"/>
        <v>0.55748373101952275</v>
      </c>
      <c r="AI175" s="57">
        <f t="shared" si="10"/>
        <v>6.9518716577540107E-2</v>
      </c>
      <c r="AJ175" s="58">
        <f t="shared" si="11"/>
        <v>0.76470588235294112</v>
      </c>
      <c r="AK175" s="57">
        <f t="shared" si="12"/>
        <v>2.8199566160520606E-2</v>
      </c>
      <c r="AL175" s="56">
        <f t="shared" ca="1" si="13"/>
        <v>99.483333333333334</v>
      </c>
      <c r="AM175" s="57">
        <f t="shared" ca="1" si="14"/>
        <v>1.0051934997487017E-2</v>
      </c>
      <c r="AN175" s="56">
        <f t="shared" si="15"/>
        <v>120</v>
      </c>
      <c r="AO175" s="56">
        <f t="shared" ca="1" si="16"/>
        <v>2.4870833333333331</v>
      </c>
    </row>
    <row r="176" spans="1:41" ht="15.75" customHeight="1" thickBot="1" x14ac:dyDescent="0.35">
      <c r="A176" s="59">
        <v>532829</v>
      </c>
      <c r="B176" s="60" t="s">
        <v>30</v>
      </c>
      <c r="C176" s="32">
        <f ca="1">IFERROR(__xludf.DUMMYFUNCTION("GOOGLEFINANCE(""bom:""&amp;A176,""price"")"),133.7)</f>
        <v>133.69999999999999</v>
      </c>
      <c r="D176" s="61">
        <f ca="1">IFERROR(__xludf.DUMMYFUNCTION("GOOGLEFINANCE(""bom:""&amp;A176,""marketcap"")/10000000"),224.8337921)</f>
        <v>224.83379210000001</v>
      </c>
      <c r="E176" s="16"/>
      <c r="F176" s="16"/>
      <c r="G176" s="32">
        <v>230</v>
      </c>
      <c r="H176" s="32">
        <v>135</v>
      </c>
      <c r="I176" s="32">
        <v>16</v>
      </c>
      <c r="J176" s="32">
        <v>79</v>
      </c>
      <c r="K176" s="32">
        <v>60</v>
      </c>
      <c r="L176" s="32">
        <v>80</v>
      </c>
      <c r="M176" s="32">
        <v>10</v>
      </c>
      <c r="N176" s="61">
        <v>5</v>
      </c>
      <c r="O176" s="62">
        <v>2.5999999999999999E-3</v>
      </c>
      <c r="P176" s="32">
        <v>75</v>
      </c>
      <c r="Q176" s="32">
        <v>202</v>
      </c>
      <c r="R176" s="32">
        <v>5</v>
      </c>
      <c r="S176" s="16"/>
      <c r="T176" s="16"/>
      <c r="U176" s="16"/>
      <c r="V176" s="16"/>
      <c r="W176" s="32">
        <v>5</v>
      </c>
      <c r="X176" s="32">
        <v>188</v>
      </c>
      <c r="Y176" s="63">
        <f>(206/Q176)-1</f>
        <v>1.980198019801982E-2</v>
      </c>
      <c r="Z176" s="63">
        <f>(7/206)</f>
        <v>3.3980582524271843E-2</v>
      </c>
      <c r="AA176" s="62">
        <f t="shared" si="2"/>
        <v>0.21915246532175248</v>
      </c>
      <c r="AB176" s="62">
        <f t="shared" si="3"/>
        <v>2.4752475247524754E-2</v>
      </c>
      <c r="AC176" s="62">
        <f t="shared" si="17"/>
        <v>1.5873015873015872E-2</v>
      </c>
      <c r="AD176" s="61">
        <f t="shared" si="5"/>
        <v>3.8</v>
      </c>
      <c r="AE176" s="64"/>
      <c r="AF176" s="61">
        <f t="shared" si="7"/>
        <v>144.55445544554456</v>
      </c>
      <c r="AG176" s="64">
        <f t="shared" si="8"/>
        <v>0.759493670886076</v>
      </c>
      <c r="AH176" s="64">
        <f t="shared" si="9"/>
        <v>0.58695652173913049</v>
      </c>
      <c r="AI176" s="62">
        <f t="shared" si="10"/>
        <v>6.3291139240506333E-2</v>
      </c>
      <c r="AJ176" s="64">
        <f t="shared" si="11"/>
        <v>0.3125</v>
      </c>
      <c r="AK176" s="62">
        <f t="shared" si="12"/>
        <v>2.1739130434782608E-2</v>
      </c>
      <c r="AL176" s="61">
        <f t="shared" ca="1" si="13"/>
        <v>26.74</v>
      </c>
      <c r="AM176" s="62">
        <f t="shared" ca="1" si="14"/>
        <v>3.7397157816005985E-2</v>
      </c>
      <c r="AN176" s="61">
        <f t="shared" si="15"/>
        <v>59.375</v>
      </c>
      <c r="AO176" s="61">
        <f t="shared" ca="1" si="16"/>
        <v>2.2517894736842101</v>
      </c>
    </row>
    <row r="177" spans="1:41" ht="15.75" customHeight="1" thickTop="1" thickBot="1" x14ac:dyDescent="0.35"/>
    <row r="178" spans="1:41" ht="15.75" customHeight="1" thickTop="1" x14ac:dyDescent="0.3">
      <c r="A178" s="27"/>
      <c r="B178" s="27" t="s">
        <v>31</v>
      </c>
      <c r="C178" s="27"/>
      <c r="D178" s="65">
        <f ca="1">SUM(D168:D176)</f>
        <v>88262.9967301</v>
      </c>
      <c r="E178" s="27">
        <v>6015.88</v>
      </c>
      <c r="F178" s="27">
        <v>2992.95</v>
      </c>
      <c r="G178" s="27">
        <v>13569.39</v>
      </c>
      <c r="H178" s="27">
        <v>6494.75</v>
      </c>
      <c r="I178" s="27">
        <v>479.37</v>
      </c>
      <c r="J178" s="27">
        <v>6957.64</v>
      </c>
      <c r="K178" s="27">
        <v>3869</v>
      </c>
      <c r="L178" s="27">
        <v>1133.4100000000001</v>
      </c>
      <c r="M178" s="27">
        <v>5</v>
      </c>
      <c r="N178" s="27">
        <v>78</v>
      </c>
      <c r="O178" s="66">
        <v>1</v>
      </c>
      <c r="P178" s="27">
        <v>7611</v>
      </c>
      <c r="Q178" s="27">
        <v>13030</v>
      </c>
      <c r="R178" s="27">
        <v>1163</v>
      </c>
      <c r="S178" s="27">
        <v>9041</v>
      </c>
      <c r="T178" s="27">
        <v>8499</v>
      </c>
      <c r="U178" s="27">
        <v>788</v>
      </c>
      <c r="V178" s="27">
        <v>847</v>
      </c>
      <c r="W178" s="27">
        <v>285</v>
      </c>
      <c r="X178" s="27">
        <v>11489</v>
      </c>
      <c r="Y178" s="66">
        <f>(S178/T178)-1</f>
        <v>6.3772208495117111E-2</v>
      </c>
      <c r="Z178" s="66">
        <f>(U178/V178)-1</f>
        <v>-6.965761511216062E-2</v>
      </c>
      <c r="AA178" s="66">
        <f>(Q178/P178)^(1/5)-1</f>
        <v>0.113526453349579</v>
      </c>
      <c r="AB178" s="66">
        <f t="shared" ref="AB178:AC178" si="18">MEDIAN(AB168:AB176)</f>
        <v>7.8840970350404313E-2</v>
      </c>
      <c r="AC178" s="66">
        <f t="shared" si="18"/>
        <v>6.4143977849561606E-2</v>
      </c>
      <c r="AD178" s="65">
        <f>(Q178-X178+W178)/W178</f>
        <v>6.4070175438596495</v>
      </c>
      <c r="AE178" s="67">
        <f>E178/F178</f>
        <v>2.0100168729848478</v>
      </c>
      <c r="AF178" s="68">
        <f>(L178/Q178)*365</f>
        <v>31.749397544128936</v>
      </c>
      <c r="AG178" s="67">
        <f>K178/J178</f>
        <v>0.55607936024284099</v>
      </c>
      <c r="AH178" s="67">
        <f>H178/G178</f>
        <v>0.47863242194380146</v>
      </c>
      <c r="AI178" s="66">
        <f>R178/J178</f>
        <v>0.16715437993342569</v>
      </c>
      <c r="AJ178" s="67">
        <f>R178/I178</f>
        <v>2.4261009241295866</v>
      </c>
      <c r="AK178" s="66">
        <f>R178/G178</f>
        <v>8.5707611027466976E-2</v>
      </c>
      <c r="AL178" s="65">
        <f t="shared" ref="AL178:AM178" ca="1" si="19">MEDIAN(AL168:AL172)</f>
        <v>81.733333333333334</v>
      </c>
      <c r="AM178" s="66">
        <f t="shared" ca="1" si="19"/>
        <v>1.2234910277324634E-2</v>
      </c>
      <c r="AN178" s="65">
        <f>(I178+J178)/(I178/M178)</f>
        <v>77.57066566535245</v>
      </c>
      <c r="AO178" s="65">
        <f ca="1">MEDIAN(AO168:AO172)</f>
        <v>12.436155419222903</v>
      </c>
    </row>
    <row r="179" spans="1:41" ht="15.75" customHeight="1" x14ac:dyDescent="0.3"/>
    <row r="180" spans="1:41" ht="15.75" customHeight="1" x14ac:dyDescent="0.3">
      <c r="B180" s="69" t="s">
        <v>75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</row>
    <row r="181" spans="1:41" ht="15.75" customHeight="1" x14ac:dyDescent="0.3"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6"/>
    </row>
    <row r="182" spans="1:41" ht="15.75" customHeight="1" x14ac:dyDescent="0.3"/>
    <row r="183" spans="1:41" ht="15.75" customHeight="1" x14ac:dyDescent="0.3"/>
    <row r="184" spans="1:41" ht="15.75" customHeight="1" x14ac:dyDescent="0.3"/>
    <row r="185" spans="1:41" ht="15.75" customHeight="1" x14ac:dyDescent="0.3"/>
    <row r="186" spans="1:41" ht="15.75" customHeight="1" x14ac:dyDescent="0.3"/>
    <row r="187" spans="1:41" ht="15.75" customHeight="1" x14ac:dyDescent="0.3"/>
    <row r="188" spans="1:41" ht="15.75" customHeight="1" x14ac:dyDescent="0.3"/>
    <row r="189" spans="1:41" ht="15.75" customHeight="1" x14ac:dyDescent="0.3"/>
    <row r="190" spans="1:41" ht="15.75" customHeight="1" x14ac:dyDescent="0.3"/>
    <row r="191" spans="1:41" ht="15.75" customHeight="1" x14ac:dyDescent="0.3"/>
    <row r="192" spans="1:41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</sheetData>
  <mergeCells count="2">
    <mergeCell ref="B2:M3"/>
    <mergeCell ref="B180:M181"/>
  </mergeCells>
  <conditionalFormatting sqref="C6:C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1:C2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0:C58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81:C89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40:C15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11:D12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40:D15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1:G2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1:G89">
    <cfRule type="colorScale" priority="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G50:H58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11:H11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40:H148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40:I148">
    <cfRule type="colorScale" priority="1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21:K29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81:K89">
    <cfRule type="colorScale" priority="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140:M148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180" r:id="rId1" xr:uid="{159A4B9A-5E21-4F01-B7D8-DFFB775899E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Footwear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2024-03-01T08:27:40Z</dcterms:created>
  <dcterms:modified xsi:type="dcterms:W3CDTF">2024-03-01T08:28:08Z</dcterms:modified>
</cp:coreProperties>
</file>