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Q3_FY24\"/>
    </mc:Choice>
  </mc:AlternateContent>
  <xr:revisionPtr revIDLastSave="0" documentId="8_{5FAB5409-86A5-48E7-B2BD-AF602B5CB073}" xr6:coauthVersionLast="47" xr6:coauthVersionMax="47" xr10:uidLastSave="{00000000-0000-0000-0000-000000000000}"/>
  <bookViews>
    <workbookView xWindow="-108" yWindow="-108" windowWidth="23256" windowHeight="12456" xr2:uid="{5B1588D6-59F8-40FD-AB12-EB5014000F21}"/>
  </bookViews>
  <sheets>
    <sheet name="RELAXO" sheetId="1" r:id="rId1"/>
    <sheet name="Footwear 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78" i="2" l="1"/>
  <c r="AK178" i="2"/>
  <c r="AJ178" i="2"/>
  <c r="AI178" i="2"/>
  <c r="AH178" i="2"/>
  <c r="AG178" i="2"/>
  <c r="AF178" i="2"/>
  <c r="AE178" i="2"/>
  <c r="AD178" i="2"/>
  <c r="AA178" i="2"/>
  <c r="Z178" i="2"/>
  <c r="Y178" i="2"/>
  <c r="AN176" i="2"/>
  <c r="AK176" i="2"/>
  <c r="AJ176" i="2"/>
  <c r="AI176" i="2"/>
  <c r="AH176" i="2"/>
  <c r="AG176" i="2"/>
  <c r="AF176" i="2"/>
  <c r="AD176" i="2"/>
  <c r="AC176" i="2"/>
  <c r="AB176" i="2"/>
  <c r="AA176" i="2"/>
  <c r="Z176" i="2"/>
  <c r="Y176" i="2"/>
  <c r="D176" i="2"/>
  <c r="C176" i="2"/>
  <c r="AM176" i="2" s="1"/>
  <c r="AN175" i="2"/>
  <c r="AK175" i="2"/>
  <c r="AJ175" i="2"/>
  <c r="AI175" i="2"/>
  <c r="AH175" i="2"/>
  <c r="AG175" i="2"/>
  <c r="AF175" i="2"/>
  <c r="AD175" i="2"/>
  <c r="AC175" i="2"/>
  <c r="AB175" i="2"/>
  <c r="AA175" i="2"/>
  <c r="Z175" i="2"/>
  <c r="Y175" i="2"/>
  <c r="D175" i="2"/>
  <c r="C175" i="2"/>
  <c r="AO175" i="2" s="1"/>
  <c r="AN174" i="2"/>
  <c r="AK174" i="2"/>
  <c r="AJ174" i="2"/>
  <c r="AI174" i="2"/>
  <c r="AH174" i="2"/>
  <c r="AG174" i="2"/>
  <c r="AF174" i="2"/>
  <c r="AD174" i="2"/>
  <c r="AC174" i="2"/>
  <c r="AB174" i="2"/>
  <c r="AA174" i="2"/>
  <c r="Z174" i="2"/>
  <c r="Y174" i="2"/>
  <c r="D174" i="2"/>
  <c r="C174" i="2"/>
  <c r="AM174" i="2" s="1"/>
  <c r="AN173" i="2"/>
  <c r="AK173" i="2"/>
  <c r="AJ173" i="2"/>
  <c r="AI173" i="2"/>
  <c r="AH173" i="2"/>
  <c r="AG173" i="2"/>
  <c r="AF173" i="2"/>
  <c r="AD173" i="2"/>
  <c r="AC173" i="2"/>
  <c r="AB173" i="2"/>
  <c r="AA173" i="2"/>
  <c r="Z173" i="2"/>
  <c r="Y173" i="2"/>
  <c r="D173" i="2"/>
  <c r="C173" i="2"/>
  <c r="AO173" i="2" s="1"/>
  <c r="AN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D172" i="2"/>
  <c r="C172" i="2"/>
  <c r="AM172" i="2" s="1"/>
  <c r="AN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D171" i="2"/>
  <c r="C171" i="2"/>
  <c r="AL171" i="2" s="1"/>
  <c r="AN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D170" i="2"/>
  <c r="C170" i="2"/>
  <c r="AO170" i="2" s="1"/>
  <c r="AN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D169" i="2"/>
  <c r="C169" i="2"/>
  <c r="AO169" i="2" s="1"/>
  <c r="AN168" i="2"/>
  <c r="AL168" i="2"/>
  <c r="AK168" i="2"/>
  <c r="AJ168" i="2"/>
  <c r="AI168" i="2"/>
  <c r="AH168" i="2"/>
  <c r="AG168" i="2"/>
  <c r="AF168" i="2"/>
  <c r="AE168" i="2"/>
  <c r="AD168" i="2"/>
  <c r="AC168" i="2"/>
  <c r="AC178" i="2" s="1"/>
  <c r="AB168" i="2"/>
  <c r="AB178" i="2" s="1"/>
  <c r="AA168" i="2"/>
  <c r="Z168" i="2"/>
  <c r="Y168" i="2"/>
  <c r="D168" i="2"/>
  <c r="D178" i="2" s="1"/>
  <c r="C168" i="2"/>
  <c r="AM168" i="2" s="1"/>
  <c r="H9" i="2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R40" i="1"/>
  <c r="Q40" i="1"/>
  <c r="S37" i="1" s="1"/>
  <c r="M40" i="1"/>
  <c r="L40" i="1"/>
  <c r="M39" i="1"/>
  <c r="L39" i="1"/>
  <c r="T38" i="1"/>
  <c r="M38" i="1"/>
  <c r="L38" i="1"/>
  <c r="T37" i="1"/>
  <c r="M37" i="1"/>
  <c r="L37" i="1"/>
  <c r="T36" i="1"/>
  <c r="M36" i="1"/>
  <c r="L36" i="1"/>
  <c r="T35" i="1"/>
  <c r="M35" i="1"/>
  <c r="L35" i="1"/>
  <c r="T34" i="1"/>
  <c r="M34" i="1"/>
  <c r="L34" i="1"/>
  <c r="T33" i="1"/>
  <c r="M33" i="1"/>
  <c r="L33" i="1"/>
  <c r="T32" i="1"/>
  <c r="M32" i="1"/>
  <c r="L32" i="1"/>
  <c r="M31" i="1"/>
  <c r="M23" i="1" s="1"/>
  <c r="L31" i="1"/>
  <c r="M30" i="1"/>
  <c r="L30" i="1"/>
  <c r="I30" i="1"/>
  <c r="W29" i="1"/>
  <c r="V29" i="1"/>
  <c r="X29" i="1" s="1"/>
  <c r="S29" i="1"/>
  <c r="R29" i="1"/>
  <c r="Q29" i="1"/>
  <c r="M29" i="1"/>
  <c r="L29" i="1"/>
  <c r="L22" i="1" s="1"/>
  <c r="I29" i="1"/>
  <c r="W28" i="1"/>
  <c r="V28" i="1"/>
  <c r="X28" i="1" s="1"/>
  <c r="R28" i="1"/>
  <c r="Q28" i="1"/>
  <c r="S28" i="1" s="1"/>
  <c r="M28" i="1"/>
  <c r="M21" i="1" s="1"/>
  <c r="L28" i="1"/>
  <c r="I28" i="1"/>
  <c r="X27" i="1"/>
  <c r="S27" i="1"/>
  <c r="M27" i="1"/>
  <c r="L27" i="1"/>
  <c r="L23" i="1" s="1"/>
  <c r="I27" i="1"/>
  <c r="I21" i="1" s="1"/>
  <c r="X26" i="1"/>
  <c r="S26" i="1"/>
  <c r="X25" i="1"/>
  <c r="S25" i="1"/>
  <c r="K25" i="1"/>
  <c r="J25" i="1"/>
  <c r="H25" i="1"/>
  <c r="X24" i="1"/>
  <c r="S24" i="1"/>
  <c r="M24" i="1"/>
  <c r="L24" i="1"/>
  <c r="N24" i="1" s="1"/>
  <c r="K24" i="1"/>
  <c r="J24" i="1"/>
  <c r="I24" i="1"/>
  <c r="H24" i="1"/>
  <c r="G24" i="1"/>
  <c r="F24" i="1"/>
  <c r="E24" i="1"/>
  <c r="C24" i="1"/>
  <c r="X23" i="1"/>
  <c r="S23" i="1"/>
  <c r="K23" i="1"/>
  <c r="J23" i="1"/>
  <c r="I23" i="1"/>
  <c r="H23" i="1"/>
  <c r="G23" i="1"/>
  <c r="F23" i="1"/>
  <c r="E23" i="1"/>
  <c r="C23" i="1"/>
  <c r="X22" i="1"/>
  <c r="S22" i="1"/>
  <c r="K22" i="1"/>
  <c r="J22" i="1"/>
  <c r="H22" i="1"/>
  <c r="G22" i="1"/>
  <c r="F22" i="1"/>
  <c r="E22" i="1"/>
  <c r="C22" i="1"/>
  <c r="X21" i="1"/>
  <c r="S21" i="1"/>
  <c r="L21" i="1"/>
  <c r="N21" i="1" s="1"/>
  <c r="K21" i="1"/>
  <c r="J21" i="1"/>
  <c r="H21" i="1"/>
  <c r="G21" i="1"/>
  <c r="F21" i="1"/>
  <c r="E21" i="1"/>
  <c r="C21" i="1"/>
  <c r="C17" i="1" s="1"/>
  <c r="Q14" i="1"/>
  <c r="G14" i="1"/>
  <c r="F14" i="1"/>
  <c r="F18" i="1" s="1"/>
  <c r="E14" i="1"/>
  <c r="C14" i="1"/>
  <c r="E13" i="1"/>
  <c r="O12" i="1"/>
  <c r="O9" i="1"/>
  <c r="I9" i="1"/>
  <c r="G9" i="1"/>
  <c r="F9" i="1"/>
  <c r="E9" i="1"/>
  <c r="D9" i="1"/>
  <c r="C9" i="1"/>
  <c r="B9" i="1"/>
  <c r="U5" i="1"/>
  <c r="T5" i="1"/>
  <c r="S5" i="1"/>
  <c r="R5" i="1"/>
  <c r="Q5" i="1"/>
  <c r="O5" i="1"/>
  <c r="N5" i="1"/>
  <c r="M5" i="1"/>
  <c r="L5" i="1"/>
  <c r="J5" i="1"/>
  <c r="I5" i="1"/>
  <c r="H5" i="1"/>
  <c r="P4" i="1"/>
  <c r="K4" i="1"/>
  <c r="G4" i="1"/>
  <c r="F4" i="1"/>
  <c r="E4" i="1"/>
  <c r="P3" i="1"/>
  <c r="H9" i="1" s="1"/>
  <c r="K3" i="1"/>
  <c r="K5" i="1" s="1"/>
  <c r="G3" i="1"/>
  <c r="E3" i="1"/>
  <c r="E5" i="1" s="1"/>
  <c r="D3" i="1"/>
  <c r="C3" i="1"/>
  <c r="C5" i="1" s="1"/>
  <c r="D4" i="1" l="1"/>
  <c r="D5" i="1" s="1"/>
  <c r="AM171" i="2"/>
  <c r="AL175" i="2"/>
  <c r="AL176" i="2"/>
  <c r="N9" i="1"/>
  <c r="AO176" i="2"/>
  <c r="AO172" i="2"/>
  <c r="AL178" i="2"/>
  <c r="AM178" i="2"/>
  <c r="P9" i="1"/>
  <c r="AO168" i="2"/>
  <c r="AL169" i="2"/>
  <c r="AO174" i="2"/>
  <c r="AM175" i="2"/>
  <c r="R14" i="1"/>
  <c r="T12" i="1" s="1"/>
  <c r="Q9" i="1" s="1"/>
  <c r="AM169" i="2"/>
  <c r="AO171" i="2"/>
  <c r="S14" i="1"/>
  <c r="AL170" i="2"/>
  <c r="AL173" i="2"/>
  <c r="AM170" i="2"/>
  <c r="AM173" i="2"/>
  <c r="AL174" i="2"/>
  <c r="M9" i="1"/>
  <c r="N22" i="1"/>
  <c r="N25" i="1" s="1"/>
  <c r="H14" i="1" s="1"/>
  <c r="H17" i="1"/>
  <c r="F13" i="1" s="1"/>
  <c r="C12" i="1"/>
  <c r="C13" i="1"/>
  <c r="N23" i="1"/>
  <c r="G5" i="1"/>
  <c r="E12" i="1"/>
  <c r="I22" i="1"/>
  <c r="S32" i="1"/>
  <c r="S34" i="1"/>
  <c r="S36" i="1"/>
  <c r="S38" i="1"/>
  <c r="S40" i="1"/>
  <c r="P5" i="1"/>
  <c r="T40" i="1"/>
  <c r="F3" i="1"/>
  <c r="M22" i="1"/>
  <c r="S33" i="1"/>
  <c r="S35" i="1"/>
  <c r="AO178" i="2" l="1"/>
  <c r="G13" i="1"/>
  <c r="F12" i="1"/>
  <c r="J9" i="1"/>
  <c r="F5" i="1"/>
  <c r="L9" i="1"/>
  <c r="K9" i="1"/>
  <c r="H13" i="1" l="1"/>
  <c r="G12" i="1"/>
  <c r="H12" i="1" s="1"/>
</calcChain>
</file>

<file path=xl/sharedStrings.xml><?xml version="1.0" encoding="utf-8"?>
<sst xmlns="http://schemas.openxmlformats.org/spreadsheetml/2006/main" count="436" uniqueCount="191">
  <si>
    <t>MARKET</t>
  </si>
  <si>
    <t>INCOME</t>
  </si>
  <si>
    <t>BALANCESHEET</t>
  </si>
  <si>
    <t>CASHFLOW</t>
  </si>
  <si>
    <t>COMPANY</t>
  </si>
  <si>
    <t>PRICE</t>
  </si>
  <si>
    <t>MCAP</t>
  </si>
  <si>
    <t>SALES</t>
  </si>
  <si>
    <t>PROFIT</t>
  </si>
  <si>
    <t>TRAIL_EPS</t>
  </si>
  <si>
    <t>EQUITY</t>
  </si>
  <si>
    <t>RESERVE</t>
  </si>
  <si>
    <t>BORROWING</t>
  </si>
  <si>
    <t>LEASE</t>
  </si>
  <si>
    <t>FV</t>
  </si>
  <si>
    <t>CUR.ASSET</t>
  </si>
  <si>
    <t>CUR.LIABILITY</t>
  </si>
  <si>
    <t>ASSET</t>
  </si>
  <si>
    <t>LIABILITY</t>
  </si>
  <si>
    <t>TRADE REC</t>
  </si>
  <si>
    <t>CFO</t>
  </si>
  <si>
    <t>CFI</t>
  </si>
  <si>
    <t>CFF</t>
  </si>
  <si>
    <t>PPE</t>
  </si>
  <si>
    <t>RELAXO</t>
  </si>
  <si>
    <t>LAST YEAR</t>
  </si>
  <si>
    <t>GROWTH</t>
  </si>
  <si>
    <t>LIQUIDITY</t>
  </si>
  <si>
    <t>SOLVENCY</t>
  </si>
  <si>
    <t>PROFITABILITY</t>
  </si>
  <si>
    <t>VALUATIONS</t>
  </si>
  <si>
    <t>SALES GROWTH</t>
  </si>
  <si>
    <t>PROFIT GROWTH</t>
  </si>
  <si>
    <t>P-MARGIN</t>
  </si>
  <si>
    <t>CUR.RATIO</t>
  </si>
  <si>
    <t>TR. REC. DAYS</t>
  </si>
  <si>
    <t>DEBT2EQUITY</t>
  </si>
  <si>
    <t>DEBTRATIO</t>
  </si>
  <si>
    <t>ICR</t>
  </si>
  <si>
    <t>ROE</t>
  </si>
  <si>
    <t>ROPE</t>
  </si>
  <si>
    <t>ROA</t>
  </si>
  <si>
    <t>TRAIL_PE</t>
  </si>
  <si>
    <t>YIELD</t>
  </si>
  <si>
    <t>BOOKVALUE</t>
  </si>
  <si>
    <t>PBV</t>
  </si>
  <si>
    <t>PEG</t>
  </si>
  <si>
    <t>ESTIMATE</t>
  </si>
  <si>
    <t>Pairs</t>
  </si>
  <si>
    <t>Year</t>
  </si>
  <si>
    <t>Sales</t>
  </si>
  <si>
    <t>Profit</t>
  </si>
  <si>
    <t>EPS</t>
  </si>
  <si>
    <t>FAIRVALUE</t>
  </si>
  <si>
    <t>Current Trend</t>
  </si>
  <si>
    <t>Q4_FY23</t>
  </si>
  <si>
    <t>Q1_FY24</t>
  </si>
  <si>
    <t>Q2_FY24</t>
  </si>
  <si>
    <t>Q3_FY24</t>
  </si>
  <si>
    <t>T-EPS-2022</t>
  </si>
  <si>
    <t>EPS_23</t>
  </si>
  <si>
    <t>EST_EPS_24</t>
  </si>
  <si>
    <t>EST_FY_2035</t>
  </si>
  <si>
    <t>EST_FY_2030</t>
  </si>
  <si>
    <t>PE_23</t>
  </si>
  <si>
    <t>F_EPS_23</t>
  </si>
  <si>
    <t>EST_FY_2024</t>
  </si>
  <si>
    <t>Q1</t>
  </si>
  <si>
    <t>Q1+Q2</t>
  </si>
  <si>
    <t>Q1+Q2+Q3</t>
  </si>
  <si>
    <t>EST_FY24</t>
  </si>
  <si>
    <t>Years</t>
  </si>
  <si>
    <t>FY_23</t>
  </si>
  <si>
    <t>H1_FY24</t>
  </si>
  <si>
    <t>9M_FY24</t>
  </si>
  <si>
    <t>Est_FY2024</t>
  </si>
  <si>
    <t>MARGIN</t>
  </si>
  <si>
    <t>LONGTERM</t>
  </si>
  <si>
    <t>FY_2024</t>
  </si>
  <si>
    <t>Growth</t>
  </si>
  <si>
    <t>Equity</t>
  </si>
  <si>
    <t>Margin</t>
  </si>
  <si>
    <t>HIgh Price</t>
  </si>
  <si>
    <t>Low Price</t>
  </si>
  <si>
    <t>HIghPE</t>
  </si>
  <si>
    <t>LowPE</t>
  </si>
  <si>
    <t>Int PE</t>
  </si>
  <si>
    <t>RESULT</t>
  </si>
  <si>
    <t>9M_FY_24</t>
  </si>
  <si>
    <t>9M_FY_23</t>
  </si>
  <si>
    <t>H1_FY_24</t>
  </si>
  <si>
    <t>H1_FY_23</t>
  </si>
  <si>
    <t>20 Years</t>
  </si>
  <si>
    <t>PAIRS</t>
  </si>
  <si>
    <t>10 Years</t>
  </si>
  <si>
    <t>AVG.PRICE</t>
  </si>
  <si>
    <t>5 Years</t>
  </si>
  <si>
    <t>CY GROWTH</t>
  </si>
  <si>
    <t>COST</t>
  </si>
  <si>
    <t>FINANCE</t>
  </si>
  <si>
    <t>Actuual Data</t>
  </si>
  <si>
    <t>HIgh PE</t>
  </si>
  <si>
    <t>Low PE</t>
  </si>
  <si>
    <t>FY_2023</t>
  </si>
  <si>
    <t>FY_2022</t>
  </si>
  <si>
    <t>Bonus 1:1</t>
  </si>
  <si>
    <t>FY_2021</t>
  </si>
  <si>
    <t>FY_2020</t>
  </si>
  <si>
    <t>FY_2019</t>
  </si>
  <si>
    <t>MAJORCOST</t>
  </si>
  <si>
    <t>SHARE</t>
  </si>
  <si>
    <t>FY_2018</t>
  </si>
  <si>
    <t>RAWMATERIAL</t>
  </si>
  <si>
    <t>FY_2017</t>
  </si>
  <si>
    <t>OTHER COST</t>
  </si>
  <si>
    <t>FY_2016</t>
  </si>
  <si>
    <t>EMPLOYEE</t>
  </si>
  <si>
    <t>split 5 to 1</t>
  </si>
  <si>
    <t>FY_2015</t>
  </si>
  <si>
    <t>D&amp;A</t>
  </si>
  <si>
    <t>FY_2014</t>
  </si>
  <si>
    <t>STOCKINTRADE</t>
  </si>
  <si>
    <t>FY_2013</t>
  </si>
  <si>
    <t>FY_2012</t>
  </si>
  <si>
    <t>INVENTORY</t>
  </si>
  <si>
    <t>FY_2011</t>
  </si>
  <si>
    <t>FY_2010</t>
  </si>
  <si>
    <t>TOTAL COST</t>
  </si>
  <si>
    <t>FY_2009</t>
  </si>
  <si>
    <t>FY_2008</t>
  </si>
  <si>
    <t>FY_2007</t>
  </si>
  <si>
    <t>FY_2006</t>
  </si>
  <si>
    <t>FY_2005</t>
  </si>
  <si>
    <t>FY_2004</t>
  </si>
  <si>
    <t>FY_2003</t>
  </si>
  <si>
    <t>FY_2002</t>
  </si>
  <si>
    <t>FY_2001</t>
  </si>
  <si>
    <t>FY_2000</t>
  </si>
  <si>
    <t>FOOTWEAR INDUSTRY</t>
  </si>
  <si>
    <t>PER/CAPITA</t>
  </si>
  <si>
    <t># OF PAIRS</t>
  </si>
  <si>
    <t>INDIA</t>
  </si>
  <si>
    <t>MARKET IN CR</t>
  </si>
  <si>
    <t>UN_ORGANISED</t>
  </si>
  <si>
    <t>ORGANISED</t>
  </si>
  <si>
    <t>FY_20</t>
  </si>
  <si>
    <t>WORLD</t>
  </si>
  <si>
    <t>FY_21 (COVID)</t>
  </si>
  <si>
    <t>FY_2025</t>
  </si>
  <si>
    <t>ADV. ECO</t>
  </si>
  <si>
    <t>FY_22</t>
  </si>
  <si>
    <t>EST_FY_25</t>
  </si>
  <si>
    <t>SIZE</t>
  </si>
  <si>
    <t>MARKETCAP</t>
  </si>
  <si>
    <t>SALES_23</t>
  </si>
  <si>
    <t>PROFIT_23</t>
  </si>
  <si>
    <t>METROBRAND</t>
  </si>
  <si>
    <t>BATAINDIA</t>
  </si>
  <si>
    <t>REDTAPE</t>
  </si>
  <si>
    <t>CAMPUS</t>
  </si>
  <si>
    <t>SREEL</t>
  </si>
  <si>
    <t>KHADIM</t>
  </si>
  <si>
    <t>LIBERTSHOE</t>
  </si>
  <si>
    <t>LEHAR</t>
  </si>
  <si>
    <t>INDUSTRY</t>
  </si>
  <si>
    <t>SALES_5Y_GR</t>
  </si>
  <si>
    <t>CY_SALES GR</t>
  </si>
  <si>
    <t>CY_PROFIT_GR</t>
  </si>
  <si>
    <t>INCLUDED BORROWING &amp; LEASE</t>
  </si>
  <si>
    <t>MARGIN_23</t>
  </si>
  <si>
    <t>CY_MARGIN</t>
  </si>
  <si>
    <t>TR.DAYS</t>
  </si>
  <si>
    <t>CUR. RATIO</t>
  </si>
  <si>
    <t>RAWDATA</t>
  </si>
  <si>
    <t>Security Code</t>
  </si>
  <si>
    <t>CMP</t>
  </si>
  <si>
    <t>CUR ASSET</t>
  </si>
  <si>
    <t>CUR LIABILITY</t>
  </si>
  <si>
    <t>TOT. ASSET</t>
  </si>
  <si>
    <t>TOT. LIABILITY</t>
  </si>
  <si>
    <t>TOT. EQUITY</t>
  </si>
  <si>
    <t>TRADE REC.</t>
  </si>
  <si>
    <t>Companies weightage</t>
  </si>
  <si>
    <t>SALES_18</t>
  </si>
  <si>
    <t>9M_FY24_SALES</t>
  </si>
  <si>
    <t>9M_FY23_SALES</t>
  </si>
  <si>
    <t>9M_FY24_PROFIT</t>
  </si>
  <si>
    <t>9M_FY23_PROFIT</t>
  </si>
  <si>
    <t>EXPENSE</t>
  </si>
  <si>
    <t>CY_PRPFIT_GR</t>
  </si>
  <si>
    <t>WWW.PROFITFROMIT.IN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</si>
</sst>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0.0%"/>
    <numFmt numFmtId="167" formatCode="0.000"/>
    <numFmt numFmtId="168" formatCode="dmmmyyyy"/>
  </numFmts>
  <fonts count="1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FFFFFF"/>
      <name val="Arial"/>
    </font>
    <font>
      <sz val="11"/>
      <color theme="1"/>
      <name val="Arial"/>
    </font>
    <font>
      <b/>
      <i/>
      <sz val="11"/>
      <color theme="1"/>
      <name val="Arial"/>
    </font>
    <font>
      <sz val="11"/>
      <color rgb="FF4285F4"/>
      <name val="Arial"/>
    </font>
    <font>
      <sz val="28"/>
      <color theme="1"/>
      <name val="Arial"/>
    </font>
    <font>
      <b/>
      <sz val="11"/>
      <color rgb="FF4285F4"/>
      <name val="Arial"/>
    </font>
    <font>
      <b/>
      <sz val="11"/>
      <color rgb="FF0000FF"/>
      <name val="Arial"/>
    </font>
    <font>
      <b/>
      <sz val="23"/>
      <color rgb="FFFFFFFF"/>
      <name val="Arial"/>
    </font>
    <font>
      <sz val="11"/>
      <name val="Arial"/>
    </font>
    <font>
      <b/>
      <sz val="11"/>
      <color rgb="FFFFFFFF"/>
      <name val="Arial"/>
    </font>
    <font>
      <b/>
      <sz val="10"/>
      <color rgb="FFFFFFFF"/>
      <name val="Arial"/>
    </font>
    <font>
      <sz val="10"/>
      <color theme="1"/>
      <name val="Calibri"/>
      <scheme val="minor"/>
    </font>
    <font>
      <sz val="11"/>
      <color theme="1"/>
      <name val="Calibri"/>
    </font>
    <font>
      <b/>
      <sz val="11"/>
      <color theme="1"/>
      <name val="Arial"/>
    </font>
    <font>
      <sz val="11"/>
      <color rgb="FF000000"/>
      <name val="Calibri"/>
    </font>
    <font>
      <b/>
      <u/>
      <sz val="23"/>
      <color rgb="FF0000FF"/>
      <name val="Arial"/>
    </font>
  </fonts>
  <fills count="15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D6D6D6"/>
        <bgColor rgb="FFD6D6D6"/>
      </patternFill>
    </fill>
    <fill>
      <patternFill patternType="solid">
        <fgColor rgb="FF57BB8A"/>
        <bgColor rgb="FF57BB8A"/>
      </patternFill>
    </fill>
    <fill>
      <patternFill patternType="solid">
        <fgColor rgb="FFFFFFFF"/>
        <bgColor rgb="FFFFFFFF"/>
      </patternFill>
    </fill>
    <fill>
      <patternFill patternType="solid">
        <fgColor rgb="FFC3E7D5"/>
        <bgColor rgb="FFC3E7D5"/>
      </patternFill>
    </fill>
    <fill>
      <patternFill patternType="solid">
        <fgColor rgb="FFE67C73"/>
        <bgColor rgb="FFE67C73"/>
      </patternFill>
    </fill>
    <fill>
      <patternFill patternType="solid">
        <fgColor theme="0"/>
        <bgColor theme="0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073763"/>
        <bgColor rgb="FF073763"/>
      </patternFill>
    </fill>
    <fill>
      <patternFill patternType="solid">
        <fgColor rgb="FF4C1130"/>
        <bgColor rgb="FF4C113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Font="1" applyFill="1" applyBorder="1"/>
    <xf numFmtId="0" fontId="1" fillId="0" borderId="0" xfId="0" applyFont="1" applyAlignment="1">
      <alignment horizontal="left"/>
    </xf>
    <xf numFmtId="0" fontId="3" fillId="0" borderId="0" xfId="0" applyFont="1"/>
    <xf numFmtId="1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0" xfId="0" applyFont="1"/>
    <xf numFmtId="9" fontId="3" fillId="0" borderId="0" xfId="0" applyNumberFormat="1" applyFont="1"/>
    <xf numFmtId="0" fontId="1" fillId="0" borderId="1" xfId="0" applyFont="1" applyBorder="1"/>
    <xf numFmtId="0" fontId="4" fillId="3" borderId="2" xfId="0" applyFont="1" applyFill="1" applyBorder="1"/>
    <xf numFmtId="9" fontId="4" fillId="3" borderId="2" xfId="0" applyNumberFormat="1" applyFont="1" applyFill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lef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right"/>
    </xf>
    <xf numFmtId="9" fontId="3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3" fontId="3" fillId="4" borderId="1" xfId="0" applyNumberFormat="1" applyFont="1" applyFill="1" applyBorder="1" applyAlignment="1">
      <alignment horizontal="right"/>
    </xf>
    <xf numFmtId="3" fontId="3" fillId="4" borderId="1" xfId="0" applyNumberFormat="1" applyFont="1" applyFill="1" applyBorder="1"/>
    <xf numFmtId="166" fontId="3" fillId="4" borderId="1" xfId="0" applyNumberFormat="1" applyFont="1" applyFill="1" applyBorder="1" applyAlignment="1">
      <alignment horizontal="right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right"/>
    </xf>
    <xf numFmtId="1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6" fillId="3" borderId="0" xfId="0" applyNumberFormat="1" applyFont="1" applyFill="1" applyAlignment="1">
      <alignment horizontal="center" vertical="center"/>
    </xf>
    <xf numFmtId="2" fontId="1" fillId="0" borderId="0" xfId="0" applyNumberFormat="1" applyFont="1"/>
    <xf numFmtId="0" fontId="0" fillId="0" borderId="0" xfId="0"/>
    <xf numFmtId="165" fontId="3" fillId="5" borderId="1" xfId="0" applyNumberFormat="1" applyFont="1" applyFill="1" applyBorder="1"/>
    <xf numFmtId="3" fontId="3" fillId="5" borderId="1" xfId="0" applyNumberFormat="1" applyFont="1" applyFill="1" applyBorder="1"/>
    <xf numFmtId="1" fontId="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9" fontId="3" fillId="6" borderId="1" xfId="0" applyNumberFormat="1" applyFont="1" applyFill="1" applyBorder="1" applyAlignment="1">
      <alignment horizontal="right"/>
    </xf>
    <xf numFmtId="9" fontId="3" fillId="7" borderId="1" xfId="0" applyNumberFormat="1" applyFont="1" applyFill="1" applyBorder="1" applyAlignment="1">
      <alignment horizontal="right"/>
    </xf>
    <xf numFmtId="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9" fontId="3" fillId="5" borderId="1" xfId="0" applyNumberFormat="1" applyFont="1" applyFill="1" applyBorder="1" applyAlignment="1">
      <alignment horizontal="right"/>
    </xf>
    <xf numFmtId="166" fontId="3" fillId="5" borderId="1" xfId="0" applyNumberFormat="1" applyFont="1" applyFill="1" applyBorder="1" applyAlignment="1">
      <alignment horizontal="right"/>
    </xf>
    <xf numFmtId="9" fontId="3" fillId="8" borderId="1" xfId="0" applyNumberFormat="1" applyFont="1" applyFill="1" applyBorder="1" applyAlignment="1">
      <alignment horizontal="right"/>
    </xf>
    <xf numFmtId="10" fontId="3" fillId="0" borderId="0" xfId="0" applyNumberFormat="1" applyFont="1"/>
    <xf numFmtId="166" fontId="3" fillId="9" borderId="1" xfId="0" applyNumberFormat="1" applyFont="1" applyFill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166" fontId="1" fillId="0" borderId="0" xfId="0" applyNumberFormat="1" applyFont="1"/>
    <xf numFmtId="1" fontId="3" fillId="0" borderId="0" xfId="0" applyNumberFormat="1" applyFont="1"/>
    <xf numFmtId="1" fontId="3" fillId="0" borderId="0" xfId="0" applyNumberFormat="1" applyFont="1" applyAlignment="1">
      <alignment horizontal="right"/>
    </xf>
    <xf numFmtId="1" fontId="2" fillId="2" borderId="1" xfId="0" applyNumberFormat="1" applyFont="1" applyFill="1" applyBorder="1"/>
    <xf numFmtId="166" fontId="2" fillId="2" borderId="1" xfId="0" applyNumberFormat="1" applyFont="1" applyFill="1" applyBorder="1"/>
    <xf numFmtId="2" fontId="3" fillId="10" borderId="0" xfId="0" applyNumberFormat="1" applyFont="1" applyFill="1"/>
    <xf numFmtId="0" fontId="3" fillId="10" borderId="0" xfId="0" applyFont="1" applyFill="1"/>
    <xf numFmtId="164" fontId="3" fillId="0" borderId="1" xfId="0" applyNumberFormat="1" applyFont="1" applyBorder="1"/>
    <xf numFmtId="0" fontId="3" fillId="7" borderId="1" xfId="0" applyFont="1" applyFill="1" applyBorder="1" applyAlignment="1">
      <alignment horizontal="right"/>
    </xf>
    <xf numFmtId="1" fontId="3" fillId="11" borderId="1" xfId="0" applyNumberFormat="1" applyFont="1" applyFill="1" applyBorder="1" applyAlignment="1">
      <alignment horizontal="right"/>
    </xf>
    <xf numFmtId="167" fontId="3" fillId="0" borderId="0" xfId="0" applyNumberFormat="1" applyFont="1"/>
    <xf numFmtId="168" fontId="3" fillId="0" borderId="0" xfId="0" applyNumberFormat="1" applyFont="1"/>
    <xf numFmtId="0" fontId="3" fillId="12" borderId="1" xfId="0" applyFont="1" applyFill="1" applyBorder="1" applyAlignment="1">
      <alignment horizontal="right"/>
    </xf>
    <xf numFmtId="4" fontId="3" fillId="0" borderId="0" xfId="0" applyNumberFormat="1" applyFont="1"/>
    <xf numFmtId="1" fontId="3" fillId="10" borderId="0" xfId="0" applyNumberFormat="1" applyFont="1" applyFill="1"/>
    <xf numFmtId="4" fontId="3" fillId="10" borderId="0" xfId="0" applyNumberFormat="1" applyFont="1" applyFill="1"/>
    <xf numFmtId="1" fontId="3" fillId="12" borderId="1" xfId="0" applyNumberFormat="1" applyFont="1" applyFill="1" applyBorder="1" applyAlignment="1">
      <alignment horizontal="right"/>
    </xf>
    <xf numFmtId="0" fontId="9" fillId="13" borderId="3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1" fillId="13" borderId="0" xfId="0" applyFont="1" applyFill="1"/>
    <xf numFmtId="0" fontId="12" fillId="13" borderId="0" xfId="0" applyFont="1" applyFill="1"/>
    <xf numFmtId="0" fontId="13" fillId="0" borderId="0" xfId="0" applyFont="1"/>
    <xf numFmtId="9" fontId="13" fillId="0" borderId="0" xfId="0" applyNumberFormat="1" applyFont="1"/>
    <xf numFmtId="9" fontId="1" fillId="0" borderId="0" xfId="0" applyNumberFormat="1" applyFont="1"/>
    <xf numFmtId="0" fontId="13" fillId="0" borderId="8" xfId="0" applyFont="1" applyBorder="1"/>
    <xf numFmtId="9" fontId="13" fillId="0" borderId="8" xfId="0" applyNumberFormat="1" applyFont="1" applyBorder="1"/>
    <xf numFmtId="9" fontId="1" fillId="0" borderId="8" xfId="0" applyNumberFormat="1" applyFont="1" applyBorder="1"/>
    <xf numFmtId="0" fontId="1" fillId="0" borderId="8" xfId="0" applyFont="1" applyBorder="1"/>
    <xf numFmtId="0" fontId="11" fillId="13" borderId="1" xfId="0" applyFont="1" applyFill="1" applyBorder="1"/>
    <xf numFmtId="0" fontId="14" fillId="0" borderId="0" xfId="0" applyFont="1"/>
    <xf numFmtId="0" fontId="3" fillId="0" borderId="0" xfId="0" applyFont="1" applyAlignment="1">
      <alignment horizontal="right"/>
    </xf>
    <xf numFmtId="0" fontId="14" fillId="0" borderId="8" xfId="0" applyFont="1" applyBorder="1"/>
    <xf numFmtId="1" fontId="3" fillId="0" borderId="8" xfId="0" applyNumberFormat="1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15" fillId="3" borderId="9" xfId="0" applyFont="1" applyFill="1" applyBorder="1"/>
    <xf numFmtId="1" fontId="15" fillId="3" borderId="9" xfId="0" applyNumberFormat="1" applyFont="1" applyFill="1" applyBorder="1" applyAlignment="1">
      <alignment horizontal="right"/>
    </xf>
    <xf numFmtId="0" fontId="15" fillId="0" borderId="9" xfId="0" applyFont="1" applyBorder="1"/>
    <xf numFmtId="0" fontId="15" fillId="0" borderId="9" xfId="0" applyFont="1" applyBorder="1" applyAlignment="1">
      <alignment horizontal="right"/>
    </xf>
    <xf numFmtId="9" fontId="3" fillId="0" borderId="0" xfId="0" applyNumberFormat="1" applyFont="1" applyAlignment="1">
      <alignment horizontal="right"/>
    </xf>
    <xf numFmtId="9" fontId="3" fillId="0" borderId="0" xfId="0" applyNumberFormat="1" applyFont="1" applyAlignment="1">
      <alignment horizontal="center"/>
    </xf>
    <xf numFmtId="9" fontId="3" fillId="0" borderId="8" xfId="0" applyNumberFormat="1" applyFont="1" applyBorder="1" applyAlignment="1">
      <alignment horizontal="right"/>
    </xf>
    <xf numFmtId="0" fontId="3" fillId="0" borderId="8" xfId="0" applyFont="1" applyBorder="1"/>
    <xf numFmtId="9" fontId="3" fillId="0" borderId="8" xfId="0" applyNumberFormat="1" applyFont="1" applyBorder="1"/>
    <xf numFmtId="0" fontId="15" fillId="0" borderId="0" xfId="0" applyFont="1"/>
    <xf numFmtId="9" fontId="15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3" fillId="0" borderId="8" xfId="0" applyNumberFormat="1" applyFont="1" applyBorder="1" applyAlignment="1">
      <alignment horizontal="right"/>
    </xf>
    <xf numFmtId="2" fontId="15" fillId="0" borderId="9" xfId="0" applyNumberFormat="1" applyFont="1" applyBorder="1" applyAlignment="1">
      <alignment horizontal="right"/>
    </xf>
    <xf numFmtId="1" fontId="15" fillId="0" borderId="9" xfId="0" applyNumberFormat="1" applyFont="1" applyBorder="1" applyAlignment="1">
      <alignment horizontal="right"/>
    </xf>
    <xf numFmtId="10" fontId="11" fillId="14" borderId="0" xfId="0" applyNumberFormat="1" applyFont="1" applyFill="1" applyAlignment="1">
      <alignment horizontal="center"/>
    </xf>
    <xf numFmtId="166" fontId="3" fillId="0" borderId="0" xfId="0" applyNumberFormat="1" applyFont="1" applyAlignment="1">
      <alignment horizontal="right"/>
    </xf>
    <xf numFmtId="166" fontId="3" fillId="0" borderId="8" xfId="0" applyNumberFormat="1" applyFont="1" applyBorder="1" applyAlignment="1">
      <alignment horizontal="right"/>
    </xf>
    <xf numFmtId="166" fontId="3" fillId="0" borderId="0" xfId="0" applyNumberFormat="1" applyFont="1"/>
    <xf numFmtId="0" fontId="15" fillId="0" borderId="10" xfId="0" applyFont="1" applyBorder="1"/>
    <xf numFmtId="166" fontId="15" fillId="0" borderId="11" xfId="0" applyNumberFormat="1" applyFont="1" applyBorder="1" applyAlignment="1">
      <alignment horizontal="right"/>
    </xf>
    <xf numFmtId="1" fontId="3" fillId="0" borderId="9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0" fontId="11" fillId="13" borderId="12" xfId="0" applyFont="1" applyFill="1" applyBorder="1"/>
    <xf numFmtId="166" fontId="15" fillId="0" borderId="9" xfId="0" applyNumberFormat="1" applyFont="1" applyBorder="1" applyAlignment="1">
      <alignment horizontal="right"/>
    </xf>
    <xf numFmtId="1" fontId="11" fillId="13" borderId="0" xfId="0" applyNumberFormat="1" applyFont="1" applyFill="1"/>
    <xf numFmtId="0" fontId="11" fillId="14" borderId="0" xfId="0" applyFont="1" applyFill="1" applyAlignment="1">
      <alignment horizontal="center"/>
    </xf>
    <xf numFmtId="1" fontId="11" fillId="14" borderId="0" xfId="0" applyNumberFormat="1" applyFont="1" applyFill="1" applyAlignment="1">
      <alignment horizontal="center"/>
    </xf>
    <xf numFmtId="2" fontId="11" fillId="14" borderId="0" xfId="0" applyNumberFormat="1" applyFont="1" applyFill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/>
    <xf numFmtId="2" fontId="3" fillId="0" borderId="0" xfId="0" applyNumberFormat="1" applyFont="1"/>
    <xf numFmtId="0" fontId="16" fillId="0" borderId="8" xfId="0" applyFont="1" applyBorder="1" applyAlignment="1">
      <alignment horizontal="right"/>
    </xf>
    <xf numFmtId="0" fontId="16" fillId="0" borderId="8" xfId="0" applyFont="1" applyBorder="1"/>
    <xf numFmtId="1" fontId="3" fillId="0" borderId="8" xfId="0" applyNumberFormat="1" applyFont="1" applyBorder="1"/>
    <xf numFmtId="10" fontId="3" fillId="0" borderId="8" xfId="0" applyNumberFormat="1" applyFont="1" applyBorder="1"/>
    <xf numFmtId="166" fontId="3" fillId="0" borderId="8" xfId="0" applyNumberFormat="1" applyFont="1" applyBorder="1"/>
    <xf numFmtId="2" fontId="3" fillId="0" borderId="8" xfId="0" applyNumberFormat="1" applyFont="1" applyBorder="1"/>
    <xf numFmtId="1" fontId="15" fillId="0" borderId="9" xfId="0" applyNumberFormat="1" applyFont="1" applyBorder="1"/>
    <xf numFmtId="10" fontId="15" fillId="0" borderId="9" xfId="0" applyNumberFormat="1" applyFont="1" applyBorder="1"/>
    <xf numFmtId="2" fontId="15" fillId="0" borderId="9" xfId="0" applyNumberFormat="1" applyFont="1" applyBorder="1"/>
    <xf numFmtId="1" fontId="3" fillId="0" borderId="9" xfId="0" applyNumberFormat="1" applyFont="1" applyBorder="1"/>
    <xf numFmtId="0" fontId="17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MARKETCAP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'Footwear '!$C$20</c:f>
              <c:strCache>
                <c:ptCount val="1"/>
                <c:pt idx="0">
                  <c:v>MARKETCAP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C380-4569-9E65-61A323FA8250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C380-4569-9E65-61A323FA8250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C380-4569-9E65-61A323FA8250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C380-4569-9E65-61A323FA8250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C380-4569-9E65-61A323FA8250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C380-4569-9E65-61A323FA8250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C380-4569-9E65-61A323FA8250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C380-4569-9E65-61A323FA8250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C380-4569-9E65-61A323FA825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'Footwear '!$B$21:$B$29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'!$C$21:$C$29</c:f>
              <c:numCache>
                <c:formatCode>0</c:formatCode>
                <c:ptCount val="9"/>
                <c:pt idx="0">
                  <c:v>30670.647120000001</c:v>
                </c:pt>
                <c:pt idx="1">
                  <c:v>20874.737613599998</c:v>
                </c:pt>
                <c:pt idx="2">
                  <c:v>18100.44544</c:v>
                </c:pt>
                <c:pt idx="3">
                  <c:v>8313.1624800000009</c:v>
                </c:pt>
                <c:pt idx="4">
                  <c:v>7431.4499232999997</c:v>
                </c:pt>
                <c:pt idx="5">
                  <c:v>710.85880699999996</c:v>
                </c:pt>
                <c:pt idx="6">
                  <c:v>646.90596000000005</c:v>
                </c:pt>
                <c:pt idx="7">
                  <c:v>478.24351799999999</c:v>
                </c:pt>
                <c:pt idx="8">
                  <c:v>223.656657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380-4569-9E65-61A323FA8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ROE and ROA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'!$C$139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'!$B$140:$B$148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'!$C$140:$C$148</c:f>
              <c:numCache>
                <c:formatCode>0.0%</c:formatCode>
                <c:ptCount val="9"/>
                <c:pt idx="0">
                  <c:v>0.21450651747199662</c:v>
                </c:pt>
                <c:pt idx="1">
                  <c:v>8.1153432684808499E-2</c:v>
                </c:pt>
                <c:pt idx="2">
                  <c:v>0.23022095509622237</c:v>
                </c:pt>
                <c:pt idx="3">
                  <c:v>0.27734375</c:v>
                </c:pt>
                <c:pt idx="4">
                  <c:v>0.19749502042469871</c:v>
                </c:pt>
                <c:pt idx="5">
                  <c:v>6.9518716577540107E-2</c:v>
                </c:pt>
                <c:pt idx="6">
                  <c:v>8.5308056872037921E-2</c:v>
                </c:pt>
                <c:pt idx="7">
                  <c:v>6.9518716577540107E-2</c:v>
                </c:pt>
                <c:pt idx="8">
                  <c:v>6.3291139240506333E-2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8EF-4BE4-AADB-00F294E52387}"/>
            </c:ext>
          </c:extLst>
        </c:ser>
        <c:ser>
          <c:idx val="1"/>
          <c:order val="1"/>
          <c:tx>
            <c:strRef>
              <c:f>'Footwear '!$D$139</c:f>
              <c:strCache>
                <c:ptCount val="1"/>
                <c:pt idx="0">
                  <c:v>ROA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'!$B$140:$B$148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'!$D$140:$D$148</c:f>
              <c:numCache>
                <c:formatCode>0.0%</c:formatCode>
                <c:ptCount val="9"/>
                <c:pt idx="0">
                  <c:v>0.11536066801728198</c:v>
                </c:pt>
                <c:pt idx="1">
                  <c:v>5.8698867188095569E-2</c:v>
                </c:pt>
                <c:pt idx="2">
                  <c:v>9.9814585908529055E-2</c:v>
                </c:pt>
                <c:pt idx="3">
                  <c:v>9.6010818120351588E-2</c:v>
                </c:pt>
                <c:pt idx="4">
                  <c:v>9.9928256636261148E-2</c:v>
                </c:pt>
                <c:pt idx="5">
                  <c:v>6.1757719714964368E-2</c:v>
                </c:pt>
                <c:pt idx="6">
                  <c:v>2.2959183673469389E-2</c:v>
                </c:pt>
                <c:pt idx="7">
                  <c:v>2.8199566160520606E-2</c:v>
                </c:pt>
                <c:pt idx="8">
                  <c:v>2.1739130434782608E-2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8EF-4BE4-AADB-00F294E52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0598502"/>
        <c:axId val="1760285158"/>
      </c:barChart>
      <c:catAx>
        <c:axId val="18205985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60285158"/>
        <c:crosses val="autoZero"/>
        <c:auto val="1"/>
        <c:lblAlgn val="ctr"/>
        <c:lblOffset val="100"/>
        <c:noMultiLvlLbl val="1"/>
      </c:catAx>
      <c:valAx>
        <c:axId val="176028515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2059850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TRAIL_PE and PBV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'!$H$139</c:f>
              <c:strCache>
                <c:ptCount val="1"/>
                <c:pt idx="0">
                  <c:v>TRAIL_PE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'!$G$140:$G$148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'!$H$140:$H$148</c:f>
              <c:numCache>
                <c:formatCode>0</c:formatCode>
                <c:ptCount val="9"/>
                <c:pt idx="0">
                  <c:v>94.879166666666663</c:v>
                </c:pt>
                <c:pt idx="1">
                  <c:v>104.75</c:v>
                </c:pt>
                <c:pt idx="2">
                  <c:v>67.047619047619051</c:v>
                </c:pt>
                <c:pt idx="3">
                  <c:v>75.25</c:v>
                </c:pt>
                <c:pt idx="4">
                  <c:v>81.149999999999991</c:v>
                </c:pt>
                <c:pt idx="5">
                  <c:v>25.462500000000002</c:v>
                </c:pt>
                <c:pt idx="6">
                  <c:v>71.39</c:v>
                </c:pt>
                <c:pt idx="7">
                  <c:v>94</c:v>
                </c:pt>
                <c:pt idx="8">
                  <c:v>26.6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DAA-433C-BF24-0AEC840B1AB3}"/>
            </c:ext>
          </c:extLst>
        </c:ser>
        <c:ser>
          <c:idx val="1"/>
          <c:order val="1"/>
          <c:tx>
            <c:strRef>
              <c:f>'Footwear '!$I$139</c:f>
              <c:strCache>
                <c:ptCount val="1"/>
                <c:pt idx="0">
                  <c:v>PBV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'!$G$140:$G$148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'!$I$140:$I$148</c:f>
              <c:numCache>
                <c:formatCode>0</c:formatCode>
                <c:ptCount val="9"/>
                <c:pt idx="0">
                  <c:v>16.837986176494599</c:v>
                </c:pt>
                <c:pt idx="1">
                  <c:v>10.849151898800018</c:v>
                </c:pt>
                <c:pt idx="2">
                  <c:v>12.285207907293797</c:v>
                </c:pt>
                <c:pt idx="3">
                  <c:v>15.607407407407408</c:v>
                </c:pt>
                <c:pt idx="4">
                  <c:v>9.973532475202342</c:v>
                </c:pt>
                <c:pt idx="5">
                  <c:v>1.7701889168765741</c:v>
                </c:pt>
                <c:pt idx="6">
                  <c:v>2.8057205240174672</c:v>
                </c:pt>
                <c:pt idx="7">
                  <c:v>2.35</c:v>
                </c:pt>
                <c:pt idx="8">
                  <c:v>2.2400000000000002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DAA-433C-BF24-0AEC840B1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9860751"/>
        <c:axId val="425282868"/>
      </c:barChart>
      <c:catAx>
        <c:axId val="2089860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25282868"/>
        <c:crosses val="autoZero"/>
        <c:auto val="1"/>
        <c:lblAlgn val="ctr"/>
        <c:lblOffset val="100"/>
        <c:noMultiLvlLbl val="1"/>
      </c:catAx>
      <c:valAx>
        <c:axId val="4252828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8986075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YIELD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'!$M$139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'!$L$140:$L$148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'!$M$140:$M$148</c:f>
              <c:numCache>
                <c:formatCode>0.0%</c:formatCode>
                <c:ptCount val="9"/>
                <c:pt idx="0">
                  <c:v>1.0539721575688376E-2</c:v>
                </c:pt>
                <c:pt idx="1">
                  <c:v>9.5465393794749408E-3</c:v>
                </c:pt>
                <c:pt idx="2">
                  <c:v>1.4914772727272728E-2</c:v>
                </c:pt>
                <c:pt idx="3">
                  <c:v>1.3289036544850499E-2</c:v>
                </c:pt>
                <c:pt idx="4">
                  <c:v>1.2322858903265559E-2</c:v>
                </c:pt>
                <c:pt idx="5">
                  <c:v>3.9273441335297005E-2</c:v>
                </c:pt>
                <c:pt idx="6">
                  <c:v>1.4007564084605687E-2</c:v>
                </c:pt>
                <c:pt idx="7">
                  <c:v>1.0638297872340425E-2</c:v>
                </c:pt>
                <c:pt idx="8">
                  <c:v>3.7593984962406013E-2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F5E-433D-B93F-825B2E1DF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35442"/>
        <c:axId val="892893582"/>
      </c:barChart>
      <c:catAx>
        <c:axId val="2168354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92893582"/>
        <c:crosses val="autoZero"/>
        <c:auto val="1"/>
        <c:lblAlgn val="ctr"/>
        <c:lblOffset val="100"/>
        <c:noMultiLvlLbl val="1"/>
      </c:catAx>
      <c:valAx>
        <c:axId val="89289358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YIELD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683544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# OF PAIRS vs PER/CAPITA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'!$C$5</c:f>
              <c:strCache>
                <c:ptCount val="1"/>
                <c:pt idx="0">
                  <c:v># OF PAIRS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'!$B$6:$B$8</c:f>
              <c:strCache>
                <c:ptCount val="3"/>
                <c:pt idx="0">
                  <c:v>INDIA</c:v>
                </c:pt>
                <c:pt idx="1">
                  <c:v>WORLD</c:v>
                </c:pt>
                <c:pt idx="2">
                  <c:v>ADV. ECO</c:v>
                </c:pt>
              </c:strCache>
            </c:strRef>
          </c:cat>
          <c:val>
            <c:numRef>
              <c:f>'Footwear '!$C$6:$C$8</c:f>
              <c:numCache>
                <c:formatCode>General</c:formatCode>
                <c:ptCount val="3"/>
                <c:pt idx="0">
                  <c:v>1.9</c:v>
                </c:pt>
                <c:pt idx="1">
                  <c:v>3.2</c:v>
                </c:pt>
                <c:pt idx="2">
                  <c:v>6.5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372-49D8-9609-78961ACB1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894716"/>
        <c:axId val="1639764483"/>
      </c:barChart>
      <c:catAx>
        <c:axId val="6078947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PER/CAPITA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39764483"/>
        <c:crosses val="autoZero"/>
        <c:auto val="1"/>
        <c:lblAlgn val="ctr"/>
        <c:lblOffset val="100"/>
        <c:noMultiLvlLbl val="1"/>
      </c:catAx>
      <c:valAx>
        <c:axId val="163976448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# OF PAIRS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0789471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'!$G$5</c:f>
              <c:strCache>
                <c:ptCount val="1"/>
                <c:pt idx="0">
                  <c:v>MARKET IN CR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'!$F$6:$F$9</c:f>
              <c:strCache>
                <c:ptCount val="4"/>
                <c:pt idx="0">
                  <c:v>FY_20</c:v>
                </c:pt>
                <c:pt idx="1">
                  <c:v>FY_21 (COVID)</c:v>
                </c:pt>
                <c:pt idx="2">
                  <c:v>FY_22</c:v>
                </c:pt>
                <c:pt idx="3">
                  <c:v>EST_FY_25</c:v>
                </c:pt>
              </c:strCache>
            </c:strRef>
          </c:cat>
          <c:val>
            <c:numRef>
              <c:f>'Footwear '!$G$6:$G$9</c:f>
              <c:numCache>
                <c:formatCode>General</c:formatCode>
                <c:ptCount val="4"/>
                <c:pt idx="0">
                  <c:v>96000</c:v>
                </c:pt>
                <c:pt idx="1">
                  <c:v>66000</c:v>
                </c:pt>
                <c:pt idx="2">
                  <c:v>93000</c:v>
                </c:pt>
                <c:pt idx="3">
                  <c:v>141500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76B-426E-A952-1AA860341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509591"/>
        <c:axId val="2051823516"/>
      </c:barChart>
      <c:catAx>
        <c:axId val="839509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51823516"/>
        <c:crosses val="autoZero"/>
        <c:auto val="1"/>
        <c:lblAlgn val="ctr"/>
        <c:lblOffset val="100"/>
        <c:noMultiLvlLbl val="1"/>
      </c:catAx>
      <c:valAx>
        <c:axId val="20518235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3950959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UN_ORGANISED and ORGANISED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'!$L$5</c:f>
              <c:strCache>
                <c:ptCount val="1"/>
                <c:pt idx="0">
                  <c:v>UN_ORGANISED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'!$K$6:$K$7</c:f>
              <c:strCache>
                <c:ptCount val="2"/>
                <c:pt idx="0">
                  <c:v>FY_2020</c:v>
                </c:pt>
                <c:pt idx="1">
                  <c:v>FY_2025</c:v>
                </c:pt>
              </c:strCache>
            </c:strRef>
          </c:cat>
          <c:val>
            <c:numRef>
              <c:f>'Footwear '!$L$6:$L$7</c:f>
              <c:numCache>
                <c:formatCode>0%</c:formatCode>
                <c:ptCount val="2"/>
                <c:pt idx="0">
                  <c:v>0.69</c:v>
                </c:pt>
                <c:pt idx="1">
                  <c:v>0.62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450-438A-8F26-58DF52C1C5B7}"/>
            </c:ext>
          </c:extLst>
        </c:ser>
        <c:ser>
          <c:idx val="1"/>
          <c:order val="1"/>
          <c:tx>
            <c:strRef>
              <c:f>'Footwear '!$M$5</c:f>
              <c:strCache>
                <c:ptCount val="1"/>
                <c:pt idx="0">
                  <c:v>ORGANISED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'!$K$6:$K$7</c:f>
              <c:strCache>
                <c:ptCount val="2"/>
                <c:pt idx="0">
                  <c:v>FY_2020</c:v>
                </c:pt>
                <c:pt idx="1">
                  <c:v>FY_2025</c:v>
                </c:pt>
              </c:strCache>
            </c:strRef>
          </c:cat>
          <c:val>
            <c:numRef>
              <c:f>'Footwear '!$M$6:$M$7</c:f>
              <c:numCache>
                <c:formatCode>0%</c:formatCode>
                <c:ptCount val="2"/>
                <c:pt idx="0">
                  <c:v>0.31</c:v>
                </c:pt>
                <c:pt idx="1">
                  <c:v>0.38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450-438A-8F26-58DF52C1C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8342939"/>
        <c:axId val="666400748"/>
      </c:barChart>
      <c:catAx>
        <c:axId val="18483429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MARKET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66400748"/>
        <c:crosses val="autoZero"/>
        <c:auto val="1"/>
        <c:lblAlgn val="ctr"/>
        <c:lblOffset val="100"/>
        <c:noMultiLvlLbl val="1"/>
      </c:catAx>
      <c:valAx>
        <c:axId val="6664007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4834293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SALES_5Y_GR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'!$C$49</c:f>
              <c:strCache>
                <c:ptCount val="1"/>
                <c:pt idx="0">
                  <c:v>SALES_5Y_GR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'!$B$50:$B$58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'!$C$50:$C$58</c:f>
              <c:numCache>
                <c:formatCode>0%</c:formatCode>
                <c:ptCount val="9"/>
                <c:pt idx="0">
                  <c:v>0.14410939094906117</c:v>
                </c:pt>
                <c:pt idx="1">
                  <c:v>7.2196399677454171E-2</c:v>
                </c:pt>
                <c:pt idx="2">
                  <c:v>5.5019476590912442E-2</c:v>
                </c:pt>
                <c:pt idx="4">
                  <c:v>0.29339151891355919</c:v>
                </c:pt>
                <c:pt idx="5">
                  <c:v>7.2413263368977798E-2</c:v>
                </c:pt>
                <c:pt idx="6">
                  <c:v>-2.498247101461315E-2</c:v>
                </c:pt>
                <c:pt idx="7">
                  <c:v>3.6757106943644535E-2</c:v>
                </c:pt>
                <c:pt idx="8">
                  <c:v>0.21915246532175248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9BF-4674-B08B-9D5FCECE8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6216305"/>
        <c:axId val="468799130"/>
      </c:barChart>
      <c:catAx>
        <c:axId val="19462163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68799130"/>
        <c:crosses val="autoZero"/>
        <c:auto val="1"/>
        <c:lblAlgn val="ctr"/>
        <c:lblOffset val="100"/>
        <c:noMultiLvlLbl val="1"/>
      </c:catAx>
      <c:valAx>
        <c:axId val="4687991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SALES_5Y_GR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621630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CY_SALES GR and CY_PROFIT_GR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'!$G$49</c:f>
              <c:strCache>
                <c:ptCount val="1"/>
                <c:pt idx="0">
                  <c:v>CY_SALES GR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'!$F$50:$F$58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'!$G$50:$G$58</c:f>
              <c:numCache>
                <c:formatCode>0%</c:formatCode>
                <c:ptCount val="9"/>
                <c:pt idx="0">
                  <c:v>0.12065698041692996</c:v>
                </c:pt>
                <c:pt idx="1">
                  <c:v>7.3835480673934528E-2</c:v>
                </c:pt>
                <c:pt idx="2">
                  <c:v>2.6187803965582734E-3</c:v>
                </c:pt>
                <c:pt idx="3">
                  <c:v>0.22681359044995419</c:v>
                </c:pt>
                <c:pt idx="4">
                  <c:v>-4.5774647887323994E-2</c:v>
                </c:pt>
                <c:pt idx="5">
                  <c:v>8.0000000000000071E-2</c:v>
                </c:pt>
                <c:pt idx="6">
                  <c:v>-4.5454545454545414E-2</c:v>
                </c:pt>
                <c:pt idx="7">
                  <c:v>-3.2110091743119296E-2</c:v>
                </c:pt>
                <c:pt idx="8">
                  <c:v>1.980198019801982E-2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D9A-456C-979D-A8A9179CED34}"/>
            </c:ext>
          </c:extLst>
        </c:ser>
        <c:ser>
          <c:idx val="1"/>
          <c:order val="1"/>
          <c:tx>
            <c:strRef>
              <c:f>'Footwear '!$H$49</c:f>
              <c:strCache>
                <c:ptCount val="1"/>
                <c:pt idx="0">
                  <c:v>CY_PROFIT_GR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'!$F$50:$F$58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'!$H$50:$H$58</c:f>
              <c:numCache>
                <c:formatCode>0%</c:formatCode>
                <c:ptCount val="9"/>
                <c:pt idx="0">
                  <c:v>-0.12457912457912457</c:v>
                </c:pt>
                <c:pt idx="1">
                  <c:v>0.52747252747252737</c:v>
                </c:pt>
                <c:pt idx="2">
                  <c:v>-0.22957198443579763</c:v>
                </c:pt>
                <c:pt idx="3">
                  <c:v>0.25</c:v>
                </c:pt>
                <c:pt idx="4">
                  <c:v>-0.4042553191489362</c:v>
                </c:pt>
                <c:pt idx="5">
                  <c:v>0.11538461538461542</c:v>
                </c:pt>
                <c:pt idx="6">
                  <c:v>-0.44444444444444442</c:v>
                </c:pt>
                <c:pt idx="7">
                  <c:v>9.4786729857819912E-3</c:v>
                </c:pt>
                <c:pt idx="8">
                  <c:v>3.3980582524271843E-2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D9A-456C-979D-A8A9179CE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9951058"/>
        <c:axId val="235726093"/>
      </c:barChart>
      <c:catAx>
        <c:axId val="18899510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35726093"/>
        <c:crosses val="autoZero"/>
        <c:auto val="1"/>
        <c:lblAlgn val="ctr"/>
        <c:lblOffset val="100"/>
        <c:noMultiLvlLbl val="1"/>
      </c:catAx>
      <c:valAx>
        <c:axId val="2357260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8995105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'Footwear '!$G$20</c:f>
              <c:strCache>
                <c:ptCount val="1"/>
                <c:pt idx="0">
                  <c:v>SALES_23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716F-4E52-B974-FABB0F9BB480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716F-4E52-B974-FABB0F9BB480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716F-4E52-B974-FABB0F9BB480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716F-4E52-B974-FABB0F9BB480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716F-4E52-B974-FABB0F9BB480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716F-4E52-B974-FABB0F9BB480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716F-4E52-B974-FABB0F9BB480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716F-4E52-B974-FABB0F9BB480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716F-4E52-B974-FABB0F9BB48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'Footwear '!$F$21:$F$29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'!$G$21:$G$29</c:f>
              <c:numCache>
                <c:formatCode>General</c:formatCode>
                <c:ptCount val="9"/>
                <c:pt idx="0">
                  <c:v>2127</c:v>
                </c:pt>
                <c:pt idx="1">
                  <c:v>2783</c:v>
                </c:pt>
                <c:pt idx="2">
                  <c:v>3452</c:v>
                </c:pt>
                <c:pt idx="3">
                  <c:v>1468</c:v>
                </c:pt>
                <c:pt idx="4">
                  <c:v>1484</c:v>
                </c:pt>
                <c:pt idx="5">
                  <c:v>200</c:v>
                </c:pt>
                <c:pt idx="6">
                  <c:v>660</c:v>
                </c:pt>
                <c:pt idx="7">
                  <c:v>654</c:v>
                </c:pt>
                <c:pt idx="8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16F-4E52-B974-FABB0F9BB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PROFIT_23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'Footwear '!$K$20</c:f>
              <c:strCache>
                <c:ptCount val="1"/>
                <c:pt idx="0">
                  <c:v>PROFIT_23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07B5-488F-87E7-046CA1281392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07B5-488F-87E7-046CA1281392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07B5-488F-87E7-046CA1281392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07B5-488F-87E7-046CA1281392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07B5-488F-87E7-046CA1281392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07B5-488F-87E7-046CA1281392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07B5-488F-87E7-046CA1281392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07B5-488F-87E7-046CA1281392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07B5-488F-87E7-046CA128139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'Footwear '!$J$21:$J$29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'!$K$21:$K$29</c:f>
              <c:numCache>
                <c:formatCode>General</c:formatCode>
                <c:ptCount val="9"/>
                <c:pt idx="0">
                  <c:v>365</c:v>
                </c:pt>
                <c:pt idx="1">
                  <c:v>154</c:v>
                </c:pt>
                <c:pt idx="2">
                  <c:v>323</c:v>
                </c:pt>
                <c:pt idx="3">
                  <c:v>142</c:v>
                </c:pt>
                <c:pt idx="4">
                  <c:v>117</c:v>
                </c:pt>
                <c:pt idx="5">
                  <c:v>26</c:v>
                </c:pt>
                <c:pt idx="6">
                  <c:v>18</c:v>
                </c:pt>
                <c:pt idx="7">
                  <c:v>13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7B5-488F-87E7-046CA1281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DEBT2EQUITY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'!$C$80</c:f>
              <c:strCache>
                <c:ptCount val="1"/>
                <c:pt idx="0">
                  <c:v>DEBT2EQUITY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'!$B$81:$B$89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'!$C$81:$C$89</c:f>
              <c:numCache>
                <c:formatCode>0.00</c:formatCode>
                <c:ptCount val="9"/>
                <c:pt idx="0">
                  <c:v>0.62295043430223673</c:v>
                </c:pt>
                <c:pt idx="1">
                  <c:v>0.11856832697455787</c:v>
                </c:pt>
                <c:pt idx="2">
                  <c:v>0.90021382751247325</c:v>
                </c:pt>
                <c:pt idx="3">
                  <c:v>0.919921875</c:v>
                </c:pt>
                <c:pt idx="4">
                  <c:v>0.55197326221261944</c:v>
                </c:pt>
                <c:pt idx="5">
                  <c:v>0</c:v>
                </c:pt>
                <c:pt idx="6">
                  <c:v>1.5402843601895735</c:v>
                </c:pt>
                <c:pt idx="7">
                  <c:v>0.73796791443850263</c:v>
                </c:pt>
                <c:pt idx="8">
                  <c:v>0.759493670886076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54B-4DDF-AF40-0DBE11ABD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8301964"/>
        <c:axId val="396941471"/>
      </c:barChart>
      <c:catAx>
        <c:axId val="5983019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96941471"/>
        <c:crosses val="autoZero"/>
        <c:auto val="1"/>
        <c:lblAlgn val="ctr"/>
        <c:lblOffset val="100"/>
        <c:noMultiLvlLbl val="1"/>
      </c:catAx>
      <c:valAx>
        <c:axId val="3969414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DEBT2EQUITY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9830196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ICR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'!$G$80</c:f>
              <c:strCache>
                <c:ptCount val="1"/>
                <c:pt idx="0">
                  <c:v>ICR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'!$F$81:$F$89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'!$G$81:$G$89</c:f>
              <c:numCache>
                <c:formatCode>0</c:formatCode>
                <c:ptCount val="9"/>
                <c:pt idx="0">
                  <c:v>7.9047619047619051</c:v>
                </c:pt>
                <c:pt idx="1">
                  <c:v>11.105263157894736</c:v>
                </c:pt>
                <c:pt idx="2">
                  <c:v>4.6296296296296298</c:v>
                </c:pt>
                <c:pt idx="3">
                  <c:v>11.764705882352942</c:v>
                </c:pt>
                <c:pt idx="4">
                  <c:v>6.3103448275862073</c:v>
                </c:pt>
                <c:pt idx="5">
                  <c:v>37</c:v>
                </c:pt>
                <c:pt idx="6">
                  <c:v>3.3870967741935485</c:v>
                </c:pt>
                <c:pt idx="7">
                  <c:v>6.083333333333333</c:v>
                </c:pt>
                <c:pt idx="8">
                  <c:v>3.8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072-4A49-AC75-32D5A13A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2515465"/>
        <c:axId val="292852527"/>
      </c:barChart>
      <c:catAx>
        <c:axId val="14025154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92852527"/>
        <c:crosses val="autoZero"/>
        <c:auto val="1"/>
        <c:lblAlgn val="ctr"/>
        <c:lblOffset val="100"/>
        <c:noMultiLvlLbl val="1"/>
      </c:catAx>
      <c:valAx>
        <c:axId val="2928525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ICR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0251546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DEBTRATIO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'!$K$80</c:f>
              <c:strCache>
                <c:ptCount val="1"/>
                <c:pt idx="0">
                  <c:v>DEBTRATIO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'!$J$81:$J$89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'!$K$81:$K$89</c:f>
              <c:numCache>
                <c:formatCode>0.00</c:formatCode>
                <c:ptCount val="9"/>
                <c:pt idx="0">
                  <c:v>0.46220436853466673</c:v>
                </c:pt>
                <c:pt idx="1">
                  <c:v>0.27669273811157358</c:v>
                </c:pt>
                <c:pt idx="2">
                  <c:v>0.5664400494437577</c:v>
                </c:pt>
                <c:pt idx="3">
                  <c:v>0.62474645030425968</c:v>
                </c:pt>
                <c:pt idx="4">
                  <c:v>0.49402138635509546</c:v>
                </c:pt>
                <c:pt idx="5">
                  <c:v>5.7007125890736345E-2</c:v>
                </c:pt>
                <c:pt idx="6">
                  <c:v>0.70790816326530615</c:v>
                </c:pt>
                <c:pt idx="7">
                  <c:v>0.55748373101952275</c:v>
                </c:pt>
                <c:pt idx="8">
                  <c:v>0.58695652173913049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76E-4B22-BDAE-2610BA0BD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9112078"/>
        <c:axId val="1396969088"/>
      </c:barChart>
      <c:catAx>
        <c:axId val="14091120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96969088"/>
        <c:crosses val="autoZero"/>
        <c:auto val="1"/>
        <c:lblAlgn val="ctr"/>
        <c:lblOffset val="100"/>
        <c:noMultiLvlLbl val="1"/>
      </c:catAx>
      <c:valAx>
        <c:axId val="13969690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DEBTRATIO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0911207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MARGIN_23 and CY_MARGIN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'Footwear '!$C$110</c:f>
              <c:strCache>
                <c:ptCount val="1"/>
                <c:pt idx="0">
                  <c:v>MARGIN_23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'!$B$111:$B$119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'!$C$111:$C$119</c:f>
              <c:numCache>
                <c:formatCode>0.0%</c:formatCode>
                <c:ptCount val="9"/>
                <c:pt idx="0">
                  <c:v>0.17160319699106724</c:v>
                </c:pt>
                <c:pt idx="1">
                  <c:v>5.533596837944664E-2</c:v>
                </c:pt>
                <c:pt idx="2">
                  <c:v>9.3568945538818074E-2</c:v>
                </c:pt>
                <c:pt idx="3">
                  <c:v>9.6730245231607628E-2</c:v>
                </c:pt>
                <c:pt idx="4">
                  <c:v>7.8840970350404313E-2</c:v>
                </c:pt>
                <c:pt idx="5">
                  <c:v>0.13</c:v>
                </c:pt>
                <c:pt idx="6">
                  <c:v>2.7272727272727271E-2</c:v>
                </c:pt>
                <c:pt idx="7">
                  <c:v>1.9877675840978593E-2</c:v>
                </c:pt>
                <c:pt idx="8">
                  <c:v>2.4752475247524754E-2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770-4A83-AE63-7E3311CE7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6970789"/>
        <c:axId val="864081690"/>
      </c:barChart>
      <c:lineChart>
        <c:grouping val="standard"/>
        <c:varyColors val="0"/>
        <c:ser>
          <c:idx val="1"/>
          <c:order val="1"/>
          <c:tx>
            <c:strRef>
              <c:f>'Footwear '!$D$110</c:f>
              <c:strCache>
                <c:ptCount val="1"/>
                <c:pt idx="0">
                  <c:v>CY_MARGIN</c:v>
                </c:pt>
              </c:strCache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'!$B$111:$B$119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'!$D$111:$D$119</c:f>
              <c:numCache>
                <c:formatCode>0.0%</c:formatCode>
                <c:ptCount val="9"/>
                <c:pt idx="0">
                  <c:v>0.14656144306651633</c:v>
                </c:pt>
                <c:pt idx="1">
                  <c:v>6.4143977849561606E-2</c:v>
                </c:pt>
                <c:pt idx="2">
                  <c:v>7.3880597014925373E-2</c:v>
                </c:pt>
                <c:pt idx="3">
                  <c:v>0.10104790419161677</c:v>
                </c:pt>
                <c:pt idx="4">
                  <c:v>5.1660516605166053E-2</c:v>
                </c:pt>
                <c:pt idx="5">
                  <c:v>0.13425925925925927</c:v>
                </c:pt>
                <c:pt idx="6">
                  <c:v>1.5873015873015872E-2</c:v>
                </c:pt>
                <c:pt idx="7">
                  <c:v>1.5873015873015872E-2</c:v>
                </c:pt>
                <c:pt idx="8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0-4A83-AE63-7E3311CE7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6970789"/>
        <c:axId val="864081690"/>
      </c:lineChart>
      <c:catAx>
        <c:axId val="21469707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64081690"/>
        <c:crosses val="autoZero"/>
        <c:auto val="1"/>
        <c:lblAlgn val="ctr"/>
        <c:lblOffset val="100"/>
        <c:noMultiLvlLbl val="1"/>
      </c:catAx>
      <c:valAx>
        <c:axId val="8640816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4697078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TR.DAYS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'!$H$110</c:f>
              <c:strCache>
                <c:ptCount val="1"/>
                <c:pt idx="0">
                  <c:v>TR.DAYS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'!$G$111:$G$119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'!$H$111:$H$119</c:f>
              <c:numCache>
                <c:formatCode>0</c:formatCode>
                <c:ptCount val="9"/>
                <c:pt idx="0">
                  <c:v>22.382204983544902</c:v>
                </c:pt>
                <c:pt idx="1">
                  <c:v>41.803844771828963</c:v>
                </c:pt>
                <c:pt idx="2">
                  <c:v>10.573580533024334</c:v>
                </c:pt>
                <c:pt idx="3">
                  <c:v>14.918256130790191</c:v>
                </c:pt>
                <c:pt idx="4">
                  <c:v>34.861927223719682</c:v>
                </c:pt>
                <c:pt idx="5">
                  <c:v>0.91249999999999998</c:v>
                </c:pt>
                <c:pt idx="6">
                  <c:v>106.73484848484848</c:v>
                </c:pt>
                <c:pt idx="7">
                  <c:v>60.833333333333329</c:v>
                </c:pt>
                <c:pt idx="8">
                  <c:v>144.55445544554456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4FA-416A-B236-4682BC5CD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080609"/>
        <c:axId val="1293270631"/>
      </c:barChart>
      <c:catAx>
        <c:axId val="2660806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93270631"/>
        <c:crosses val="autoZero"/>
        <c:auto val="1"/>
        <c:lblAlgn val="ctr"/>
        <c:lblOffset val="100"/>
        <c:noMultiLvlLbl val="1"/>
      </c:catAx>
      <c:valAx>
        <c:axId val="12932706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TR.DAYS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6608060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CUR. RATIO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'!$L$110</c:f>
              <c:strCache>
                <c:ptCount val="1"/>
                <c:pt idx="0">
                  <c:v>CUR. 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'!$K$111:$K$115</c:f>
              <c:strCache>
                <c:ptCount val="5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</c:strCache>
            </c:strRef>
          </c:cat>
          <c:val>
            <c:numRef>
              <c:f>'Footwear '!$L$111:$L$115</c:f>
              <c:numCache>
                <c:formatCode>0.00</c:formatCode>
                <c:ptCount val="5"/>
                <c:pt idx="0">
                  <c:v>3.0005425834455921</c:v>
                </c:pt>
                <c:pt idx="1">
                  <c:v>2.2634516633177046</c:v>
                </c:pt>
                <c:pt idx="2">
                  <c:v>1.7825086306098965</c:v>
                </c:pt>
                <c:pt idx="3">
                  <c:v>1.4219474497681608</c:v>
                </c:pt>
                <c:pt idx="4">
                  <c:v>1.7940936813254649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311-46FD-A039-E45978702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58016"/>
        <c:axId val="1232326614"/>
      </c:barChart>
      <c:catAx>
        <c:axId val="5035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32326614"/>
        <c:crosses val="autoZero"/>
        <c:auto val="1"/>
        <c:lblAlgn val="ctr"/>
        <c:lblOffset val="100"/>
        <c:noMultiLvlLbl val="1"/>
      </c:catAx>
      <c:valAx>
        <c:axId val="12323266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CUR. RATIO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035801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79</xdr:row>
      <xdr:rowOff>152400</xdr:rowOff>
    </xdr:from>
    <xdr:ext cx="3733800" cy="3733800"/>
    <xdr:pic>
      <xdr:nvPicPr>
        <xdr:cNvPr id="2" name="image4.jpg" title="Image">
          <a:extLst>
            <a:ext uri="{FF2B5EF4-FFF2-40B4-BE49-F238E27FC236}">
              <a16:creationId xmlns:a16="http://schemas.microsoft.com/office/drawing/2014/main" id="{CD39D1FD-6BC8-4DA9-8A1F-B061A3E289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0660" y="15796260"/>
          <a:ext cx="3733800" cy="37338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51</xdr:row>
      <xdr:rowOff>-114300</xdr:rowOff>
    </xdr:from>
    <xdr:ext cx="6572250" cy="6572250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ADD59E7F-0F08-455D-B386-C6BCF6B44C2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9075" y="9982200"/>
          <a:ext cx="6572250" cy="65722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31</xdr:row>
      <xdr:rowOff>66675</xdr:rowOff>
    </xdr:from>
    <xdr:ext cx="4648200" cy="28860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DE32376F-40FE-4970-8E2F-DC80EE447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876300</xdr:colOff>
      <xdr:row>31</xdr:row>
      <xdr:rowOff>66675</xdr:rowOff>
    </xdr:from>
    <xdr:ext cx="4705350" cy="288607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538E8E2C-21EE-4A7D-904E-8FF50AEF7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9</xdr:col>
      <xdr:colOff>781050</xdr:colOff>
      <xdr:row>31</xdr:row>
      <xdr:rowOff>47625</xdr:rowOff>
    </xdr:from>
    <xdr:ext cx="4705350" cy="293370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2F2B31ED-3DC8-4ECD-81DE-B0305FB73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114300</xdr:colOff>
      <xdr:row>91</xdr:row>
      <xdr:rowOff>85725</xdr:rowOff>
    </xdr:from>
    <xdr:ext cx="4810125" cy="2981325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FDBAAB23-6707-421C-B51A-6E21CF6F5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5</xdr:col>
      <xdr:colOff>123825</xdr:colOff>
      <xdr:row>91</xdr:row>
      <xdr:rowOff>85725</xdr:rowOff>
    </xdr:from>
    <xdr:ext cx="4810125" cy="2981325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F068F4BA-EEE8-4225-B335-6F82B20D2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10</xdr:col>
      <xdr:colOff>133350</xdr:colOff>
      <xdr:row>91</xdr:row>
      <xdr:rowOff>85725</xdr:rowOff>
    </xdr:from>
    <xdr:ext cx="4810125" cy="2981325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940A9DED-D808-430D-859D-2191F1791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161925</xdr:colOff>
      <xdr:row>121</xdr:row>
      <xdr:rowOff>47625</xdr:rowOff>
    </xdr:from>
    <xdr:ext cx="4705350" cy="2933700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9BA333F2-92C4-4EA1-93DC-531D94F94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5</xdr:col>
      <xdr:colOff>66675</xdr:colOff>
      <xdr:row>121</xdr:row>
      <xdr:rowOff>47625</xdr:rowOff>
    </xdr:from>
    <xdr:ext cx="4705350" cy="2933700"/>
    <xdr:graphicFrame macro="">
      <xdr:nvGraphicFramePr>
        <xdr:cNvPr id="9" name="Chart 8" title="Chart">
          <a:extLst>
            <a:ext uri="{FF2B5EF4-FFF2-40B4-BE49-F238E27FC236}">
              <a16:creationId xmlns:a16="http://schemas.microsoft.com/office/drawing/2014/main" id="{55BD7056-D00F-4C91-9AF3-2415F5940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9</xdr:col>
      <xdr:colOff>933450</xdr:colOff>
      <xdr:row>121</xdr:row>
      <xdr:rowOff>47625</xdr:rowOff>
    </xdr:from>
    <xdr:ext cx="4705350" cy="2933700"/>
    <xdr:graphicFrame macro="">
      <xdr:nvGraphicFramePr>
        <xdr:cNvPr id="10" name="Chart 9" title="Chart">
          <a:extLst>
            <a:ext uri="{FF2B5EF4-FFF2-40B4-BE49-F238E27FC236}">
              <a16:creationId xmlns:a16="http://schemas.microsoft.com/office/drawing/2014/main" id="{BA335C8E-F84F-4976-BC3F-1985B3882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0</xdr:col>
      <xdr:colOff>66675</xdr:colOff>
      <xdr:row>150</xdr:row>
      <xdr:rowOff>57150</xdr:rowOff>
    </xdr:from>
    <xdr:ext cx="4705350" cy="2628900"/>
    <xdr:graphicFrame macro="">
      <xdr:nvGraphicFramePr>
        <xdr:cNvPr id="11" name="Chart 10" title="Chart">
          <a:extLst>
            <a:ext uri="{FF2B5EF4-FFF2-40B4-BE49-F238E27FC236}">
              <a16:creationId xmlns:a16="http://schemas.microsoft.com/office/drawing/2014/main" id="{09575AE5-0E9C-4A4D-9D23-0E57B0F0F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4</xdr:col>
      <xdr:colOff>933450</xdr:colOff>
      <xdr:row>150</xdr:row>
      <xdr:rowOff>57150</xdr:rowOff>
    </xdr:from>
    <xdr:ext cx="4257675" cy="2628900"/>
    <xdr:graphicFrame macro="">
      <xdr:nvGraphicFramePr>
        <xdr:cNvPr id="12" name="Chart 11" title="Chart">
          <a:extLst>
            <a:ext uri="{FF2B5EF4-FFF2-40B4-BE49-F238E27FC236}">
              <a16:creationId xmlns:a16="http://schemas.microsoft.com/office/drawing/2014/main" id="{61D3711A-BC88-4DB5-ACF3-2353BB406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9</xdr:col>
      <xdr:colOff>390525</xdr:colOff>
      <xdr:row>150</xdr:row>
      <xdr:rowOff>57150</xdr:rowOff>
    </xdr:from>
    <xdr:ext cx="4257675" cy="2628900"/>
    <xdr:graphicFrame macro="">
      <xdr:nvGraphicFramePr>
        <xdr:cNvPr id="13" name="Chart 12" title="Chart">
          <a:extLst>
            <a:ext uri="{FF2B5EF4-FFF2-40B4-BE49-F238E27FC236}">
              <a16:creationId xmlns:a16="http://schemas.microsoft.com/office/drawing/2014/main" id="{F873D535-DF71-4060-8D4F-F63871C49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0</xdr:col>
      <xdr:colOff>219075</xdr:colOff>
      <xdr:row>8</xdr:row>
      <xdr:rowOff>57150</xdr:rowOff>
    </xdr:from>
    <xdr:ext cx="4257675" cy="1952625"/>
    <xdr:graphicFrame macro="">
      <xdr:nvGraphicFramePr>
        <xdr:cNvPr id="14" name="Chart 13" title="Chart">
          <a:extLst>
            <a:ext uri="{FF2B5EF4-FFF2-40B4-BE49-F238E27FC236}">
              <a16:creationId xmlns:a16="http://schemas.microsoft.com/office/drawing/2014/main" id="{C57EDA96-101E-47AE-B000-A6F25D8C1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4</xdr:col>
      <xdr:colOff>704850</xdr:colOff>
      <xdr:row>9</xdr:row>
      <xdr:rowOff>104775</xdr:rowOff>
    </xdr:from>
    <xdr:ext cx="3924300" cy="1704975"/>
    <xdr:graphicFrame macro="">
      <xdr:nvGraphicFramePr>
        <xdr:cNvPr id="15" name="Chart 14" title="Chart">
          <a:extLst>
            <a:ext uri="{FF2B5EF4-FFF2-40B4-BE49-F238E27FC236}">
              <a16:creationId xmlns:a16="http://schemas.microsoft.com/office/drawing/2014/main" id="{5FB4D315-00F8-402A-84D6-40B30FA01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8</xdr:col>
      <xdr:colOff>790575</xdr:colOff>
      <xdr:row>7</xdr:row>
      <xdr:rowOff>85725</xdr:rowOff>
    </xdr:from>
    <xdr:ext cx="4010025" cy="2124075"/>
    <xdr:graphicFrame macro="">
      <xdr:nvGraphicFramePr>
        <xdr:cNvPr id="16" name="Chart 15" title="Chart">
          <a:extLst>
            <a:ext uri="{FF2B5EF4-FFF2-40B4-BE49-F238E27FC236}">
              <a16:creationId xmlns:a16="http://schemas.microsoft.com/office/drawing/2014/main" id="{7F8AAE56-71EC-48F5-A82E-D26E874BA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0</xdr:col>
      <xdr:colOff>171450</xdr:colOff>
      <xdr:row>60</xdr:row>
      <xdr:rowOff>28575</xdr:rowOff>
    </xdr:from>
    <xdr:ext cx="4705350" cy="2886075"/>
    <xdr:graphicFrame macro="">
      <xdr:nvGraphicFramePr>
        <xdr:cNvPr id="17" name="Chart 16" title="Chart">
          <a:extLst>
            <a:ext uri="{FF2B5EF4-FFF2-40B4-BE49-F238E27FC236}">
              <a16:creationId xmlns:a16="http://schemas.microsoft.com/office/drawing/2014/main" id="{9013FED3-C6BE-44E2-8632-2BA8357F8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5</xdr:col>
      <xdr:colOff>95250</xdr:colOff>
      <xdr:row>60</xdr:row>
      <xdr:rowOff>28575</xdr:rowOff>
    </xdr:from>
    <xdr:ext cx="4648200" cy="2886075"/>
    <xdr:graphicFrame macro="">
      <xdr:nvGraphicFramePr>
        <xdr:cNvPr id="18" name="Chart 17" title="Chart">
          <a:extLst>
            <a:ext uri="{FF2B5EF4-FFF2-40B4-BE49-F238E27FC236}">
              <a16:creationId xmlns:a16="http://schemas.microsoft.com/office/drawing/2014/main" id="{C4B650FE-4964-43CF-8D1A-209C0B601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FootWear%20(7).xlsx" TargetMode="External"/><Relationship Id="rId1" Type="http://schemas.openxmlformats.org/officeDocument/2006/relationships/externalLinkPath" Target="/Users/profi/Downloads/FootWear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otwear "/>
      <sheetName val="FOOTWEAR INDUSTRY"/>
      <sheetName val="TOP Companies"/>
      <sheetName val="DashBoard"/>
      <sheetName val="Footwear"/>
      <sheetName val="BATAINDIA"/>
      <sheetName val="rel old"/>
      <sheetName val="Sheet3"/>
      <sheetName val="kHADIM"/>
      <sheetName val="RELAXO"/>
    </sheetNames>
    <sheetDataSet>
      <sheetData sheetId="0">
        <row r="5">
          <cell r="C5" t="str">
            <v># OF PAIRS</v>
          </cell>
          <cell r="G5" t="str">
            <v>MARKET IN CR</v>
          </cell>
          <cell r="L5" t="str">
            <v>UN_ORGANISED</v>
          </cell>
          <cell r="M5" t="str">
            <v>ORGANISED</v>
          </cell>
        </row>
        <row r="6">
          <cell r="B6" t="str">
            <v>INDIA</v>
          </cell>
          <cell r="C6">
            <v>1.9</v>
          </cell>
          <cell r="F6" t="str">
            <v>FY_20</v>
          </cell>
          <cell r="G6">
            <v>96000</v>
          </cell>
          <cell r="K6" t="str">
            <v>FY_2020</v>
          </cell>
          <cell r="L6">
            <v>0.69</v>
          </cell>
          <cell r="M6">
            <v>0.31</v>
          </cell>
        </row>
        <row r="7">
          <cell r="B7" t="str">
            <v>WORLD</v>
          </cell>
          <cell r="C7">
            <v>3.2</v>
          </cell>
          <cell r="F7" t="str">
            <v>FY_21 (COVID)</v>
          </cell>
          <cell r="G7">
            <v>66000</v>
          </cell>
          <cell r="K7" t="str">
            <v>FY_2025</v>
          </cell>
          <cell r="L7">
            <v>0.62</v>
          </cell>
          <cell r="M7">
            <v>0.38</v>
          </cell>
        </row>
        <row r="8">
          <cell r="B8" t="str">
            <v>ADV. ECO</v>
          </cell>
          <cell r="C8">
            <v>6.5</v>
          </cell>
          <cell r="F8" t="str">
            <v>FY_22</v>
          </cell>
          <cell r="G8">
            <v>93000</v>
          </cell>
        </row>
        <row r="9">
          <cell r="F9" t="str">
            <v>EST_FY_25</v>
          </cell>
          <cell r="G9">
            <v>141500</v>
          </cell>
        </row>
        <row r="20">
          <cell r="C20" t="str">
            <v>MARKETCAP</v>
          </cell>
          <cell r="G20" t="str">
            <v>SALES_23</v>
          </cell>
          <cell r="K20" t="str">
            <v>PROFIT_23</v>
          </cell>
        </row>
        <row r="21">
          <cell r="B21" t="str">
            <v>METROBRAND</v>
          </cell>
          <cell r="C21">
            <v>30670.647120000001</v>
          </cell>
          <cell r="F21" t="str">
            <v>METROBRAND</v>
          </cell>
          <cell r="G21">
            <v>2127</v>
          </cell>
          <cell r="J21" t="str">
            <v>METROBRAND</v>
          </cell>
          <cell r="K21">
            <v>365</v>
          </cell>
        </row>
        <row r="22">
          <cell r="B22" t="str">
            <v>RELAXO</v>
          </cell>
          <cell r="C22">
            <v>20874.737613599998</v>
          </cell>
          <cell r="F22" t="str">
            <v>RELAXO</v>
          </cell>
          <cell r="G22">
            <v>2783</v>
          </cell>
          <cell r="J22" t="str">
            <v>RELAXO</v>
          </cell>
          <cell r="K22">
            <v>154</v>
          </cell>
        </row>
        <row r="23">
          <cell r="B23" t="str">
            <v>BATAINDIA</v>
          </cell>
          <cell r="C23">
            <v>18100.44544</v>
          </cell>
          <cell r="F23" t="str">
            <v>BATAINDIA</v>
          </cell>
          <cell r="G23">
            <v>3452</v>
          </cell>
          <cell r="J23" t="str">
            <v>BATAINDIA</v>
          </cell>
          <cell r="K23">
            <v>323</v>
          </cell>
        </row>
        <row r="24">
          <cell r="B24" t="str">
            <v>REDTAPE</v>
          </cell>
          <cell r="C24">
            <v>8313.1624800000009</v>
          </cell>
          <cell r="F24" t="str">
            <v>REDTAPE</v>
          </cell>
          <cell r="G24">
            <v>1468</v>
          </cell>
          <cell r="J24" t="str">
            <v>REDTAPE</v>
          </cell>
          <cell r="K24">
            <v>142</v>
          </cell>
        </row>
        <row r="25">
          <cell r="B25" t="str">
            <v>CAMPUS</v>
          </cell>
          <cell r="C25">
            <v>7431.4499232999997</v>
          </cell>
          <cell r="F25" t="str">
            <v>CAMPUS</v>
          </cell>
          <cell r="G25">
            <v>1484</v>
          </cell>
          <cell r="J25" t="str">
            <v>CAMPUS</v>
          </cell>
          <cell r="K25">
            <v>117</v>
          </cell>
        </row>
        <row r="26">
          <cell r="B26" t="str">
            <v>SREEL</v>
          </cell>
          <cell r="C26">
            <v>710.85880699999996</v>
          </cell>
          <cell r="F26" t="str">
            <v>SREEL</v>
          </cell>
          <cell r="G26">
            <v>200</v>
          </cell>
          <cell r="J26" t="str">
            <v>SREEL</v>
          </cell>
          <cell r="K26">
            <v>26</v>
          </cell>
        </row>
        <row r="27">
          <cell r="B27" t="str">
            <v>KHADIM</v>
          </cell>
          <cell r="C27">
            <v>646.90596000000005</v>
          </cell>
          <cell r="F27" t="str">
            <v>KHADIM</v>
          </cell>
          <cell r="G27">
            <v>660</v>
          </cell>
          <cell r="J27" t="str">
            <v>KHADIM</v>
          </cell>
          <cell r="K27">
            <v>18</v>
          </cell>
        </row>
        <row r="28">
          <cell r="B28" t="str">
            <v>LIBERTSHOE</v>
          </cell>
          <cell r="C28">
            <v>478.24351799999999</v>
          </cell>
          <cell r="F28" t="str">
            <v>LIBERTSHOE</v>
          </cell>
          <cell r="G28">
            <v>654</v>
          </cell>
          <cell r="J28" t="str">
            <v>LIBERTSHOE</v>
          </cell>
          <cell r="K28">
            <v>13</v>
          </cell>
        </row>
        <row r="29">
          <cell r="B29" t="str">
            <v>LEHAR</v>
          </cell>
          <cell r="C29">
            <v>223.656657</v>
          </cell>
          <cell r="F29" t="str">
            <v>LEHAR</v>
          </cell>
          <cell r="G29">
            <v>202</v>
          </cell>
          <cell r="J29" t="str">
            <v>LEHAR</v>
          </cell>
          <cell r="K29">
            <v>5</v>
          </cell>
        </row>
        <row r="49">
          <cell r="C49" t="str">
            <v>SALES_5Y_GR</v>
          </cell>
          <cell r="G49" t="str">
            <v>CY_SALES GR</v>
          </cell>
          <cell r="H49" t="str">
            <v>CY_PROFIT_GR</v>
          </cell>
        </row>
        <row r="50">
          <cell r="B50" t="str">
            <v>METROBRAND</v>
          </cell>
          <cell r="C50">
            <v>0.14410939094906117</v>
          </cell>
          <cell r="F50" t="str">
            <v>METROBRAND</v>
          </cell>
          <cell r="G50">
            <v>0.12065698041692996</v>
          </cell>
          <cell r="H50">
            <v>-0.12457912457912457</v>
          </cell>
        </row>
        <row r="51">
          <cell r="B51" t="str">
            <v>RELAXO</v>
          </cell>
          <cell r="C51">
            <v>7.2196399677454171E-2</v>
          </cell>
          <cell r="F51" t="str">
            <v>RELAXO</v>
          </cell>
          <cell r="G51">
            <v>7.3835480673934528E-2</v>
          </cell>
          <cell r="H51">
            <v>0.52747252747252737</v>
          </cell>
        </row>
        <row r="52">
          <cell r="B52" t="str">
            <v>BATAINDIA</v>
          </cell>
          <cell r="C52">
            <v>5.5019476590912442E-2</v>
          </cell>
          <cell r="F52" t="str">
            <v>BATAINDIA</v>
          </cell>
          <cell r="G52">
            <v>2.6187803965582734E-3</v>
          </cell>
          <cell r="H52">
            <v>-0.22957198443579763</v>
          </cell>
        </row>
        <row r="53">
          <cell r="B53" t="str">
            <v>REDTAPE</v>
          </cell>
          <cell r="F53" t="str">
            <v>REDTAPE</v>
          </cell>
          <cell r="G53">
            <v>0.22681359044995419</v>
          </cell>
          <cell r="H53">
            <v>0.25</v>
          </cell>
        </row>
        <row r="54">
          <cell r="B54" t="str">
            <v>CAMPUS</v>
          </cell>
          <cell r="C54">
            <v>0.29339151891355919</v>
          </cell>
          <cell r="F54" t="str">
            <v>CAMPUS</v>
          </cell>
          <cell r="G54">
            <v>-4.5774647887323994E-2</v>
          </cell>
          <cell r="H54">
            <v>-0.4042553191489362</v>
          </cell>
        </row>
        <row r="55">
          <cell r="B55" t="str">
            <v>SREEL</v>
          </cell>
          <cell r="C55">
            <v>7.2413263368977798E-2</v>
          </cell>
          <cell r="F55" t="str">
            <v>SREEL</v>
          </cell>
          <cell r="G55">
            <v>8.0000000000000071E-2</v>
          </cell>
          <cell r="H55">
            <v>0.11538461538461542</v>
          </cell>
        </row>
        <row r="56">
          <cell r="B56" t="str">
            <v>KHADIM</v>
          </cell>
          <cell r="C56">
            <v>-2.498247101461315E-2</v>
          </cell>
          <cell r="F56" t="str">
            <v>KHADIM</v>
          </cell>
          <cell r="G56">
            <v>-4.5454545454545414E-2</v>
          </cell>
          <cell r="H56">
            <v>-0.44444444444444442</v>
          </cell>
        </row>
        <row r="57">
          <cell r="B57" t="str">
            <v>LIBERTSHOE</v>
          </cell>
          <cell r="C57">
            <v>3.6757106943644535E-2</v>
          </cell>
          <cell r="F57" t="str">
            <v>LIBERTSHOE</v>
          </cell>
          <cell r="G57">
            <v>-3.2110091743119296E-2</v>
          </cell>
          <cell r="H57">
            <v>9.4786729857819912E-3</v>
          </cell>
        </row>
        <row r="58">
          <cell r="B58" t="str">
            <v>LEHAR</v>
          </cell>
          <cell r="C58">
            <v>0.21915246532175248</v>
          </cell>
          <cell r="F58" t="str">
            <v>LEHAR</v>
          </cell>
          <cell r="G58">
            <v>1.980198019801982E-2</v>
          </cell>
          <cell r="H58">
            <v>3.3980582524271843E-2</v>
          </cell>
        </row>
        <row r="80">
          <cell r="C80" t="str">
            <v>DEBT2EQUITY</v>
          </cell>
          <cell r="G80" t="str">
            <v>ICR</v>
          </cell>
          <cell r="K80" t="str">
            <v>DEBTRATIO</v>
          </cell>
        </row>
        <row r="81">
          <cell r="B81" t="str">
            <v>METROBRAND</v>
          </cell>
          <cell r="C81">
            <v>0.62295043430223673</v>
          </cell>
          <cell r="F81" t="str">
            <v>METROBRAND</v>
          </cell>
          <cell r="G81">
            <v>7.9047619047619051</v>
          </cell>
          <cell r="J81" t="str">
            <v>METROBRAND</v>
          </cell>
          <cell r="K81">
            <v>0.46220436853466673</v>
          </cell>
        </row>
        <row r="82">
          <cell r="B82" t="str">
            <v>RELAXO</v>
          </cell>
          <cell r="C82">
            <v>0.11856832697455787</v>
          </cell>
          <cell r="F82" t="str">
            <v>RELAXO</v>
          </cell>
          <cell r="G82">
            <v>11.105263157894736</v>
          </cell>
          <cell r="J82" t="str">
            <v>RELAXO</v>
          </cell>
          <cell r="K82">
            <v>0.27669273811157358</v>
          </cell>
        </row>
        <row r="83">
          <cell r="B83" t="str">
            <v>BATAINDIA</v>
          </cell>
          <cell r="C83">
            <v>0.90021382751247325</v>
          </cell>
          <cell r="F83" t="str">
            <v>BATAINDIA</v>
          </cell>
          <cell r="G83">
            <v>4.6296296296296298</v>
          </cell>
          <cell r="J83" t="str">
            <v>BATAINDIA</v>
          </cell>
          <cell r="K83">
            <v>0.5664400494437577</v>
          </cell>
        </row>
        <row r="84">
          <cell r="B84" t="str">
            <v>REDTAPE</v>
          </cell>
          <cell r="C84">
            <v>0.919921875</v>
          </cell>
          <cell r="F84" t="str">
            <v>REDTAPE</v>
          </cell>
          <cell r="G84">
            <v>11.764705882352942</v>
          </cell>
          <cell r="J84" t="str">
            <v>REDTAPE</v>
          </cell>
          <cell r="K84">
            <v>0.62474645030425968</v>
          </cell>
        </row>
        <row r="85">
          <cell r="B85" t="str">
            <v>CAMPUS</v>
          </cell>
          <cell r="C85">
            <v>0.55197326221261944</v>
          </cell>
          <cell r="F85" t="str">
            <v>CAMPUS</v>
          </cell>
          <cell r="G85">
            <v>6.3103448275862073</v>
          </cell>
          <cell r="J85" t="str">
            <v>CAMPUS</v>
          </cell>
          <cell r="K85">
            <v>0.49402138635509546</v>
          </cell>
        </row>
        <row r="86">
          <cell r="B86" t="str">
            <v>SREEL</v>
          </cell>
          <cell r="C86">
            <v>0</v>
          </cell>
          <cell r="F86" t="str">
            <v>SREEL</v>
          </cell>
          <cell r="G86">
            <v>37</v>
          </cell>
          <cell r="J86" t="str">
            <v>SREEL</v>
          </cell>
          <cell r="K86">
            <v>5.7007125890736345E-2</v>
          </cell>
        </row>
        <row r="87">
          <cell r="B87" t="str">
            <v>KHADIM</v>
          </cell>
          <cell r="C87">
            <v>1.5402843601895735</v>
          </cell>
          <cell r="F87" t="str">
            <v>KHADIM</v>
          </cell>
          <cell r="G87">
            <v>3.3870967741935485</v>
          </cell>
          <cell r="J87" t="str">
            <v>KHADIM</v>
          </cell>
          <cell r="K87">
            <v>0.70790816326530615</v>
          </cell>
        </row>
        <row r="88">
          <cell r="B88" t="str">
            <v>LIBERTSHOE</v>
          </cell>
          <cell r="C88">
            <v>0.73796791443850263</v>
          </cell>
          <cell r="F88" t="str">
            <v>LIBERTSHOE</v>
          </cell>
          <cell r="G88">
            <v>6.083333333333333</v>
          </cell>
          <cell r="J88" t="str">
            <v>LIBERTSHOE</v>
          </cell>
          <cell r="K88">
            <v>0.55748373101952275</v>
          </cell>
        </row>
        <row r="89">
          <cell r="B89" t="str">
            <v>LEHAR</v>
          </cell>
          <cell r="C89">
            <v>0.759493670886076</v>
          </cell>
          <cell r="F89" t="str">
            <v>LEHAR</v>
          </cell>
          <cell r="G89">
            <v>3.8</v>
          </cell>
          <cell r="J89" t="str">
            <v>LEHAR</v>
          </cell>
          <cell r="K89">
            <v>0.58695652173913049</v>
          </cell>
        </row>
        <row r="110">
          <cell r="C110" t="str">
            <v>MARGIN_23</v>
          </cell>
          <cell r="D110" t="str">
            <v>CY_MARGIN</v>
          </cell>
          <cell r="H110" t="str">
            <v>TR.DAYS</v>
          </cell>
          <cell r="L110" t="str">
            <v>CUR. RATIO</v>
          </cell>
        </row>
        <row r="111">
          <cell r="B111" t="str">
            <v>METROBRAND</v>
          </cell>
          <cell r="C111">
            <v>0.17160319699106724</v>
          </cell>
          <cell r="D111">
            <v>0.14656144306651633</v>
          </cell>
          <cell r="G111" t="str">
            <v>METROBRAND</v>
          </cell>
          <cell r="H111">
            <v>22.382204983544902</v>
          </cell>
          <cell r="K111" t="str">
            <v>METROBRAND</v>
          </cell>
          <cell r="L111">
            <v>3.0005425834455921</v>
          </cell>
        </row>
        <row r="112">
          <cell r="B112" t="str">
            <v>RELAXO</v>
          </cell>
          <cell r="C112">
            <v>5.533596837944664E-2</v>
          </cell>
          <cell r="D112">
            <v>6.4143977849561606E-2</v>
          </cell>
          <cell r="G112" t="str">
            <v>RELAXO</v>
          </cell>
          <cell r="H112">
            <v>41.803844771828963</v>
          </cell>
          <cell r="K112" t="str">
            <v>RELAXO</v>
          </cell>
          <cell r="L112">
            <v>2.2634516633177046</v>
          </cell>
        </row>
        <row r="113">
          <cell r="B113" t="str">
            <v>BATAINDIA</v>
          </cell>
          <cell r="C113">
            <v>9.3568945538818074E-2</v>
          </cell>
          <cell r="D113">
            <v>7.3880597014925373E-2</v>
          </cell>
          <cell r="G113" t="str">
            <v>BATAINDIA</v>
          </cell>
          <cell r="H113">
            <v>10.573580533024334</v>
          </cell>
          <cell r="K113" t="str">
            <v>BATAINDIA</v>
          </cell>
          <cell r="L113">
            <v>1.7825086306098965</v>
          </cell>
        </row>
        <row r="114">
          <cell r="B114" t="str">
            <v>REDTAPE</v>
          </cell>
          <cell r="C114">
            <v>9.6730245231607628E-2</v>
          </cell>
          <cell r="D114">
            <v>0.10104790419161677</v>
          </cell>
          <cell r="G114" t="str">
            <v>REDTAPE</v>
          </cell>
          <cell r="H114">
            <v>14.918256130790191</v>
          </cell>
          <cell r="K114" t="str">
            <v>REDTAPE</v>
          </cell>
          <cell r="L114">
            <v>1.4219474497681608</v>
          </cell>
        </row>
        <row r="115">
          <cell r="B115" t="str">
            <v>CAMPUS</v>
          </cell>
          <cell r="C115">
            <v>7.8840970350404313E-2</v>
          </cell>
          <cell r="D115">
            <v>5.1660516605166053E-2</v>
          </cell>
          <cell r="G115" t="str">
            <v>CAMPUS</v>
          </cell>
          <cell r="H115">
            <v>34.861927223719682</v>
          </cell>
          <cell r="K115" t="str">
            <v>CAMPUS</v>
          </cell>
          <cell r="L115">
            <v>1.7940936813254649</v>
          </cell>
        </row>
        <row r="116">
          <cell r="B116" t="str">
            <v>SREEL</v>
          </cell>
          <cell r="C116">
            <v>0.13</v>
          </cell>
          <cell r="D116">
            <v>0.13425925925925927</v>
          </cell>
          <cell r="G116" t="str">
            <v>SREEL</v>
          </cell>
          <cell r="H116">
            <v>0.91249999999999998</v>
          </cell>
        </row>
        <row r="117">
          <cell r="B117" t="str">
            <v>KHADIM</v>
          </cell>
          <cell r="C117">
            <v>2.7272727272727271E-2</v>
          </cell>
          <cell r="D117">
            <v>1.5873015873015872E-2</v>
          </cell>
          <cell r="G117" t="str">
            <v>KHADIM</v>
          </cell>
          <cell r="H117">
            <v>106.73484848484848</v>
          </cell>
        </row>
        <row r="118">
          <cell r="B118" t="str">
            <v>LIBERTSHOE</v>
          </cell>
          <cell r="C118">
            <v>1.9877675840978593E-2</v>
          </cell>
          <cell r="D118">
            <v>1.5873015873015872E-2</v>
          </cell>
          <cell r="G118" t="str">
            <v>LIBERTSHOE</v>
          </cell>
          <cell r="H118">
            <v>60.833333333333329</v>
          </cell>
        </row>
        <row r="119">
          <cell r="B119" t="str">
            <v>LEHAR</v>
          </cell>
          <cell r="C119">
            <v>2.4752475247524754E-2</v>
          </cell>
          <cell r="D119">
            <v>1.5873015873015872E-2</v>
          </cell>
          <cell r="G119" t="str">
            <v>LEHAR</v>
          </cell>
          <cell r="H119">
            <v>144.55445544554456</v>
          </cell>
        </row>
        <row r="139">
          <cell r="C139" t="str">
            <v>ROE</v>
          </cell>
          <cell r="D139" t="str">
            <v>ROA</v>
          </cell>
          <cell r="H139" t="str">
            <v>TRAIL_PE</v>
          </cell>
          <cell r="I139" t="str">
            <v>PBV</v>
          </cell>
          <cell r="M139" t="str">
            <v>YIELD</v>
          </cell>
        </row>
        <row r="140">
          <cell r="B140" t="str">
            <v>METROBRAND</v>
          </cell>
          <cell r="C140">
            <v>0.21450651747199662</v>
          </cell>
          <cell r="D140">
            <v>0.11536066801728198</v>
          </cell>
          <cell r="G140" t="str">
            <v>METROBRAND</v>
          </cell>
          <cell r="H140">
            <v>94.879166666666663</v>
          </cell>
          <cell r="I140">
            <v>16.837986176494599</v>
          </cell>
          <cell r="L140" t="str">
            <v>METROBRAND</v>
          </cell>
          <cell r="M140">
            <v>1.0539721575688376E-2</v>
          </cell>
        </row>
        <row r="141">
          <cell r="B141" t="str">
            <v>RELAXO</v>
          </cell>
          <cell r="C141">
            <v>8.1153432684808499E-2</v>
          </cell>
          <cell r="D141">
            <v>5.8698867188095569E-2</v>
          </cell>
          <cell r="G141" t="str">
            <v>RELAXO</v>
          </cell>
          <cell r="H141">
            <v>104.75</v>
          </cell>
          <cell r="I141">
            <v>10.849151898800018</v>
          </cell>
          <cell r="L141" t="str">
            <v>RELAXO</v>
          </cell>
          <cell r="M141">
            <v>9.5465393794749408E-3</v>
          </cell>
        </row>
        <row r="142">
          <cell r="B142" t="str">
            <v>BATAINDIA</v>
          </cell>
          <cell r="C142">
            <v>0.23022095509622237</v>
          </cell>
          <cell r="D142">
            <v>9.9814585908529055E-2</v>
          </cell>
          <cell r="G142" t="str">
            <v>BATAINDIA</v>
          </cell>
          <cell r="H142">
            <v>67.047619047619051</v>
          </cell>
          <cell r="I142">
            <v>12.285207907293797</v>
          </cell>
          <cell r="L142" t="str">
            <v>BATAINDIA</v>
          </cell>
          <cell r="M142">
            <v>1.4914772727272728E-2</v>
          </cell>
        </row>
        <row r="143">
          <cell r="B143" t="str">
            <v>REDTAPE</v>
          </cell>
          <cell r="C143">
            <v>0.27734375</v>
          </cell>
          <cell r="D143">
            <v>9.6010818120351588E-2</v>
          </cell>
          <cell r="G143" t="str">
            <v>REDTAPE</v>
          </cell>
          <cell r="H143">
            <v>75.25</v>
          </cell>
          <cell r="I143">
            <v>15.607407407407408</v>
          </cell>
          <cell r="L143" t="str">
            <v>REDTAPE</v>
          </cell>
          <cell r="M143">
            <v>1.3289036544850499E-2</v>
          </cell>
        </row>
        <row r="144">
          <cell r="B144" t="str">
            <v>CAMPUS</v>
          </cell>
          <cell r="C144">
            <v>0.19749502042469871</v>
          </cell>
          <cell r="D144">
            <v>9.9928256636261148E-2</v>
          </cell>
          <cell r="G144" t="str">
            <v>CAMPUS</v>
          </cell>
          <cell r="H144">
            <v>81.149999999999991</v>
          </cell>
          <cell r="I144">
            <v>9.973532475202342</v>
          </cell>
          <cell r="L144" t="str">
            <v>CAMPUS</v>
          </cell>
          <cell r="M144">
            <v>1.2322858903265559E-2</v>
          </cell>
        </row>
        <row r="145">
          <cell r="B145" t="str">
            <v>SREEL</v>
          </cell>
          <cell r="C145">
            <v>6.9518716577540107E-2</v>
          </cell>
          <cell r="D145">
            <v>6.1757719714964368E-2</v>
          </cell>
          <cell r="G145" t="str">
            <v>SREEL</v>
          </cell>
          <cell r="H145">
            <v>25.462500000000002</v>
          </cell>
          <cell r="I145">
            <v>1.7701889168765741</v>
          </cell>
          <cell r="L145" t="str">
            <v>SREEL</v>
          </cell>
          <cell r="M145">
            <v>3.9273441335297005E-2</v>
          </cell>
        </row>
        <row r="146">
          <cell r="B146" t="str">
            <v>KHADIM</v>
          </cell>
          <cell r="C146">
            <v>8.5308056872037921E-2</v>
          </cell>
          <cell r="D146">
            <v>2.2959183673469389E-2</v>
          </cell>
          <cell r="G146" t="str">
            <v>KHADIM</v>
          </cell>
          <cell r="H146">
            <v>71.39</v>
          </cell>
          <cell r="I146">
            <v>2.8057205240174672</v>
          </cell>
          <cell r="L146" t="str">
            <v>KHADIM</v>
          </cell>
          <cell r="M146">
            <v>1.4007564084605687E-2</v>
          </cell>
        </row>
        <row r="147">
          <cell r="B147" t="str">
            <v>LIBERTSHOE</v>
          </cell>
          <cell r="C147">
            <v>6.9518716577540107E-2</v>
          </cell>
          <cell r="D147">
            <v>2.8199566160520606E-2</v>
          </cell>
          <cell r="G147" t="str">
            <v>LIBERTSHOE</v>
          </cell>
          <cell r="H147">
            <v>94</v>
          </cell>
          <cell r="I147">
            <v>2.35</v>
          </cell>
          <cell r="L147" t="str">
            <v>LIBERTSHOE</v>
          </cell>
          <cell r="M147">
            <v>1.0638297872340425E-2</v>
          </cell>
        </row>
        <row r="148">
          <cell r="B148" t="str">
            <v>LEHAR</v>
          </cell>
          <cell r="C148">
            <v>6.3291139240506333E-2</v>
          </cell>
          <cell r="D148">
            <v>2.1739130434782608E-2</v>
          </cell>
          <cell r="G148" t="str">
            <v>LEHAR</v>
          </cell>
          <cell r="H148">
            <v>26.6</v>
          </cell>
          <cell r="I148">
            <v>2.2400000000000002</v>
          </cell>
          <cell r="L148" t="str">
            <v>LEHAR</v>
          </cell>
          <cell r="M148">
            <v>3.7593984962406013E-2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profitfromit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62C14-37BD-486B-82BD-B0DB481BFB1F}">
  <sheetPr>
    <outlinePr summaryBelow="0" summaryRight="0"/>
  </sheetPr>
  <dimension ref="A1:AE1001"/>
  <sheetViews>
    <sheetView showGridLines="0" tabSelected="1" workbookViewId="0"/>
  </sheetViews>
  <sheetFormatPr defaultColWidth="14" defaultRowHeight="15" customHeight="1" x14ac:dyDescent="0.3"/>
  <cols>
    <col min="1" max="1" width="5.21875" customWidth="1"/>
    <col min="2" max="3" width="14" customWidth="1"/>
    <col min="4" max="4" width="20.44140625" customWidth="1"/>
    <col min="5" max="6" width="14" customWidth="1"/>
  </cols>
  <sheetData>
    <row r="1" spans="1:31" ht="15.75" customHeight="1" x14ac:dyDescent="0.3">
      <c r="C1" s="1" t="s">
        <v>0</v>
      </c>
      <c r="D1" s="2"/>
      <c r="E1" s="1" t="s">
        <v>1</v>
      </c>
      <c r="H1" s="1" t="s">
        <v>2</v>
      </c>
      <c r="R1" s="1" t="s">
        <v>3</v>
      </c>
    </row>
    <row r="2" spans="1:31" ht="15.75" customHeight="1" x14ac:dyDescent="0.3">
      <c r="A2" s="3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</row>
    <row r="3" spans="1:31" ht="15.75" customHeight="1" x14ac:dyDescent="0.3">
      <c r="B3" s="1" t="s">
        <v>24</v>
      </c>
      <c r="C3" s="4">
        <f ca="1">IFERROR(__xludf.DUMMYFUNCTION("GOOGLEFINANCE(""nse:""&amp;$B$3,""price"")"),838)</f>
        <v>838</v>
      </c>
      <c r="D3" s="4">
        <f ca="1">IFERROR(__xludf.DUMMYFUNCTION("GOOGLEFINANCE(""nse:""&amp;$B$3,""MARKETCAP"")/10000000"),20861.05468)</f>
        <v>20861.054680000001</v>
      </c>
      <c r="E3" s="5">
        <f t="shared" ref="E3:F3" si="0">E14</f>
        <v>2922.15</v>
      </c>
      <c r="F3" s="5">
        <f t="shared" si="0"/>
        <v>187.01760000000002</v>
      </c>
      <c r="G3" s="6">
        <f ca="1">IFERROR(__xludf.DUMMYFUNCTION("GOOGLEFINANCE(""nse:""&amp;$B$3,""EPS"")"),8.13)</f>
        <v>8.1300000000000008</v>
      </c>
      <c r="H3" s="7">
        <v>24.89</v>
      </c>
      <c r="I3" s="7">
        <v>1873</v>
      </c>
      <c r="J3" s="7">
        <v>38</v>
      </c>
      <c r="K3" s="7">
        <f>148+40</f>
        <v>188</v>
      </c>
      <c r="L3" s="7">
        <v>1</v>
      </c>
      <c r="M3" s="8">
        <v>1217</v>
      </c>
      <c r="N3" s="8">
        <v>538</v>
      </c>
      <c r="O3" s="8">
        <v>2624</v>
      </c>
      <c r="P3" s="8">
        <f>N3+189</f>
        <v>727</v>
      </c>
      <c r="Q3" s="8">
        <v>319</v>
      </c>
      <c r="R3" s="8">
        <v>135</v>
      </c>
      <c r="S3" s="8">
        <v>-84</v>
      </c>
      <c r="T3" s="8">
        <v>-55</v>
      </c>
      <c r="U3" s="9">
        <v>68</v>
      </c>
      <c r="W3" s="10"/>
      <c r="X3" s="10"/>
      <c r="Y3" s="10"/>
      <c r="Z3" s="10"/>
      <c r="AA3" s="10"/>
      <c r="AB3" s="10"/>
      <c r="AC3" s="10"/>
      <c r="AD3" s="10"/>
      <c r="AE3" s="10"/>
    </row>
    <row r="4" spans="1:31" ht="15.75" customHeight="1" x14ac:dyDescent="0.3">
      <c r="B4" s="8" t="s">
        <v>25</v>
      </c>
      <c r="C4" s="8">
        <v>851</v>
      </c>
      <c r="D4" s="4">
        <f ca="1">(C4*D3)/C3</f>
        <v>21184.674860000003</v>
      </c>
      <c r="E4" s="5">
        <f t="shared" ref="E4:F4" si="1">E27</f>
        <v>2783</v>
      </c>
      <c r="F4" s="5">
        <f t="shared" si="1"/>
        <v>155</v>
      </c>
      <c r="G4" s="5">
        <f>H27</f>
        <v>6.21</v>
      </c>
      <c r="H4" s="7">
        <v>24.89</v>
      </c>
      <c r="I4" s="11">
        <v>1830</v>
      </c>
      <c r="J4" s="8">
        <v>0</v>
      </c>
      <c r="K4" s="8">
        <f>128+36</f>
        <v>164</v>
      </c>
      <c r="L4" s="8">
        <v>1</v>
      </c>
      <c r="M4" s="8">
        <v>1194</v>
      </c>
      <c r="N4" s="8">
        <v>471</v>
      </c>
      <c r="O4" s="8">
        <v>2495</v>
      </c>
      <c r="P4" s="8">
        <f>169+N4</f>
        <v>640</v>
      </c>
      <c r="Q4" s="8">
        <v>270</v>
      </c>
      <c r="R4" s="8">
        <v>159</v>
      </c>
      <c r="S4" s="8">
        <v>-78</v>
      </c>
      <c r="T4" s="8">
        <v>-87</v>
      </c>
      <c r="U4" s="3">
        <v>103</v>
      </c>
    </row>
    <row r="5" spans="1:31" ht="15.75" customHeight="1" x14ac:dyDescent="0.3">
      <c r="B5" s="12" t="s">
        <v>26</v>
      </c>
      <c r="C5" s="13">
        <f t="shared" ref="C5:U5" ca="1" si="2">(C3/C4)-1</f>
        <v>-1.5276145710928279E-2</v>
      </c>
      <c r="D5" s="13">
        <f t="shared" ca="1" si="2"/>
        <v>-1.527614571092839E-2</v>
      </c>
      <c r="E5" s="13">
        <f t="shared" si="2"/>
        <v>5.0000000000000044E-2</v>
      </c>
      <c r="F5" s="13">
        <f t="shared" si="2"/>
        <v>0.20656516129032276</v>
      </c>
      <c r="G5" s="13">
        <f t="shared" ca="1" si="2"/>
        <v>0.3091787439613527</v>
      </c>
      <c r="H5" s="13">
        <f t="shared" si="2"/>
        <v>0</v>
      </c>
      <c r="I5" s="13">
        <f t="shared" si="2"/>
        <v>2.3497267759562845E-2</v>
      </c>
      <c r="J5" s="13" t="e">
        <f t="shared" si="2"/>
        <v>#DIV/0!</v>
      </c>
      <c r="K5" s="13">
        <f t="shared" si="2"/>
        <v>0.14634146341463405</v>
      </c>
      <c r="L5" s="13">
        <f t="shared" si="2"/>
        <v>0</v>
      </c>
      <c r="M5" s="13">
        <f t="shared" si="2"/>
        <v>1.9262981574539317E-2</v>
      </c>
      <c r="N5" s="13">
        <f t="shared" si="2"/>
        <v>0.1422505307855626</v>
      </c>
      <c r="O5" s="13">
        <f t="shared" si="2"/>
        <v>5.1703406813627284E-2</v>
      </c>
      <c r="P5" s="13">
        <f t="shared" si="2"/>
        <v>0.13593750000000004</v>
      </c>
      <c r="Q5" s="13">
        <f t="shared" si="2"/>
        <v>0.18148148148148158</v>
      </c>
      <c r="R5" s="13">
        <f t="shared" si="2"/>
        <v>-0.15094339622641506</v>
      </c>
      <c r="S5" s="13">
        <f t="shared" si="2"/>
        <v>7.6923076923076872E-2</v>
      </c>
      <c r="T5" s="13">
        <f t="shared" si="2"/>
        <v>-0.36781609195402298</v>
      </c>
      <c r="U5" s="13">
        <f t="shared" si="2"/>
        <v>-0.33980582524271841</v>
      </c>
    </row>
    <row r="6" spans="1:31" ht="15.75" customHeight="1" x14ac:dyDescent="0.3">
      <c r="B6" s="3"/>
      <c r="C6" s="3"/>
      <c r="D6" s="14"/>
      <c r="E6" s="3"/>
      <c r="F6" s="15"/>
      <c r="G6" s="15"/>
      <c r="H6" s="3"/>
      <c r="J6" s="3"/>
      <c r="K6" s="3"/>
      <c r="L6" s="3"/>
      <c r="M6" s="3"/>
      <c r="N6" s="3"/>
      <c r="O6" s="3"/>
      <c r="P6" s="3"/>
      <c r="Q6" s="3"/>
      <c r="S6" s="3"/>
      <c r="T6" s="3"/>
      <c r="U6" s="3"/>
    </row>
    <row r="7" spans="1:31" ht="15.75" customHeight="1" x14ac:dyDescent="0.3">
      <c r="B7" s="1" t="s">
        <v>26</v>
      </c>
      <c r="D7" s="16" t="s">
        <v>27</v>
      </c>
      <c r="G7" s="1" t="s">
        <v>28</v>
      </c>
      <c r="J7" s="1" t="s">
        <v>29</v>
      </c>
      <c r="M7" s="1" t="s">
        <v>30</v>
      </c>
    </row>
    <row r="8" spans="1:31" ht="15.75" customHeight="1" x14ac:dyDescent="0.3">
      <c r="B8" s="17" t="s">
        <v>31</v>
      </c>
      <c r="C8" s="17" t="s">
        <v>32</v>
      </c>
      <c r="D8" s="18" t="s">
        <v>33</v>
      </c>
      <c r="E8" s="17" t="s">
        <v>34</v>
      </c>
      <c r="F8" s="17" t="s">
        <v>35</v>
      </c>
      <c r="G8" s="17" t="s">
        <v>36</v>
      </c>
      <c r="H8" s="17" t="s">
        <v>37</v>
      </c>
      <c r="I8" s="17" t="s">
        <v>38</v>
      </c>
      <c r="J8" s="17" t="s">
        <v>39</v>
      </c>
      <c r="K8" s="17" t="s">
        <v>40</v>
      </c>
      <c r="L8" s="17" t="s">
        <v>41</v>
      </c>
      <c r="M8" s="17" t="s">
        <v>42</v>
      </c>
      <c r="N8" s="17" t="s">
        <v>43</v>
      </c>
      <c r="O8" s="17" t="s">
        <v>44</v>
      </c>
      <c r="P8" s="17" t="s">
        <v>45</v>
      </c>
      <c r="Q8" s="17" t="s">
        <v>46</v>
      </c>
      <c r="AD8" s="10"/>
    </row>
    <row r="9" spans="1:31" ht="15.75" customHeight="1" x14ac:dyDescent="0.3">
      <c r="B9" s="19">
        <f>S23</f>
        <v>7.3835480673934528E-2</v>
      </c>
      <c r="C9" s="19">
        <f>S26</f>
        <v>0.52747252747252737</v>
      </c>
      <c r="D9" s="19">
        <f>Q28</f>
        <v>6.4143977849561606E-2</v>
      </c>
      <c r="E9" s="20">
        <f>M3/N3</f>
        <v>2.2620817843866172</v>
      </c>
      <c r="F9" s="21">
        <f>365/(E14/Q3)</f>
        <v>39.845661584792019</v>
      </c>
      <c r="G9" s="19">
        <f>J3/(I3+H3)</f>
        <v>2.0022235219111749E-2</v>
      </c>
      <c r="H9" s="19">
        <f>P3/O3</f>
        <v>0.27705792682926828</v>
      </c>
      <c r="I9" s="21">
        <f>Q29</f>
        <v>12.642857142857142</v>
      </c>
      <c r="J9" s="19">
        <f>F3/(H3+I3)</f>
        <v>9.8539746771414569E-2</v>
      </c>
      <c r="K9" s="21">
        <f>F3/H3</f>
        <v>7.5137645640819608</v>
      </c>
      <c r="L9" s="19">
        <f>F3/O3</f>
        <v>7.12719512195122E-2</v>
      </c>
      <c r="M9" s="22">
        <f ca="1">C3/G3</f>
        <v>103.07503075030749</v>
      </c>
      <c r="N9" s="23">
        <f ca="1">G3/C3</f>
        <v>9.7016706443914091E-3</v>
      </c>
      <c r="O9" s="21">
        <f>(H3+I3)/(H3/L3)</f>
        <v>76.251104861390118</v>
      </c>
      <c r="P9" s="21">
        <f ca="1">C3/O9</f>
        <v>10.990004689418248</v>
      </c>
      <c r="Q9" s="21">
        <f ca="1">T12</f>
        <v>1.9520149079897509</v>
      </c>
      <c r="S9" s="3"/>
      <c r="T9" s="3"/>
      <c r="U9" s="9"/>
    </row>
    <row r="10" spans="1:31" ht="15.75" customHeight="1" x14ac:dyDescent="0.3">
      <c r="O10" s="3"/>
      <c r="T10" s="3"/>
      <c r="U10" s="9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.75" customHeight="1" x14ac:dyDescent="0.3">
      <c r="B11" s="24" t="s">
        <v>47</v>
      </c>
      <c r="C11" s="1" t="s">
        <v>48</v>
      </c>
      <c r="D11" s="16" t="s">
        <v>49</v>
      </c>
      <c r="E11" s="1" t="s">
        <v>50</v>
      </c>
      <c r="F11" s="1" t="s">
        <v>51</v>
      </c>
      <c r="G11" s="1" t="s">
        <v>52</v>
      </c>
      <c r="H11" s="1" t="s">
        <v>53</v>
      </c>
      <c r="J11" s="1" t="s">
        <v>54</v>
      </c>
      <c r="K11" s="1" t="s">
        <v>55</v>
      </c>
      <c r="L11" s="1" t="s">
        <v>56</v>
      </c>
      <c r="M11" s="1" t="s">
        <v>57</v>
      </c>
      <c r="N11" s="1" t="s">
        <v>58</v>
      </c>
      <c r="O11" s="1" t="s">
        <v>59</v>
      </c>
      <c r="Q11" s="25" t="s">
        <v>60</v>
      </c>
      <c r="R11" s="25" t="s">
        <v>9</v>
      </c>
      <c r="S11" s="25" t="s">
        <v>61</v>
      </c>
      <c r="T11" s="25" t="s">
        <v>46</v>
      </c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5.75" customHeight="1" x14ac:dyDescent="0.3">
      <c r="B12" s="3"/>
      <c r="C12" s="26">
        <f>FV(C17,5,0,-C13,0)</f>
        <v>35.480495162633957</v>
      </c>
      <c r="D12" s="27" t="s">
        <v>62</v>
      </c>
      <c r="E12" s="26">
        <f t="shared" ref="E12:G12" si="3">FV(E17,5,0,-E13,0)</f>
        <v>10164.844863054601</v>
      </c>
      <c r="F12" s="26">
        <f t="shared" si="3"/>
        <v>723.04576522551645</v>
      </c>
      <c r="G12" s="28">
        <f t="shared" si="3"/>
        <v>29.0509459242395</v>
      </c>
      <c r="H12" s="29">
        <f>G12*$N$25</f>
        <v>960.21618732838431</v>
      </c>
      <c r="J12" s="1" t="s">
        <v>52</v>
      </c>
      <c r="K12" s="7">
        <v>2.5499999999999998</v>
      </c>
      <c r="L12" s="7">
        <v>2.2599999999999998</v>
      </c>
      <c r="M12" s="7">
        <v>1.78</v>
      </c>
      <c r="N12" s="7">
        <v>1.55</v>
      </c>
      <c r="O12" s="6">
        <f>SUM(K12:N12)</f>
        <v>8.14</v>
      </c>
      <c r="Q12" s="30">
        <v>6.2</v>
      </c>
      <c r="R12" s="30">
        <v>8.1</v>
      </c>
      <c r="S12" s="31">
        <v>7.5</v>
      </c>
      <c r="T12" s="32">
        <f ca="1">R14/53</f>
        <v>1.9520149079897509</v>
      </c>
      <c r="U12" s="3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5.75" customHeight="1" x14ac:dyDescent="0.3">
      <c r="B13" s="3"/>
      <c r="C13" s="26">
        <f>FV(C17,6,0,-C14,0)</f>
        <v>27.132612786088622</v>
      </c>
      <c r="D13" s="27" t="s">
        <v>63</v>
      </c>
      <c r="E13" s="26">
        <f>FV(E17,6,0,-E14,0)</f>
        <v>5767.8059595104278</v>
      </c>
      <c r="F13" s="26">
        <f t="shared" ref="F13:F14" si="4">E13*H17</f>
        <v>410.2755851025633</v>
      </c>
      <c r="G13" s="28">
        <f>(F13*G14)/F14</f>
        <v>16.484286901442275</v>
      </c>
      <c r="H13" s="29">
        <f>G13*30</f>
        <v>494.52860704326827</v>
      </c>
      <c r="J13" s="3"/>
      <c r="K13" s="3"/>
      <c r="L13" s="3"/>
      <c r="M13" s="3"/>
      <c r="N13" s="3"/>
      <c r="O13" s="3"/>
      <c r="P13" s="3"/>
      <c r="Q13" s="25" t="s">
        <v>64</v>
      </c>
      <c r="R13" s="25" t="s">
        <v>9</v>
      </c>
      <c r="S13" s="25" t="s">
        <v>65</v>
      </c>
      <c r="T13" s="34"/>
      <c r="U13" s="33"/>
      <c r="AA13" s="3"/>
      <c r="AB13" s="3"/>
      <c r="AC13" s="3"/>
      <c r="AD13" s="3"/>
      <c r="AE13" s="3"/>
    </row>
    <row r="14" spans="1:31" ht="15.75" customHeight="1" x14ac:dyDescent="0.3">
      <c r="C14" s="35">
        <f>FV(C18,1,0,-C27,0)</f>
        <v>19.664999999999999</v>
      </c>
      <c r="D14" s="27" t="s">
        <v>66</v>
      </c>
      <c r="E14" s="36">
        <f>FV(E18,1,0,-E27,0)</f>
        <v>2922.15</v>
      </c>
      <c r="F14" s="26">
        <f t="shared" si="4"/>
        <v>187.01760000000002</v>
      </c>
      <c r="G14" s="28">
        <f>FV(G18,1,0,-H27,0)</f>
        <v>7.5141</v>
      </c>
      <c r="H14" s="29">
        <f>G14*$N$25</f>
        <v>248.36232431192659</v>
      </c>
      <c r="J14" s="1" t="s">
        <v>54</v>
      </c>
      <c r="K14" s="8"/>
      <c r="L14" s="8" t="s">
        <v>67</v>
      </c>
      <c r="M14" s="8" t="s">
        <v>68</v>
      </c>
      <c r="N14" s="8" t="s">
        <v>69</v>
      </c>
      <c r="O14" s="8" t="s">
        <v>70</v>
      </c>
      <c r="Q14" s="37">
        <f>C4/Q12</f>
        <v>137.25806451612902</v>
      </c>
      <c r="R14" s="37">
        <f ca="1">C3/R12</f>
        <v>103.4567901234568</v>
      </c>
      <c r="S14" s="37">
        <f ca="1">C3/S12</f>
        <v>111.73333333333333</v>
      </c>
      <c r="T14" s="34"/>
      <c r="U14" s="33"/>
      <c r="AA14" s="3"/>
      <c r="AB14" s="3"/>
      <c r="AC14" s="3"/>
      <c r="AD14" s="3"/>
      <c r="AE14" s="3"/>
    </row>
    <row r="15" spans="1:31" ht="15.75" customHeight="1" x14ac:dyDescent="0.3">
      <c r="B15" s="3"/>
      <c r="C15" s="3"/>
      <c r="D15" s="38"/>
      <c r="E15" s="39"/>
      <c r="F15" s="40"/>
      <c r="G15" s="40"/>
      <c r="H15" s="41"/>
      <c r="J15" s="1" t="s">
        <v>71</v>
      </c>
      <c r="K15" s="1" t="s">
        <v>72</v>
      </c>
      <c r="L15" s="1" t="s">
        <v>56</v>
      </c>
      <c r="M15" s="1" t="s">
        <v>73</v>
      </c>
      <c r="N15" s="1" t="s">
        <v>74</v>
      </c>
      <c r="O15" s="1" t="s">
        <v>75</v>
      </c>
      <c r="AA15" s="3"/>
      <c r="AB15" s="3"/>
      <c r="AC15" s="3"/>
      <c r="AD15" s="3"/>
      <c r="AE15" s="3"/>
    </row>
    <row r="16" spans="1:31" ht="15.75" customHeight="1" x14ac:dyDescent="0.3">
      <c r="B16" s="24" t="s">
        <v>47</v>
      </c>
      <c r="C16" s="1" t="s">
        <v>48</v>
      </c>
      <c r="D16" s="16" t="s">
        <v>49</v>
      </c>
      <c r="E16" s="1" t="s">
        <v>50</v>
      </c>
      <c r="F16" s="1" t="s">
        <v>51</v>
      </c>
      <c r="G16" s="1" t="s">
        <v>52</v>
      </c>
      <c r="H16" s="1" t="s">
        <v>76</v>
      </c>
      <c r="J16" s="1" t="s">
        <v>50</v>
      </c>
      <c r="K16" s="42">
        <v>0.05</v>
      </c>
      <c r="L16" s="42">
        <v>0.11</v>
      </c>
      <c r="M16" s="42">
        <v>0.09</v>
      </c>
      <c r="N16" s="42">
        <v>7.0000000000000007E-2</v>
      </c>
      <c r="O16" s="43">
        <v>0.05</v>
      </c>
      <c r="Y16" s="10"/>
      <c r="AA16" s="10"/>
      <c r="AB16" s="10"/>
      <c r="AC16" s="10"/>
      <c r="AD16" s="10"/>
      <c r="AE16" s="10"/>
    </row>
    <row r="17" spans="1:31" ht="15.75" customHeight="1" x14ac:dyDescent="0.3">
      <c r="B17" s="3"/>
      <c r="C17" s="44">
        <f>MEDIAN(C21:C23)</f>
        <v>5.5114547698331906E-2</v>
      </c>
      <c r="D17" s="45" t="s">
        <v>77</v>
      </c>
      <c r="E17" s="46">
        <v>0.12</v>
      </c>
      <c r="F17" s="46">
        <v>0.12</v>
      </c>
      <c r="G17" s="46">
        <v>0.12</v>
      </c>
      <c r="H17" s="47">
        <f>AVERAGE(I21:I23)</f>
        <v>7.1132002009545336E-2</v>
      </c>
      <c r="I17" s="3"/>
      <c r="J17" s="1" t="s">
        <v>51</v>
      </c>
      <c r="K17" s="42">
        <v>-0.33</v>
      </c>
      <c r="L17" s="42">
        <v>0.44</v>
      </c>
      <c r="M17" s="42">
        <v>0.66</v>
      </c>
      <c r="N17" s="42">
        <v>0.53</v>
      </c>
      <c r="O17" s="48">
        <v>0.21</v>
      </c>
      <c r="P17" s="49"/>
      <c r="Y17" s="10"/>
      <c r="AA17" s="10"/>
      <c r="AB17" s="10"/>
      <c r="AC17" s="10"/>
      <c r="AD17" s="10"/>
      <c r="AE17" s="10"/>
    </row>
    <row r="18" spans="1:31" ht="15.75" customHeight="1" x14ac:dyDescent="0.3">
      <c r="B18" s="3"/>
      <c r="C18" s="44">
        <v>0.15</v>
      </c>
      <c r="D18" s="45" t="s">
        <v>78</v>
      </c>
      <c r="E18" s="46">
        <v>0.05</v>
      </c>
      <c r="F18" s="46">
        <f>(F14/F27)-1</f>
        <v>0.20656516129032276</v>
      </c>
      <c r="G18" s="46">
        <v>0.21</v>
      </c>
      <c r="H18" s="47">
        <v>6.4000000000000001E-2</v>
      </c>
      <c r="I18" s="3"/>
      <c r="J18" s="1" t="s">
        <v>76</v>
      </c>
      <c r="K18" s="50">
        <v>5.6000000000000001E-2</v>
      </c>
      <c r="L18" s="50">
        <v>7.5999999999999998E-2</v>
      </c>
      <c r="M18" s="50">
        <v>6.9000000000000006E-2</v>
      </c>
      <c r="N18" s="50">
        <v>6.4000000000000001E-2</v>
      </c>
      <c r="O18" s="51">
        <v>6.4000000000000001E-2</v>
      </c>
      <c r="P18" s="49"/>
      <c r="Y18" s="10"/>
      <c r="AA18" s="3"/>
      <c r="AB18" s="3"/>
      <c r="AC18" s="3"/>
      <c r="AD18" s="3"/>
      <c r="AE18" s="3"/>
    </row>
    <row r="19" spans="1:31" ht="15.75" customHeight="1" x14ac:dyDescent="0.3">
      <c r="B19" s="3"/>
      <c r="C19" s="3"/>
      <c r="D19" s="38"/>
      <c r="E19" s="52"/>
      <c r="F19" s="52"/>
      <c r="G19" s="52"/>
      <c r="H19" s="3"/>
      <c r="I19" s="3"/>
      <c r="J19" s="3"/>
      <c r="K19" s="3"/>
      <c r="L19" s="3"/>
      <c r="M19" s="3"/>
      <c r="N19" s="3"/>
      <c r="O19" s="3"/>
      <c r="Y19" s="10"/>
      <c r="AA19" s="3"/>
      <c r="AB19" s="3"/>
      <c r="AC19" s="3"/>
      <c r="AD19" s="3"/>
      <c r="AE19" s="3"/>
    </row>
    <row r="20" spans="1:31" ht="15.75" customHeight="1" x14ac:dyDescent="0.3">
      <c r="B20" s="24" t="s">
        <v>79</v>
      </c>
      <c r="C20" s="1" t="s">
        <v>48</v>
      </c>
      <c r="D20" s="16" t="s">
        <v>49</v>
      </c>
      <c r="E20" s="1" t="s">
        <v>50</v>
      </c>
      <c r="F20" s="1" t="s">
        <v>51</v>
      </c>
      <c r="G20" s="1" t="s">
        <v>80</v>
      </c>
      <c r="H20" s="1" t="s">
        <v>52</v>
      </c>
      <c r="I20" s="1" t="s">
        <v>81</v>
      </c>
      <c r="J20" s="1" t="s">
        <v>82</v>
      </c>
      <c r="K20" s="1" t="s">
        <v>83</v>
      </c>
      <c r="L20" s="1" t="s">
        <v>84</v>
      </c>
      <c r="M20" s="1" t="s">
        <v>85</v>
      </c>
      <c r="N20" s="1" t="s">
        <v>86</v>
      </c>
      <c r="O20" s="3"/>
      <c r="P20" s="1" t="s">
        <v>87</v>
      </c>
      <c r="Q20" s="1" t="s">
        <v>88</v>
      </c>
      <c r="R20" s="1" t="s">
        <v>89</v>
      </c>
      <c r="S20" s="1" t="s">
        <v>26</v>
      </c>
      <c r="U20" s="1" t="s">
        <v>87</v>
      </c>
      <c r="V20" s="1" t="s">
        <v>90</v>
      </c>
      <c r="W20" s="1" t="s">
        <v>91</v>
      </c>
      <c r="X20" s="1" t="s">
        <v>26</v>
      </c>
      <c r="AA20" s="3"/>
      <c r="AB20" s="3"/>
      <c r="AC20" s="3"/>
      <c r="AD20" s="3"/>
      <c r="AE20" s="3"/>
    </row>
    <row r="21" spans="1:31" ht="15.75" customHeight="1" x14ac:dyDescent="0.3">
      <c r="B21" s="3"/>
      <c r="C21" s="44">
        <f>(C27/C44)^(1/17)-1</f>
        <v>7.3760460927740246E-2</v>
      </c>
      <c r="D21" s="45" t="s">
        <v>92</v>
      </c>
      <c r="E21" s="44">
        <f t="shared" ref="E21:G21" si="5">(E27/E44)^(1/20)-1</f>
        <v>0.14042271085532043</v>
      </c>
      <c r="F21" s="44">
        <f t="shared" si="5"/>
        <v>0.21224635770217404</v>
      </c>
      <c r="G21" s="44">
        <f t="shared" si="5"/>
        <v>7.372652597838103E-2</v>
      </c>
      <c r="H21" s="44">
        <f>((20*H27)/H44)^(1/20)-1</f>
        <v>0.21098256808745219</v>
      </c>
      <c r="I21" s="44">
        <f>MEDIAN(I27:I47)</f>
        <v>5.5E-2</v>
      </c>
      <c r="J21" s="44">
        <f t="shared" ref="J21:K21" si="6">((20*J27)/J44)^(1/20)-1</f>
        <v>0.34152639381920458</v>
      </c>
      <c r="K21" s="44">
        <f t="shared" si="6"/>
        <v>0.38565290510186512</v>
      </c>
      <c r="L21" s="5">
        <f t="shared" ref="L21:M21" si="7">MEDIAN(L27:L47)</f>
        <v>27.037037037037035</v>
      </c>
      <c r="M21" s="5">
        <f t="shared" si="7"/>
        <v>9.1743119266055047</v>
      </c>
      <c r="N21" s="4">
        <f t="shared" ref="N21:N24" si="8">AVERAGE(L21:M21)</f>
        <v>18.105674481821268</v>
      </c>
      <c r="O21" s="3"/>
      <c r="P21" s="8" t="s">
        <v>93</v>
      </c>
      <c r="Q21" s="7">
        <v>14.5</v>
      </c>
      <c r="R21" s="7">
        <v>11.9</v>
      </c>
      <c r="S21" s="44">
        <f t="shared" ref="S21:S27" si="9">(Q21/R21)-1</f>
        <v>0.21848739495798308</v>
      </c>
      <c r="U21" s="8" t="s">
        <v>93</v>
      </c>
      <c r="V21" s="7">
        <v>9.9</v>
      </c>
      <c r="W21" s="7">
        <v>7.7</v>
      </c>
      <c r="X21" s="44">
        <f t="shared" ref="X21:X27" si="10">(V21/W21)-1</f>
        <v>0.28571428571428581</v>
      </c>
      <c r="AA21" s="3"/>
      <c r="AB21" s="3"/>
      <c r="AC21" s="3"/>
      <c r="AD21" s="3"/>
      <c r="AE21" s="3"/>
    </row>
    <row r="22" spans="1:31" ht="15.75" customHeight="1" x14ac:dyDescent="0.3">
      <c r="B22" s="3"/>
      <c r="C22" s="44">
        <f>(C27/C37)^(1/10)-1</f>
        <v>5.5114547698331906E-2</v>
      </c>
      <c r="D22" s="45" t="s">
        <v>94</v>
      </c>
      <c r="E22" s="44">
        <f t="shared" ref="E22:G22" si="11">(E27/E37)^(1/10)-1</f>
        <v>0.10722202045837537</v>
      </c>
      <c r="F22" s="44">
        <f t="shared" si="11"/>
        <v>0.13164945456892996</v>
      </c>
      <c r="G22" s="44">
        <f t="shared" si="11"/>
        <v>0.15288865258960271</v>
      </c>
      <c r="H22" s="44">
        <f>((20*H27)/H37)^(1/10)-1</f>
        <v>0.12782385535836349</v>
      </c>
      <c r="I22" s="44">
        <f>MEDIAN(I27:I37)</f>
        <v>7.2999999999999995E-2</v>
      </c>
      <c r="J22" s="44">
        <f t="shared" ref="J22:K22" si="12">((20*J27)/J37)^(1/10)-1</f>
        <v>0.39731330917365004</v>
      </c>
      <c r="K22" s="44">
        <f t="shared" si="12"/>
        <v>0.47708986578721424</v>
      </c>
      <c r="L22" s="5">
        <f t="shared" ref="L22:M22" si="13">MEDIAN(L27:L37)</f>
        <v>60</v>
      </c>
      <c r="M22" s="5">
        <f t="shared" si="13"/>
        <v>36</v>
      </c>
      <c r="N22" s="4">
        <f t="shared" si="8"/>
        <v>48</v>
      </c>
      <c r="O22" s="3"/>
      <c r="P22" s="8" t="s">
        <v>95</v>
      </c>
      <c r="Q22" s="7">
        <v>148</v>
      </c>
      <c r="R22" s="7">
        <v>168</v>
      </c>
      <c r="S22" s="44">
        <f t="shared" si="9"/>
        <v>-0.11904761904761907</v>
      </c>
      <c r="U22" s="8" t="s">
        <v>95</v>
      </c>
      <c r="V22" s="7">
        <v>146</v>
      </c>
      <c r="W22" s="7">
        <v>171</v>
      </c>
      <c r="X22" s="44">
        <f t="shared" si="10"/>
        <v>-0.14619883040935677</v>
      </c>
      <c r="AA22" s="3"/>
      <c r="AB22" s="3"/>
      <c r="AC22" s="3"/>
      <c r="AD22" s="3"/>
      <c r="AE22" s="3"/>
    </row>
    <row r="23" spans="1:31" ht="15.75" customHeight="1" x14ac:dyDescent="0.3">
      <c r="B23" s="3"/>
      <c r="C23" s="44">
        <f>(C27/C32)^(1/5)-1</f>
        <v>1.7230308602011801E-2</v>
      </c>
      <c r="D23" s="45" t="s">
        <v>96</v>
      </c>
      <c r="E23" s="44">
        <f t="shared" ref="E23:G23" si="14">(E27/E32)^(1/5)-1</f>
        <v>7.3841721588564724E-2</v>
      </c>
      <c r="F23" s="44">
        <f t="shared" si="14"/>
        <v>-7.5670740517450596E-3</v>
      </c>
      <c r="G23" s="44">
        <f t="shared" si="14"/>
        <v>0.15709423582599324</v>
      </c>
      <c r="H23" s="44">
        <f>((2*H27)/H32)^(1/5)-1</f>
        <v>-1.5074550134733244E-2</v>
      </c>
      <c r="I23" s="44">
        <f>MEDIAN(I27:I32)</f>
        <v>8.5396006028636021E-2</v>
      </c>
      <c r="J23" s="44">
        <f t="shared" ref="J23:K23" si="15">((2*J27)/J32)^(1/5)-1</f>
        <v>0.29155749858040747</v>
      </c>
      <c r="K23" s="44">
        <f t="shared" si="15"/>
        <v>0.27192018621449865</v>
      </c>
      <c r="L23" s="5">
        <f t="shared" ref="L23:M23" si="16">MEDIAN(L27:L32)</f>
        <v>85.262515262515265</v>
      </c>
      <c r="M23" s="5">
        <f t="shared" si="16"/>
        <v>46.718129288551829</v>
      </c>
      <c r="N23" s="4">
        <f t="shared" si="8"/>
        <v>65.990322275533543</v>
      </c>
      <c r="O23" s="3"/>
      <c r="P23" s="8" t="s">
        <v>1</v>
      </c>
      <c r="Q23" s="7">
        <v>2167</v>
      </c>
      <c r="R23" s="7">
        <v>2018</v>
      </c>
      <c r="S23" s="44">
        <f t="shared" si="9"/>
        <v>7.3835480673934528E-2</v>
      </c>
      <c r="T23" s="53"/>
      <c r="U23" s="8" t="s">
        <v>1</v>
      </c>
      <c r="V23" s="7">
        <v>1454</v>
      </c>
      <c r="W23" s="7">
        <v>1337</v>
      </c>
      <c r="X23" s="44">
        <f t="shared" si="10"/>
        <v>8.7509349289454086E-2</v>
      </c>
      <c r="AA23" s="3"/>
      <c r="AB23" s="3"/>
      <c r="AC23" s="3"/>
      <c r="AD23" s="3"/>
      <c r="AE23" s="3"/>
    </row>
    <row r="24" spans="1:31" ht="15.75" customHeight="1" x14ac:dyDescent="0.3">
      <c r="B24" s="3"/>
      <c r="C24" s="44">
        <f>(C27/C28)-1</f>
        <v>-2.0618556701030855E-2</v>
      </c>
      <c r="D24" s="45" t="s">
        <v>97</v>
      </c>
      <c r="E24" s="44">
        <f t="shared" ref="E24:H24" si="17">(E27/E28)-1</f>
        <v>4.860587792012061E-2</v>
      </c>
      <c r="F24" s="44">
        <f t="shared" si="17"/>
        <v>-0.33476394849785407</v>
      </c>
      <c r="G24" s="44">
        <f t="shared" si="17"/>
        <v>0</v>
      </c>
      <c r="H24" s="44">
        <f t="shared" si="17"/>
        <v>-0.33653846153846145</v>
      </c>
      <c r="I24" s="44">
        <f>I27</f>
        <v>5.5695292849443044E-2</v>
      </c>
      <c r="J24" s="44">
        <f t="shared" ref="J24:K24" si="18">(J27/J28)-1</f>
        <v>-0.100898410504492</v>
      </c>
      <c r="K24" s="44">
        <f t="shared" si="18"/>
        <v>-0.11674528301886788</v>
      </c>
      <c r="L24" s="5">
        <f t="shared" ref="L24:M24" si="19">L27</f>
        <v>209.50080515297907</v>
      </c>
      <c r="M24" s="5">
        <f t="shared" si="19"/>
        <v>120.61191626409018</v>
      </c>
      <c r="N24" s="4">
        <f t="shared" si="8"/>
        <v>165.05636070853461</v>
      </c>
      <c r="P24" s="8" t="s">
        <v>98</v>
      </c>
      <c r="Q24" s="7">
        <v>2004</v>
      </c>
      <c r="R24" s="7">
        <v>1908</v>
      </c>
      <c r="S24" s="44">
        <f t="shared" si="9"/>
        <v>5.031446540880502E-2</v>
      </c>
      <c r="U24" s="8" t="s">
        <v>98</v>
      </c>
      <c r="V24" s="7">
        <v>1336</v>
      </c>
      <c r="W24" s="7">
        <v>1263</v>
      </c>
      <c r="X24" s="44">
        <f t="shared" si="10"/>
        <v>5.7798891528107577E-2</v>
      </c>
    </row>
    <row r="25" spans="1:31" ht="15.75" customHeight="1" x14ac:dyDescent="0.3">
      <c r="A25" s="9"/>
      <c r="B25" s="3"/>
      <c r="C25" s="10"/>
      <c r="D25" s="14"/>
      <c r="E25" s="49"/>
      <c r="F25" s="54"/>
      <c r="G25" s="3"/>
      <c r="H25" s="55">
        <f>(F28*H48)/F48</f>
        <v>193.21951219512195</v>
      </c>
      <c r="I25" s="54"/>
      <c r="J25" s="3">
        <f t="shared" ref="J25:K25" si="20">J28*20</f>
        <v>28940</v>
      </c>
      <c r="K25" s="3">
        <f t="shared" si="20"/>
        <v>16960</v>
      </c>
      <c r="L25" s="3"/>
      <c r="M25" s="3"/>
      <c r="N25" s="55">
        <f>AVERAGE(N21:N22)</f>
        <v>33.052837240910634</v>
      </c>
      <c r="P25" s="8" t="s">
        <v>99</v>
      </c>
      <c r="Q25" s="7">
        <v>14</v>
      </c>
      <c r="R25" s="7">
        <v>15</v>
      </c>
      <c r="S25" s="44">
        <f t="shared" si="9"/>
        <v>-6.6666666666666652E-2</v>
      </c>
      <c r="U25" s="8" t="s">
        <v>99</v>
      </c>
      <c r="V25" s="7">
        <v>9</v>
      </c>
      <c r="W25" s="7">
        <v>11</v>
      </c>
      <c r="X25" s="44">
        <f t="shared" si="10"/>
        <v>-0.18181818181818177</v>
      </c>
    </row>
    <row r="26" spans="1:31" ht="15" customHeight="1" x14ac:dyDescent="0.3">
      <c r="A26" s="9"/>
      <c r="B26" s="24" t="s">
        <v>100</v>
      </c>
      <c r="C26" s="1" t="s">
        <v>48</v>
      </c>
      <c r="D26" s="16" t="s">
        <v>49</v>
      </c>
      <c r="E26" s="1" t="s">
        <v>50</v>
      </c>
      <c r="F26" s="56" t="s">
        <v>51</v>
      </c>
      <c r="G26" s="1" t="s">
        <v>80</v>
      </c>
      <c r="H26" s="1" t="s">
        <v>52</v>
      </c>
      <c r="I26" s="57" t="s">
        <v>81</v>
      </c>
      <c r="J26" s="1" t="s">
        <v>82</v>
      </c>
      <c r="K26" s="1" t="s">
        <v>83</v>
      </c>
      <c r="L26" s="1" t="s">
        <v>101</v>
      </c>
      <c r="M26" s="1" t="s">
        <v>102</v>
      </c>
      <c r="N26" s="3"/>
      <c r="O26" s="58"/>
      <c r="P26" s="8" t="s">
        <v>8</v>
      </c>
      <c r="Q26" s="7">
        <v>139</v>
      </c>
      <c r="R26" s="7">
        <v>91</v>
      </c>
      <c r="S26" s="44">
        <f t="shared" si="9"/>
        <v>0.52747252747252737</v>
      </c>
      <c r="T26" s="53"/>
      <c r="U26" s="8" t="s">
        <v>8</v>
      </c>
      <c r="V26" s="7">
        <v>101</v>
      </c>
      <c r="W26" s="7">
        <v>61</v>
      </c>
      <c r="X26" s="44">
        <f t="shared" si="10"/>
        <v>0.65573770491803285</v>
      </c>
      <c r="Z26" s="59"/>
      <c r="AA26" s="59"/>
      <c r="AB26" s="59"/>
      <c r="AC26" s="59"/>
      <c r="AD26" s="59"/>
      <c r="AE26" s="59"/>
    </row>
    <row r="27" spans="1:31" ht="15.75" customHeight="1" x14ac:dyDescent="0.3">
      <c r="A27" s="9"/>
      <c r="B27" s="3"/>
      <c r="C27" s="60">
        <v>17.100000000000001</v>
      </c>
      <c r="D27" s="45" t="s">
        <v>103</v>
      </c>
      <c r="E27" s="61">
        <v>2783</v>
      </c>
      <c r="F27" s="62">
        <v>155</v>
      </c>
      <c r="G27" s="4">
        <v>24.89</v>
      </c>
      <c r="H27" s="6">
        <v>6.21</v>
      </c>
      <c r="I27" s="51">
        <f t="shared" ref="I27:I30" si="21">F27/E27</f>
        <v>5.5695292849443044E-2</v>
      </c>
      <c r="J27" s="61">
        <v>1301</v>
      </c>
      <c r="K27" s="61">
        <v>749</v>
      </c>
      <c r="L27" s="4">
        <f t="shared" ref="L27:L47" si="22">J27/H27</f>
        <v>209.50080515297907</v>
      </c>
      <c r="M27" s="4">
        <f t="shared" ref="M27:M47" si="23">K27/H27</f>
        <v>120.61191626409018</v>
      </c>
      <c r="N27" s="3"/>
      <c r="O27" s="34"/>
      <c r="P27" s="8" t="s">
        <v>52</v>
      </c>
      <c r="Q27" s="7">
        <v>5.59</v>
      </c>
      <c r="R27" s="7">
        <v>3.66</v>
      </c>
      <c r="S27" s="44">
        <f t="shared" si="9"/>
        <v>0.52732240437158451</v>
      </c>
      <c r="U27" s="8" t="s">
        <v>52</v>
      </c>
      <c r="V27" s="7">
        <v>4.04</v>
      </c>
      <c r="W27" s="7">
        <v>2.4500000000000002</v>
      </c>
      <c r="X27" s="44">
        <f t="shared" si="10"/>
        <v>0.64897959183673448</v>
      </c>
    </row>
    <row r="28" spans="1:31" ht="15.75" customHeight="1" x14ac:dyDescent="0.3">
      <c r="A28" s="9"/>
      <c r="B28" s="3"/>
      <c r="C28" s="60">
        <v>17.46</v>
      </c>
      <c r="D28" s="45" t="s">
        <v>104</v>
      </c>
      <c r="E28" s="61">
        <v>2654</v>
      </c>
      <c r="F28" s="62">
        <v>233</v>
      </c>
      <c r="G28" s="4">
        <v>24.89</v>
      </c>
      <c r="H28" s="6">
        <v>9.36</v>
      </c>
      <c r="I28" s="44">
        <f t="shared" si="21"/>
        <v>8.7792012057272037E-2</v>
      </c>
      <c r="J28" s="61">
        <v>1447</v>
      </c>
      <c r="K28" s="61">
        <v>848</v>
      </c>
      <c r="L28" s="4">
        <f t="shared" si="22"/>
        <v>154.59401709401709</v>
      </c>
      <c r="M28" s="4">
        <f t="shared" si="23"/>
        <v>90.598290598290603</v>
      </c>
      <c r="N28" s="3"/>
      <c r="O28" s="63"/>
      <c r="P28" s="8" t="s">
        <v>76</v>
      </c>
      <c r="Q28" s="51">
        <f t="shared" ref="Q28:R28" si="24">Q26/Q23</f>
        <v>6.4143977849561606E-2</v>
      </c>
      <c r="R28" s="51">
        <f t="shared" si="24"/>
        <v>4.5094152626362738E-2</v>
      </c>
      <c r="S28" s="51">
        <f>Q28-R28</f>
        <v>1.9049825223198869E-2</v>
      </c>
      <c r="U28" s="8" t="s">
        <v>76</v>
      </c>
      <c r="V28" s="51">
        <f t="shared" ref="V28:W28" si="25">V26/V23</f>
        <v>6.9463548830811558E-2</v>
      </c>
      <c r="W28" s="51">
        <f t="shared" si="25"/>
        <v>4.5624532535527298E-2</v>
      </c>
      <c r="X28" s="51">
        <f>V28-W28</f>
        <v>2.383901629528426E-2</v>
      </c>
      <c r="Z28" s="64"/>
    </row>
    <row r="29" spans="1:31" ht="15.75" customHeight="1" x14ac:dyDescent="0.3">
      <c r="A29" s="9"/>
      <c r="B29" s="3" t="s">
        <v>105</v>
      </c>
      <c r="C29" s="6">
        <v>19.100000000000001</v>
      </c>
      <c r="D29" s="45" t="s">
        <v>106</v>
      </c>
      <c r="E29" s="65">
        <v>2359</v>
      </c>
      <c r="F29" s="4">
        <v>292</v>
      </c>
      <c r="G29" s="7">
        <v>25</v>
      </c>
      <c r="H29" s="6">
        <v>11.7</v>
      </c>
      <c r="I29" s="44">
        <f t="shared" si="21"/>
        <v>0.12378126324713862</v>
      </c>
      <c r="J29" s="61">
        <v>928</v>
      </c>
      <c r="K29" s="61">
        <v>570</v>
      </c>
      <c r="L29" s="4">
        <f t="shared" si="22"/>
        <v>79.316239316239319</v>
      </c>
      <c r="M29" s="4">
        <f t="shared" si="23"/>
        <v>48.717948717948723</v>
      </c>
      <c r="N29" s="3"/>
      <c r="O29" s="58"/>
      <c r="P29" s="8" t="s">
        <v>38</v>
      </c>
      <c r="Q29" s="6">
        <f t="shared" ref="Q29:R29" si="26">(Q23-Q24+Q25)/Q25</f>
        <v>12.642857142857142</v>
      </c>
      <c r="R29" s="6">
        <f t="shared" si="26"/>
        <v>8.3333333333333339</v>
      </c>
      <c r="S29" s="44">
        <f>(Q29/R29)-1</f>
        <v>0.5171428571428569</v>
      </c>
      <c r="U29" s="8" t="s">
        <v>38</v>
      </c>
      <c r="V29" s="6">
        <f t="shared" ref="V29:W29" si="27">(V23-V24+V25)/V25</f>
        <v>14.111111111111111</v>
      </c>
      <c r="W29" s="6">
        <f t="shared" si="27"/>
        <v>7.7272727272727275</v>
      </c>
      <c r="X29" s="44">
        <f>(V29/W29)-1</f>
        <v>0.82614379084967315</v>
      </c>
      <c r="Z29" s="66"/>
      <c r="AA29" s="49"/>
      <c r="AB29" s="49"/>
      <c r="AC29" s="49"/>
      <c r="AD29" s="49"/>
      <c r="AE29" s="49"/>
    </row>
    <row r="30" spans="1:31" ht="15.75" customHeight="1" x14ac:dyDescent="0.3">
      <c r="A30" s="9"/>
      <c r="B30" s="3"/>
      <c r="C30" s="7">
        <v>17.899999999999999</v>
      </c>
      <c r="D30" s="45" t="s">
        <v>107</v>
      </c>
      <c r="E30" s="7">
        <v>2411</v>
      </c>
      <c r="F30" s="4">
        <v>226</v>
      </c>
      <c r="G30" s="7">
        <v>25</v>
      </c>
      <c r="H30" s="7">
        <v>9.1</v>
      </c>
      <c r="I30" s="44">
        <f t="shared" si="21"/>
        <v>9.3737038573206144E-2</v>
      </c>
      <c r="J30" s="61">
        <v>830</v>
      </c>
      <c r="K30" s="61">
        <v>383</v>
      </c>
      <c r="L30" s="4">
        <f t="shared" si="22"/>
        <v>91.208791208791212</v>
      </c>
      <c r="M30" s="4">
        <f t="shared" si="23"/>
        <v>42.087912087912088</v>
      </c>
      <c r="N30" s="3"/>
      <c r="O30" s="34"/>
      <c r="Q30" s="3"/>
      <c r="R30" s="3"/>
      <c r="S30" s="3"/>
      <c r="X30" s="49"/>
      <c r="Z30" s="66"/>
      <c r="AA30" s="49"/>
      <c r="AB30" s="49"/>
      <c r="AC30" s="49"/>
      <c r="AD30" s="49"/>
      <c r="AE30" s="49"/>
    </row>
    <row r="31" spans="1:31" ht="15.75" customHeight="1" x14ac:dyDescent="0.3">
      <c r="A31" s="9"/>
      <c r="B31" s="3"/>
      <c r="C31" s="7">
        <v>18.399999999999999</v>
      </c>
      <c r="D31" s="45" t="s">
        <v>108</v>
      </c>
      <c r="E31" s="7">
        <v>2292</v>
      </c>
      <c r="F31" s="4">
        <v>175</v>
      </c>
      <c r="G31" s="7">
        <v>12</v>
      </c>
      <c r="H31" s="7">
        <v>14.2</v>
      </c>
      <c r="I31" s="44">
        <v>7.5999999999999998E-2</v>
      </c>
      <c r="J31" s="7">
        <v>874</v>
      </c>
      <c r="K31" s="7">
        <v>635</v>
      </c>
      <c r="L31" s="4">
        <f t="shared" si="22"/>
        <v>61.549295774647888</v>
      </c>
      <c r="M31" s="4">
        <f t="shared" si="23"/>
        <v>44.718309859154935</v>
      </c>
      <c r="N31" s="3"/>
      <c r="P31" s="1" t="s">
        <v>109</v>
      </c>
      <c r="Q31" s="1" t="s">
        <v>88</v>
      </c>
      <c r="R31" s="1" t="s">
        <v>89</v>
      </c>
      <c r="S31" s="1" t="s">
        <v>110</v>
      </c>
      <c r="T31" s="1" t="s">
        <v>26</v>
      </c>
      <c r="X31" s="49"/>
      <c r="Z31" s="66"/>
      <c r="AA31" s="49"/>
      <c r="AB31" s="49"/>
      <c r="AC31" s="49"/>
      <c r="AD31" s="49"/>
      <c r="AE31" s="49"/>
    </row>
    <row r="32" spans="1:31" ht="15.75" customHeight="1" x14ac:dyDescent="0.3">
      <c r="A32" s="9"/>
      <c r="B32" s="3"/>
      <c r="C32" s="7">
        <v>15.7</v>
      </c>
      <c r="D32" s="45" t="s">
        <v>111</v>
      </c>
      <c r="E32" s="7">
        <v>1949</v>
      </c>
      <c r="F32" s="4">
        <v>161</v>
      </c>
      <c r="G32" s="7">
        <v>12</v>
      </c>
      <c r="H32" s="7">
        <v>13.4</v>
      </c>
      <c r="I32" s="44">
        <v>8.3000000000000004E-2</v>
      </c>
      <c r="J32" s="7">
        <v>724</v>
      </c>
      <c r="K32" s="7">
        <v>450</v>
      </c>
      <c r="L32" s="4">
        <f t="shared" si="22"/>
        <v>54.029850746268657</v>
      </c>
      <c r="M32" s="4">
        <f t="shared" si="23"/>
        <v>33.582089552238806</v>
      </c>
      <c r="N32" s="3"/>
      <c r="O32" s="58"/>
      <c r="P32" s="8" t="s">
        <v>112</v>
      </c>
      <c r="Q32" s="4">
        <v>863</v>
      </c>
      <c r="R32" s="4">
        <v>896</v>
      </c>
      <c r="S32" s="44">
        <f t="shared" ref="S32:S38" si="28">Q32/$Q$40</f>
        <v>0.43063872255489022</v>
      </c>
      <c r="T32" s="44">
        <f t="shared" ref="T32:T38" si="29">(Q32/R32)-1</f>
        <v>-3.6830357142857095E-2</v>
      </c>
      <c r="U32" s="67"/>
      <c r="V32" s="59"/>
      <c r="W32" s="68"/>
      <c r="X32" s="49"/>
      <c r="Z32" s="66"/>
      <c r="AA32" s="49"/>
      <c r="AB32" s="49"/>
      <c r="AC32" s="49"/>
      <c r="AD32" s="49"/>
      <c r="AE32" s="49"/>
    </row>
    <row r="33" spans="1:31" ht="15.75" customHeight="1" x14ac:dyDescent="0.3">
      <c r="A33" s="9"/>
      <c r="B33" s="3" t="s">
        <v>105</v>
      </c>
      <c r="C33" s="7">
        <v>13.5</v>
      </c>
      <c r="D33" s="45" t="s">
        <v>113</v>
      </c>
      <c r="E33" s="7">
        <v>1652</v>
      </c>
      <c r="F33" s="4">
        <v>120</v>
      </c>
      <c r="G33" s="7">
        <v>12</v>
      </c>
      <c r="H33" s="7">
        <v>10</v>
      </c>
      <c r="I33" s="44">
        <v>7.2999999999999995E-2</v>
      </c>
      <c r="J33" s="65">
        <v>526</v>
      </c>
      <c r="K33" s="7">
        <v>360</v>
      </c>
      <c r="L33" s="4">
        <f t="shared" si="22"/>
        <v>52.6</v>
      </c>
      <c r="M33" s="4">
        <f t="shared" si="23"/>
        <v>36</v>
      </c>
      <c r="N33" s="3"/>
      <c r="O33" s="34"/>
      <c r="P33" s="8" t="s">
        <v>114</v>
      </c>
      <c r="Q33" s="4">
        <v>669</v>
      </c>
      <c r="R33" s="4">
        <v>574</v>
      </c>
      <c r="S33" s="44">
        <f t="shared" si="28"/>
        <v>0.33383233532934131</v>
      </c>
      <c r="T33" s="44">
        <f t="shared" si="29"/>
        <v>0.16550522648083632</v>
      </c>
      <c r="U33" s="54"/>
      <c r="W33" s="66"/>
      <c r="X33" s="49"/>
      <c r="Z33" s="66"/>
      <c r="AA33" s="49"/>
      <c r="AB33" s="49"/>
      <c r="AC33" s="49"/>
      <c r="AD33" s="49"/>
      <c r="AE33" s="49"/>
    </row>
    <row r="34" spans="1:31" ht="15.75" customHeight="1" x14ac:dyDescent="0.3">
      <c r="A34" s="9"/>
      <c r="B34" s="3"/>
      <c r="C34" s="7">
        <v>13.6</v>
      </c>
      <c r="D34" s="45" t="s">
        <v>115</v>
      </c>
      <c r="E34" s="7">
        <v>1712</v>
      </c>
      <c r="F34" s="4">
        <v>120</v>
      </c>
      <c r="G34" s="7">
        <v>12</v>
      </c>
      <c r="H34" s="7">
        <v>10</v>
      </c>
      <c r="I34" s="44">
        <v>7.0000000000000007E-2</v>
      </c>
      <c r="J34" s="7">
        <v>600</v>
      </c>
      <c r="K34" s="7">
        <v>325</v>
      </c>
      <c r="L34" s="4">
        <f t="shared" si="22"/>
        <v>60</v>
      </c>
      <c r="M34" s="4">
        <f t="shared" si="23"/>
        <v>32.5</v>
      </c>
      <c r="N34" s="3"/>
      <c r="P34" s="8" t="s">
        <v>116</v>
      </c>
      <c r="Q34" s="4">
        <v>289</v>
      </c>
      <c r="R34" s="4">
        <v>258</v>
      </c>
      <c r="S34" s="44">
        <f t="shared" si="28"/>
        <v>0.14421157684630739</v>
      </c>
      <c r="T34" s="44">
        <f t="shared" si="29"/>
        <v>0.12015503875968991</v>
      </c>
      <c r="U34" s="54"/>
      <c r="V34" s="64"/>
      <c r="W34" s="64"/>
      <c r="X34" s="49"/>
      <c r="Z34" s="66"/>
      <c r="AA34" s="49"/>
      <c r="AB34" s="49"/>
      <c r="AC34" s="49"/>
      <c r="AD34" s="49"/>
      <c r="AE34" s="49"/>
    </row>
    <row r="35" spans="1:31" ht="15.75" customHeight="1" x14ac:dyDescent="0.3">
      <c r="A35" s="9"/>
      <c r="B35" s="3" t="s">
        <v>117</v>
      </c>
      <c r="C35" s="7">
        <v>12.3</v>
      </c>
      <c r="D35" s="45" t="s">
        <v>118</v>
      </c>
      <c r="E35" s="7">
        <v>1481</v>
      </c>
      <c r="F35" s="4">
        <v>103</v>
      </c>
      <c r="G35" s="7">
        <v>6</v>
      </c>
      <c r="H35" s="7">
        <v>17.2</v>
      </c>
      <c r="I35" s="44">
        <v>7.0000000000000007E-2</v>
      </c>
      <c r="J35" s="7">
        <v>760</v>
      </c>
      <c r="K35" s="7">
        <v>285</v>
      </c>
      <c r="L35" s="4">
        <f t="shared" si="22"/>
        <v>44.186046511627907</v>
      </c>
      <c r="M35" s="4">
        <f t="shared" si="23"/>
        <v>16.569767441860467</v>
      </c>
      <c r="N35" s="3"/>
      <c r="O35" s="58"/>
      <c r="P35" s="8" t="s">
        <v>119</v>
      </c>
      <c r="Q35" s="4">
        <v>109</v>
      </c>
      <c r="R35" s="4">
        <v>92</v>
      </c>
      <c r="S35" s="44">
        <f t="shared" si="28"/>
        <v>5.439121756487026E-2</v>
      </c>
      <c r="T35" s="44">
        <f t="shared" si="29"/>
        <v>0.18478260869565211</v>
      </c>
      <c r="U35" s="54"/>
      <c r="V35" s="66"/>
      <c r="W35" s="66"/>
      <c r="X35" s="49"/>
      <c r="Z35" s="49"/>
      <c r="AA35" s="49"/>
      <c r="AB35" s="49"/>
      <c r="AC35" s="49"/>
      <c r="AD35" s="49"/>
      <c r="AE35" s="49"/>
    </row>
    <row r="36" spans="1:31" ht="15.75" customHeight="1" x14ac:dyDescent="0.3">
      <c r="A36" s="9"/>
      <c r="B36" s="3"/>
      <c r="C36" s="7">
        <v>10.8</v>
      </c>
      <c r="D36" s="45" t="s">
        <v>120</v>
      </c>
      <c r="E36" s="7">
        <v>1206</v>
      </c>
      <c r="F36" s="4">
        <v>66</v>
      </c>
      <c r="G36" s="7">
        <v>6</v>
      </c>
      <c r="H36" s="7">
        <v>10.9</v>
      </c>
      <c r="I36" s="44">
        <v>5.5E-2</v>
      </c>
      <c r="J36" s="7">
        <v>311</v>
      </c>
      <c r="K36" s="7">
        <v>100</v>
      </c>
      <c r="L36" s="4">
        <f t="shared" si="22"/>
        <v>28.532110091743117</v>
      </c>
      <c r="M36" s="4">
        <f t="shared" si="23"/>
        <v>9.1743119266055047</v>
      </c>
      <c r="N36" s="3"/>
      <c r="O36" s="34"/>
      <c r="P36" s="8" t="s">
        <v>121</v>
      </c>
      <c r="Q36" s="4">
        <v>58</v>
      </c>
      <c r="R36" s="4">
        <v>55</v>
      </c>
      <c r="S36" s="44">
        <f t="shared" si="28"/>
        <v>2.8942115768463075E-2</v>
      </c>
      <c r="T36" s="44">
        <f t="shared" si="29"/>
        <v>5.4545454545454453E-2</v>
      </c>
      <c r="U36" s="54"/>
      <c r="V36" s="66"/>
      <c r="W36" s="66"/>
      <c r="X36" s="49"/>
      <c r="Z36" s="66"/>
      <c r="AA36" s="49"/>
      <c r="AB36" s="49"/>
      <c r="AC36" s="49"/>
      <c r="AD36" s="49"/>
      <c r="AE36" s="49"/>
    </row>
    <row r="37" spans="1:31" ht="15.75" customHeight="1" x14ac:dyDescent="0.3">
      <c r="A37" s="9"/>
      <c r="B37" s="3"/>
      <c r="C37" s="7">
        <v>10</v>
      </c>
      <c r="D37" s="45" t="s">
        <v>122</v>
      </c>
      <c r="E37" s="7">
        <v>1005</v>
      </c>
      <c r="F37" s="4">
        <v>45</v>
      </c>
      <c r="G37" s="7">
        <v>6</v>
      </c>
      <c r="H37" s="7">
        <v>37.299999999999997</v>
      </c>
      <c r="I37" s="44">
        <v>4.4999999999999998E-2</v>
      </c>
      <c r="J37" s="7">
        <v>917</v>
      </c>
      <c r="K37" s="7">
        <v>303</v>
      </c>
      <c r="L37" s="4">
        <f t="shared" si="22"/>
        <v>24.584450402144775</v>
      </c>
      <c r="M37" s="4">
        <f t="shared" si="23"/>
        <v>8.1233243967828432</v>
      </c>
      <c r="N37" s="3"/>
      <c r="P37" s="8" t="s">
        <v>99</v>
      </c>
      <c r="Q37" s="7">
        <v>14</v>
      </c>
      <c r="R37" s="7">
        <v>15</v>
      </c>
      <c r="S37" s="44">
        <f t="shared" si="28"/>
        <v>6.9860279441117763E-3</v>
      </c>
      <c r="T37" s="44">
        <f t="shared" si="29"/>
        <v>-6.6666666666666652E-2</v>
      </c>
      <c r="U37" s="54"/>
      <c r="V37" s="66"/>
      <c r="W37" s="66"/>
      <c r="X37" s="49"/>
    </row>
    <row r="38" spans="1:31" ht="15.75" customHeight="1" x14ac:dyDescent="0.3">
      <c r="A38" s="9"/>
      <c r="B38" s="3"/>
      <c r="C38" s="7">
        <v>9.3000000000000007</v>
      </c>
      <c r="D38" s="45" t="s">
        <v>123</v>
      </c>
      <c r="E38" s="7">
        <v>860</v>
      </c>
      <c r="F38" s="4">
        <v>40</v>
      </c>
      <c r="G38" s="7">
        <v>6</v>
      </c>
      <c r="H38" s="7">
        <v>33.299999999999997</v>
      </c>
      <c r="I38" s="44">
        <v>4.7E-2</v>
      </c>
      <c r="J38" s="65">
        <v>474</v>
      </c>
      <c r="K38" s="7">
        <v>235</v>
      </c>
      <c r="L38" s="4">
        <f t="shared" si="22"/>
        <v>14.234234234234236</v>
      </c>
      <c r="M38" s="4">
        <f t="shared" si="23"/>
        <v>7.0570570570570581</v>
      </c>
      <c r="N38" s="3"/>
      <c r="O38" s="58"/>
      <c r="P38" s="8" t="s">
        <v>124</v>
      </c>
      <c r="Q38" s="4">
        <v>2</v>
      </c>
      <c r="R38" s="4">
        <v>17</v>
      </c>
      <c r="S38" s="44">
        <f t="shared" si="28"/>
        <v>9.9800399201596798E-4</v>
      </c>
      <c r="T38" s="44">
        <f t="shared" si="29"/>
        <v>-0.88235294117647056</v>
      </c>
      <c r="U38" s="54"/>
      <c r="V38" s="66"/>
      <c r="W38" s="66"/>
      <c r="Z38" s="3"/>
      <c r="AA38" s="3"/>
      <c r="AB38" s="3"/>
      <c r="AC38" s="3"/>
      <c r="AD38" s="3"/>
      <c r="AE38" s="3"/>
    </row>
    <row r="39" spans="1:31" ht="15.75" customHeight="1" x14ac:dyDescent="0.3">
      <c r="A39" s="9"/>
      <c r="B39" s="3"/>
      <c r="C39" s="7">
        <v>8.6999999999999993</v>
      </c>
      <c r="D39" s="45" t="s">
        <v>125</v>
      </c>
      <c r="E39" s="7">
        <v>686</v>
      </c>
      <c r="F39" s="69">
        <v>27</v>
      </c>
      <c r="G39" s="7">
        <v>6</v>
      </c>
      <c r="H39" s="7">
        <v>22.3</v>
      </c>
      <c r="I39" s="44">
        <v>3.9E-2</v>
      </c>
      <c r="J39" s="7">
        <v>514</v>
      </c>
      <c r="K39" s="7">
        <v>222</v>
      </c>
      <c r="L39" s="4">
        <f t="shared" si="22"/>
        <v>23.04932735426009</v>
      </c>
      <c r="M39" s="4">
        <f t="shared" si="23"/>
        <v>9.9551569506726452</v>
      </c>
      <c r="N39" s="3"/>
      <c r="O39" s="34"/>
      <c r="P39" s="66"/>
      <c r="Q39" s="54"/>
      <c r="R39" s="54"/>
      <c r="S39" s="66"/>
      <c r="T39" s="66"/>
      <c r="U39" s="54"/>
      <c r="V39" s="66"/>
      <c r="W39" s="66"/>
      <c r="X39" s="3"/>
      <c r="Z39" s="3"/>
      <c r="AA39" s="3"/>
      <c r="AB39" s="3"/>
      <c r="AC39" s="3"/>
      <c r="AD39" s="3"/>
      <c r="AE39" s="3"/>
    </row>
    <row r="40" spans="1:31" ht="15.75" customHeight="1" x14ac:dyDescent="0.3">
      <c r="A40" s="9"/>
      <c r="B40" s="3"/>
      <c r="C40" s="7">
        <v>8.4</v>
      </c>
      <c r="D40" s="45" t="s">
        <v>126</v>
      </c>
      <c r="E40" s="7">
        <v>554</v>
      </c>
      <c r="F40" s="4">
        <v>38</v>
      </c>
      <c r="G40" s="7">
        <v>6</v>
      </c>
      <c r="H40" s="7">
        <v>31.4</v>
      </c>
      <c r="I40" s="44">
        <v>6.9000000000000006E-2</v>
      </c>
      <c r="J40" s="7">
        <v>250</v>
      </c>
      <c r="K40" s="7">
        <v>26</v>
      </c>
      <c r="L40" s="4">
        <f t="shared" si="22"/>
        <v>7.9617834394904463</v>
      </c>
      <c r="M40" s="4">
        <f t="shared" si="23"/>
        <v>0.82802547770700641</v>
      </c>
      <c r="N40" s="3"/>
      <c r="O40" s="3"/>
      <c r="P40" s="8" t="s">
        <v>127</v>
      </c>
      <c r="Q40" s="4">
        <f t="shared" ref="Q40:R40" si="30">SUM(Q32:Q38)</f>
        <v>2004</v>
      </c>
      <c r="R40" s="4">
        <f t="shared" si="30"/>
        <v>1907</v>
      </c>
      <c r="S40" s="44">
        <f>Q40/$Q$40</f>
        <v>1</v>
      </c>
      <c r="T40" s="44">
        <f>(Q40/R40)-1</f>
        <v>5.0865233350812833E-2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5.75" customHeight="1" x14ac:dyDescent="0.3">
      <c r="A41" s="9"/>
      <c r="B41" s="3"/>
      <c r="C41" s="7">
        <v>6.8</v>
      </c>
      <c r="D41" s="45" t="s">
        <v>128</v>
      </c>
      <c r="E41" s="7">
        <v>408</v>
      </c>
      <c r="F41" s="4">
        <v>14</v>
      </c>
      <c r="G41" s="7">
        <v>6</v>
      </c>
      <c r="H41" s="7">
        <v>11.9</v>
      </c>
      <c r="I41" s="44">
        <v>3.4000000000000002E-2</v>
      </c>
      <c r="J41" s="65">
        <v>60</v>
      </c>
      <c r="K41" s="65">
        <v>24</v>
      </c>
      <c r="L41" s="4">
        <f t="shared" si="22"/>
        <v>5.0420168067226889</v>
      </c>
      <c r="M41" s="4">
        <f t="shared" si="23"/>
        <v>2.0168067226890756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5.75" customHeight="1" x14ac:dyDescent="0.3">
      <c r="A42" s="9"/>
      <c r="B42" s="3"/>
      <c r="C42" s="7">
        <v>6.4</v>
      </c>
      <c r="D42" s="45" t="s">
        <v>129</v>
      </c>
      <c r="E42" s="7">
        <v>306</v>
      </c>
      <c r="F42" s="7">
        <v>11</v>
      </c>
      <c r="G42" s="7">
        <v>6</v>
      </c>
      <c r="H42" s="7">
        <v>8.8000000000000007</v>
      </c>
      <c r="I42" s="44">
        <v>3.5999999999999997E-2</v>
      </c>
      <c r="J42" s="7">
        <v>89</v>
      </c>
      <c r="K42" s="7">
        <v>30</v>
      </c>
      <c r="L42" s="4">
        <f t="shared" si="22"/>
        <v>10.113636363636363</v>
      </c>
      <c r="M42" s="4">
        <f t="shared" si="23"/>
        <v>3.4090909090909087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5.75" customHeight="1" x14ac:dyDescent="0.3">
      <c r="A43" s="9"/>
      <c r="B43" s="3"/>
      <c r="C43" s="7">
        <v>5.2</v>
      </c>
      <c r="D43" s="45" t="s">
        <v>130</v>
      </c>
      <c r="E43" s="7">
        <v>236</v>
      </c>
      <c r="F43" s="7">
        <v>6</v>
      </c>
      <c r="G43" s="7">
        <v>6</v>
      </c>
      <c r="H43" s="7">
        <v>5.0999999999999996</v>
      </c>
      <c r="I43" s="44">
        <v>2.5000000000000001E-2</v>
      </c>
      <c r="J43" s="65">
        <v>54</v>
      </c>
      <c r="K43" s="7">
        <v>23</v>
      </c>
      <c r="L43" s="4">
        <f t="shared" si="22"/>
        <v>10.588235294117649</v>
      </c>
      <c r="M43" s="4">
        <f t="shared" si="23"/>
        <v>4.5098039215686274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5.75" customHeight="1" x14ac:dyDescent="0.3">
      <c r="A44" s="9"/>
      <c r="B44" s="3"/>
      <c r="C44" s="7">
        <v>5.0999999999999996</v>
      </c>
      <c r="D44" s="45" t="s">
        <v>131</v>
      </c>
      <c r="E44" s="65">
        <v>201</v>
      </c>
      <c r="F44" s="65">
        <v>3.3</v>
      </c>
      <c r="G44" s="7">
        <v>6</v>
      </c>
      <c r="H44" s="7">
        <v>2.7</v>
      </c>
      <c r="I44" s="44">
        <v>1.6E-2</v>
      </c>
      <c r="J44" s="7">
        <v>73</v>
      </c>
      <c r="K44" s="7">
        <v>22</v>
      </c>
      <c r="L44" s="4">
        <f t="shared" si="22"/>
        <v>27.037037037037035</v>
      </c>
      <c r="M44" s="4">
        <f t="shared" si="23"/>
        <v>8.148148148148147</v>
      </c>
      <c r="N44" s="3"/>
      <c r="O44" s="3"/>
      <c r="P44" s="49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5.75" customHeight="1" x14ac:dyDescent="0.3">
      <c r="A45" s="9"/>
      <c r="B45" s="3"/>
      <c r="C45" s="8"/>
      <c r="D45" s="45" t="s">
        <v>132</v>
      </c>
      <c r="E45" s="7">
        <v>216</v>
      </c>
      <c r="F45" s="7">
        <v>3.7</v>
      </c>
      <c r="G45" s="7">
        <v>6</v>
      </c>
      <c r="H45" s="7">
        <v>3.1</v>
      </c>
      <c r="I45" s="44">
        <v>1.7000000000000001E-2</v>
      </c>
      <c r="J45" s="65">
        <v>40</v>
      </c>
      <c r="K45" s="7">
        <v>20</v>
      </c>
      <c r="L45" s="4">
        <f t="shared" si="22"/>
        <v>12.903225806451612</v>
      </c>
      <c r="M45" s="4">
        <f t="shared" si="23"/>
        <v>6.4516129032258061</v>
      </c>
      <c r="N45" s="3"/>
      <c r="O45" s="3"/>
      <c r="P45" s="10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5.75" customHeight="1" x14ac:dyDescent="0.3">
      <c r="A46" s="9"/>
      <c r="B46" s="3"/>
      <c r="C46" s="8"/>
      <c r="D46" s="45" t="s">
        <v>133</v>
      </c>
      <c r="E46" s="7">
        <v>201</v>
      </c>
      <c r="F46" s="7">
        <v>5.4</v>
      </c>
      <c r="G46" s="7">
        <v>6</v>
      </c>
      <c r="H46" s="7">
        <v>4.5</v>
      </c>
      <c r="I46" s="44">
        <v>2.7E-2</v>
      </c>
      <c r="J46" s="7">
        <v>44</v>
      </c>
      <c r="K46" s="7">
        <v>14</v>
      </c>
      <c r="L46" s="4">
        <f t="shared" si="22"/>
        <v>9.7777777777777786</v>
      </c>
      <c r="M46" s="4">
        <f t="shared" si="23"/>
        <v>3.1111111111111112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5.75" customHeight="1" x14ac:dyDescent="0.3">
      <c r="A47" s="9"/>
      <c r="B47" s="3"/>
      <c r="C47" s="8"/>
      <c r="D47" s="45" t="s">
        <v>134</v>
      </c>
      <c r="E47" s="7">
        <v>151</v>
      </c>
      <c r="F47" s="7">
        <v>3.5</v>
      </c>
      <c r="G47" s="7">
        <v>6</v>
      </c>
      <c r="H47" s="7">
        <v>2.9</v>
      </c>
      <c r="I47" s="44">
        <v>2.3E-2</v>
      </c>
      <c r="J47" s="7">
        <v>25</v>
      </c>
      <c r="K47" s="7">
        <v>13</v>
      </c>
      <c r="L47" s="4">
        <f t="shared" si="22"/>
        <v>8.6206896551724146</v>
      </c>
      <c r="M47" s="4">
        <f t="shared" si="23"/>
        <v>4.4827586206896557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5.75" customHeight="1" x14ac:dyDescent="0.3">
      <c r="B48" s="3"/>
      <c r="C48" s="8"/>
      <c r="D48" s="45" t="s">
        <v>135</v>
      </c>
      <c r="E48" s="7">
        <v>152</v>
      </c>
      <c r="F48" s="7">
        <v>4.0999999999999996</v>
      </c>
      <c r="G48" s="7">
        <v>6</v>
      </c>
      <c r="H48" s="6">
        <v>3.4</v>
      </c>
      <c r="I48" s="44">
        <v>0.03</v>
      </c>
      <c r="J48" s="7">
        <v>25</v>
      </c>
      <c r="K48" s="7">
        <v>13</v>
      </c>
      <c r="L48" s="4">
        <v>7</v>
      </c>
      <c r="M48" s="4">
        <v>4</v>
      </c>
      <c r="N48" s="3"/>
    </row>
    <row r="49" spans="2:14" ht="15.75" customHeight="1" x14ac:dyDescent="0.3">
      <c r="B49" s="3"/>
      <c r="C49" s="8"/>
      <c r="D49" s="45" t="s">
        <v>136</v>
      </c>
      <c r="E49" s="7">
        <v>141</v>
      </c>
      <c r="F49" s="7">
        <v>7</v>
      </c>
      <c r="G49" s="7">
        <v>6</v>
      </c>
      <c r="H49" s="6">
        <v>5.8</v>
      </c>
      <c r="I49" s="44">
        <v>0.05</v>
      </c>
      <c r="J49" s="7">
        <v>50</v>
      </c>
      <c r="K49" s="7">
        <v>14</v>
      </c>
      <c r="L49" s="4">
        <v>9</v>
      </c>
      <c r="M49" s="4">
        <v>2</v>
      </c>
      <c r="N49" s="3"/>
    </row>
    <row r="50" spans="2:14" ht="15.75" customHeight="1" x14ac:dyDescent="0.3">
      <c r="C50" s="8"/>
      <c r="D50" s="45" t="s">
        <v>137</v>
      </c>
      <c r="E50" s="7">
        <v>125</v>
      </c>
      <c r="F50" s="7">
        <v>8</v>
      </c>
      <c r="G50" s="7">
        <v>6</v>
      </c>
      <c r="H50" s="6">
        <v>6.6</v>
      </c>
      <c r="I50" s="44">
        <v>0.06</v>
      </c>
      <c r="J50" s="7">
        <v>53</v>
      </c>
      <c r="K50" s="7">
        <v>39</v>
      </c>
      <c r="L50" s="4">
        <v>8</v>
      </c>
      <c r="M50" s="4">
        <v>6</v>
      </c>
    </row>
    <row r="51" spans="2:14" ht="15.75" customHeight="1" x14ac:dyDescent="0.3">
      <c r="D51" s="2"/>
    </row>
    <row r="52" spans="2:14" ht="15.75" customHeight="1" x14ac:dyDescent="0.3">
      <c r="D52" s="2"/>
    </row>
    <row r="53" spans="2:14" ht="15.75" customHeight="1" x14ac:dyDescent="0.3">
      <c r="D53" s="2"/>
    </row>
    <row r="54" spans="2:14" ht="15.75" customHeight="1" x14ac:dyDescent="0.3">
      <c r="D54" s="2"/>
    </row>
    <row r="55" spans="2:14" ht="15.75" customHeight="1" x14ac:dyDescent="0.3">
      <c r="D55" s="2"/>
    </row>
    <row r="56" spans="2:14" ht="15.75" customHeight="1" x14ac:dyDescent="0.3">
      <c r="D56" s="2"/>
    </row>
    <row r="57" spans="2:14" ht="15.75" customHeight="1" x14ac:dyDescent="0.3">
      <c r="D57" s="2"/>
    </row>
    <row r="58" spans="2:14" ht="15.75" customHeight="1" x14ac:dyDescent="0.3">
      <c r="D58" s="2"/>
    </row>
    <row r="59" spans="2:14" ht="15.75" customHeight="1" x14ac:dyDescent="0.3">
      <c r="D59" s="2"/>
    </row>
    <row r="60" spans="2:14" ht="15.75" customHeight="1" x14ac:dyDescent="0.3">
      <c r="D60" s="2"/>
    </row>
    <row r="61" spans="2:14" ht="15.75" customHeight="1" x14ac:dyDescent="0.3">
      <c r="D61" s="2"/>
    </row>
    <row r="62" spans="2:14" ht="15.75" customHeight="1" x14ac:dyDescent="0.3">
      <c r="D62" s="2"/>
    </row>
    <row r="63" spans="2:14" ht="15.75" customHeight="1" x14ac:dyDescent="0.3">
      <c r="D63" s="2"/>
    </row>
    <row r="64" spans="2:14" ht="15.75" customHeight="1" x14ac:dyDescent="0.3">
      <c r="D64" s="2"/>
    </row>
    <row r="65" spans="4:4" ht="15.75" customHeight="1" x14ac:dyDescent="0.3">
      <c r="D65" s="2"/>
    </row>
    <row r="66" spans="4:4" ht="15.75" customHeight="1" x14ac:dyDescent="0.3">
      <c r="D66" s="2"/>
    </row>
    <row r="67" spans="4:4" ht="15.75" customHeight="1" x14ac:dyDescent="0.3">
      <c r="D67" s="2"/>
    </row>
    <row r="68" spans="4:4" ht="15.75" customHeight="1" x14ac:dyDescent="0.3">
      <c r="D68" s="2"/>
    </row>
    <row r="69" spans="4:4" ht="15.75" customHeight="1" x14ac:dyDescent="0.3">
      <c r="D69" s="2"/>
    </row>
    <row r="70" spans="4:4" ht="15.75" customHeight="1" x14ac:dyDescent="0.3">
      <c r="D70" s="2"/>
    </row>
    <row r="71" spans="4:4" ht="15.75" customHeight="1" x14ac:dyDescent="0.3">
      <c r="D71" s="2"/>
    </row>
    <row r="72" spans="4:4" ht="15.75" customHeight="1" x14ac:dyDescent="0.3">
      <c r="D72" s="2"/>
    </row>
    <row r="73" spans="4:4" ht="15.75" customHeight="1" x14ac:dyDescent="0.3">
      <c r="D73" s="2"/>
    </row>
    <row r="74" spans="4:4" ht="15.75" customHeight="1" x14ac:dyDescent="0.3">
      <c r="D74" s="2"/>
    </row>
    <row r="75" spans="4:4" ht="15.75" customHeight="1" x14ac:dyDescent="0.3">
      <c r="D75" s="2"/>
    </row>
    <row r="76" spans="4:4" ht="15.75" customHeight="1" x14ac:dyDescent="0.3">
      <c r="D76" s="2"/>
    </row>
    <row r="77" spans="4:4" ht="15.75" customHeight="1" x14ac:dyDescent="0.3">
      <c r="D77" s="2"/>
    </row>
    <row r="78" spans="4:4" ht="15.75" customHeight="1" x14ac:dyDescent="0.3">
      <c r="D78" s="2"/>
    </row>
    <row r="79" spans="4:4" ht="15.75" customHeight="1" x14ac:dyDescent="0.3">
      <c r="D79" s="2"/>
    </row>
    <row r="80" spans="4:4" ht="15.75" customHeight="1" x14ac:dyDescent="0.3">
      <c r="D80" s="2"/>
    </row>
    <row r="81" spans="4:4" ht="15.75" customHeight="1" x14ac:dyDescent="0.3">
      <c r="D81" s="2"/>
    </row>
    <row r="82" spans="4:4" ht="15.75" customHeight="1" x14ac:dyDescent="0.3">
      <c r="D82" s="2"/>
    </row>
    <row r="83" spans="4:4" ht="15.75" customHeight="1" x14ac:dyDescent="0.3">
      <c r="D83" s="2"/>
    </row>
    <row r="84" spans="4:4" ht="15.75" customHeight="1" x14ac:dyDescent="0.3">
      <c r="D84" s="2"/>
    </row>
    <row r="85" spans="4:4" ht="15.75" customHeight="1" x14ac:dyDescent="0.3">
      <c r="D85" s="2"/>
    </row>
    <row r="86" spans="4:4" ht="15.75" customHeight="1" x14ac:dyDescent="0.3">
      <c r="D86" s="2"/>
    </row>
    <row r="87" spans="4:4" ht="15.75" customHeight="1" x14ac:dyDescent="0.3">
      <c r="D87" s="2"/>
    </row>
    <row r="88" spans="4:4" ht="15.75" customHeight="1" x14ac:dyDescent="0.3">
      <c r="D88" s="2"/>
    </row>
    <row r="89" spans="4:4" ht="15.75" customHeight="1" x14ac:dyDescent="0.3">
      <c r="D89" s="2"/>
    </row>
    <row r="90" spans="4:4" ht="15.75" customHeight="1" x14ac:dyDescent="0.3">
      <c r="D90" s="2"/>
    </row>
    <row r="91" spans="4:4" ht="15.75" customHeight="1" x14ac:dyDescent="0.3">
      <c r="D91" s="2"/>
    </row>
    <row r="92" spans="4:4" ht="15.75" customHeight="1" x14ac:dyDescent="0.3">
      <c r="D92" s="2"/>
    </row>
    <row r="93" spans="4:4" ht="15.75" customHeight="1" x14ac:dyDescent="0.3">
      <c r="D93" s="2"/>
    </row>
    <row r="94" spans="4:4" ht="15.75" customHeight="1" x14ac:dyDescent="0.3">
      <c r="D94" s="2"/>
    </row>
    <row r="95" spans="4:4" ht="15.75" customHeight="1" x14ac:dyDescent="0.3">
      <c r="D95" s="2"/>
    </row>
    <row r="96" spans="4:4" ht="15.75" customHeight="1" x14ac:dyDescent="0.3">
      <c r="D96" s="2"/>
    </row>
    <row r="97" spans="4:4" ht="15.75" customHeight="1" x14ac:dyDescent="0.3">
      <c r="D97" s="2"/>
    </row>
    <row r="98" spans="4:4" ht="15.75" customHeight="1" x14ac:dyDescent="0.3">
      <c r="D98" s="2"/>
    </row>
    <row r="99" spans="4:4" ht="15.75" customHeight="1" x14ac:dyDescent="0.3">
      <c r="D99" s="2"/>
    </row>
    <row r="100" spans="4:4" ht="15.75" customHeight="1" x14ac:dyDescent="0.3">
      <c r="D100" s="2"/>
    </row>
    <row r="101" spans="4:4" ht="15.75" customHeight="1" x14ac:dyDescent="0.3">
      <c r="D101" s="2"/>
    </row>
    <row r="102" spans="4:4" ht="15.75" customHeight="1" x14ac:dyDescent="0.3">
      <c r="D102" s="2"/>
    </row>
    <row r="103" spans="4:4" ht="15.75" customHeight="1" x14ac:dyDescent="0.3">
      <c r="D103" s="2"/>
    </row>
    <row r="104" spans="4:4" ht="15.75" customHeight="1" x14ac:dyDescent="0.3">
      <c r="D104" s="2"/>
    </row>
    <row r="105" spans="4:4" ht="15.75" customHeight="1" x14ac:dyDescent="0.3">
      <c r="D105" s="2"/>
    </row>
    <row r="106" spans="4:4" ht="15.75" customHeight="1" x14ac:dyDescent="0.3">
      <c r="D106" s="2"/>
    </row>
    <row r="107" spans="4:4" ht="15.75" customHeight="1" x14ac:dyDescent="0.3">
      <c r="D107" s="2"/>
    </row>
    <row r="108" spans="4:4" ht="15.75" customHeight="1" x14ac:dyDescent="0.3">
      <c r="D108" s="2"/>
    </row>
    <row r="109" spans="4:4" ht="15.75" customHeight="1" x14ac:dyDescent="0.3">
      <c r="D109" s="2"/>
    </row>
    <row r="110" spans="4:4" ht="15.75" customHeight="1" x14ac:dyDescent="0.3">
      <c r="D110" s="2"/>
    </row>
    <row r="111" spans="4:4" ht="15.75" customHeight="1" x14ac:dyDescent="0.3">
      <c r="D111" s="2"/>
    </row>
    <row r="112" spans="4:4" ht="15.75" customHeight="1" x14ac:dyDescent="0.3">
      <c r="D112" s="2"/>
    </row>
    <row r="113" spans="4:4" ht="15.75" customHeight="1" x14ac:dyDescent="0.3">
      <c r="D113" s="2"/>
    </row>
    <row r="114" spans="4:4" ht="15.75" customHeight="1" x14ac:dyDescent="0.3">
      <c r="D114" s="2"/>
    </row>
    <row r="115" spans="4:4" ht="15.75" customHeight="1" x14ac:dyDescent="0.3">
      <c r="D115" s="2"/>
    </row>
    <row r="116" spans="4:4" ht="15.75" customHeight="1" x14ac:dyDescent="0.3">
      <c r="D116" s="2"/>
    </row>
    <row r="117" spans="4:4" ht="15.75" customHeight="1" x14ac:dyDescent="0.3">
      <c r="D117" s="2"/>
    </row>
    <row r="118" spans="4:4" ht="15.75" customHeight="1" x14ac:dyDescent="0.3">
      <c r="D118" s="2"/>
    </row>
    <row r="119" spans="4:4" ht="15.75" customHeight="1" x14ac:dyDescent="0.3">
      <c r="D119" s="2"/>
    </row>
    <row r="120" spans="4:4" ht="15.75" customHeight="1" x14ac:dyDescent="0.3">
      <c r="D120" s="2"/>
    </row>
    <row r="121" spans="4:4" ht="15.75" customHeight="1" x14ac:dyDescent="0.3">
      <c r="D121" s="2"/>
    </row>
    <row r="122" spans="4:4" ht="15.75" customHeight="1" x14ac:dyDescent="0.3">
      <c r="D122" s="2"/>
    </row>
    <row r="123" spans="4:4" ht="15.75" customHeight="1" x14ac:dyDescent="0.3">
      <c r="D123" s="2"/>
    </row>
    <row r="124" spans="4:4" ht="15.75" customHeight="1" x14ac:dyDescent="0.3">
      <c r="D124" s="2"/>
    </row>
    <row r="125" spans="4:4" ht="15.75" customHeight="1" x14ac:dyDescent="0.3">
      <c r="D125" s="2"/>
    </row>
    <row r="126" spans="4:4" ht="15.75" customHeight="1" x14ac:dyDescent="0.3">
      <c r="D126" s="2"/>
    </row>
    <row r="127" spans="4:4" ht="15.75" customHeight="1" x14ac:dyDescent="0.3">
      <c r="D127" s="2"/>
    </row>
    <row r="128" spans="4:4" ht="15.75" customHeight="1" x14ac:dyDescent="0.3">
      <c r="D128" s="2"/>
    </row>
    <row r="129" spans="4:4" ht="15.75" customHeight="1" x14ac:dyDescent="0.3">
      <c r="D129" s="2"/>
    </row>
    <row r="130" spans="4:4" ht="15.75" customHeight="1" x14ac:dyDescent="0.3">
      <c r="D130" s="2"/>
    </row>
    <row r="131" spans="4:4" ht="15.75" customHeight="1" x14ac:dyDescent="0.3">
      <c r="D131" s="2"/>
    </row>
    <row r="132" spans="4:4" ht="15.75" customHeight="1" x14ac:dyDescent="0.3">
      <c r="D132" s="2"/>
    </row>
    <row r="133" spans="4:4" ht="15.75" customHeight="1" x14ac:dyDescent="0.3">
      <c r="D133" s="2"/>
    </row>
    <row r="134" spans="4:4" ht="15.75" customHeight="1" x14ac:dyDescent="0.3">
      <c r="D134" s="2"/>
    </row>
    <row r="135" spans="4:4" ht="15.75" customHeight="1" x14ac:dyDescent="0.3">
      <c r="D135" s="2"/>
    </row>
    <row r="136" spans="4:4" ht="15.75" customHeight="1" x14ac:dyDescent="0.3">
      <c r="D136" s="2"/>
    </row>
    <row r="137" spans="4:4" ht="15.75" customHeight="1" x14ac:dyDescent="0.3">
      <c r="D137" s="2"/>
    </row>
    <row r="138" spans="4:4" ht="15.75" customHeight="1" x14ac:dyDescent="0.3">
      <c r="D138" s="2"/>
    </row>
    <row r="139" spans="4:4" ht="15.75" customHeight="1" x14ac:dyDescent="0.3">
      <c r="D139" s="2"/>
    </row>
    <row r="140" spans="4:4" ht="15.75" customHeight="1" x14ac:dyDescent="0.3">
      <c r="D140" s="2"/>
    </row>
    <row r="141" spans="4:4" ht="15.75" customHeight="1" x14ac:dyDescent="0.3">
      <c r="D141" s="2"/>
    </row>
    <row r="142" spans="4:4" ht="15.75" customHeight="1" x14ac:dyDescent="0.3">
      <c r="D142" s="2"/>
    </row>
    <row r="143" spans="4:4" ht="15.75" customHeight="1" x14ac:dyDescent="0.3">
      <c r="D143" s="2"/>
    </row>
    <row r="144" spans="4:4" ht="15.75" customHeight="1" x14ac:dyDescent="0.3">
      <c r="D144" s="2"/>
    </row>
    <row r="145" spans="4:4" ht="15.75" customHeight="1" x14ac:dyDescent="0.3">
      <c r="D145" s="2"/>
    </row>
    <row r="146" spans="4:4" ht="15.75" customHeight="1" x14ac:dyDescent="0.3">
      <c r="D146" s="2"/>
    </row>
    <row r="147" spans="4:4" ht="15.75" customHeight="1" x14ac:dyDescent="0.3">
      <c r="D147" s="2"/>
    </row>
    <row r="148" spans="4:4" ht="15.75" customHeight="1" x14ac:dyDescent="0.3">
      <c r="D148" s="2"/>
    </row>
    <row r="149" spans="4:4" ht="15.75" customHeight="1" x14ac:dyDescent="0.3">
      <c r="D149" s="2"/>
    </row>
    <row r="150" spans="4:4" ht="15.75" customHeight="1" x14ac:dyDescent="0.3">
      <c r="D150" s="2"/>
    </row>
    <row r="151" spans="4:4" ht="15.75" customHeight="1" x14ac:dyDescent="0.3">
      <c r="D151" s="2"/>
    </row>
    <row r="152" spans="4:4" ht="15.75" customHeight="1" x14ac:dyDescent="0.3">
      <c r="D152" s="2"/>
    </row>
    <row r="153" spans="4:4" ht="15.75" customHeight="1" x14ac:dyDescent="0.3">
      <c r="D153" s="2"/>
    </row>
    <row r="154" spans="4:4" ht="15.75" customHeight="1" x14ac:dyDescent="0.3">
      <c r="D154" s="2"/>
    </row>
    <row r="155" spans="4:4" ht="15.75" customHeight="1" x14ac:dyDescent="0.3">
      <c r="D155" s="2"/>
    </row>
    <row r="156" spans="4:4" ht="15.75" customHeight="1" x14ac:dyDescent="0.3">
      <c r="D156" s="2"/>
    </row>
    <row r="157" spans="4:4" ht="15.75" customHeight="1" x14ac:dyDescent="0.3">
      <c r="D157" s="2"/>
    </row>
    <row r="158" spans="4:4" ht="15.75" customHeight="1" x14ac:dyDescent="0.3">
      <c r="D158" s="2"/>
    </row>
    <row r="159" spans="4:4" ht="15.75" customHeight="1" x14ac:dyDescent="0.3">
      <c r="D159" s="2"/>
    </row>
    <row r="160" spans="4:4" ht="15.75" customHeight="1" x14ac:dyDescent="0.3">
      <c r="D160" s="2"/>
    </row>
    <row r="161" spans="4:4" ht="15.75" customHeight="1" x14ac:dyDescent="0.3">
      <c r="D161" s="2"/>
    </row>
    <row r="162" spans="4:4" ht="15.75" customHeight="1" x14ac:dyDescent="0.3">
      <c r="D162" s="2"/>
    </row>
    <row r="163" spans="4:4" ht="15.75" customHeight="1" x14ac:dyDescent="0.3">
      <c r="D163" s="2"/>
    </row>
    <row r="164" spans="4:4" ht="15.75" customHeight="1" x14ac:dyDescent="0.3">
      <c r="D164" s="2"/>
    </row>
    <row r="165" spans="4:4" ht="15.75" customHeight="1" x14ac:dyDescent="0.3">
      <c r="D165" s="2"/>
    </row>
    <row r="166" spans="4:4" ht="15.75" customHeight="1" x14ac:dyDescent="0.3">
      <c r="D166" s="2"/>
    </row>
    <row r="167" spans="4:4" ht="15.75" customHeight="1" x14ac:dyDescent="0.3">
      <c r="D167" s="2"/>
    </row>
    <row r="168" spans="4:4" ht="15.75" customHeight="1" x14ac:dyDescent="0.3">
      <c r="D168" s="2"/>
    </row>
    <row r="169" spans="4:4" ht="15.75" customHeight="1" x14ac:dyDescent="0.3">
      <c r="D169" s="2"/>
    </row>
    <row r="170" spans="4:4" ht="15.75" customHeight="1" x14ac:dyDescent="0.3">
      <c r="D170" s="2"/>
    </row>
    <row r="171" spans="4:4" ht="15.75" customHeight="1" x14ac:dyDescent="0.3">
      <c r="D171" s="2"/>
    </row>
    <row r="172" spans="4:4" ht="15.75" customHeight="1" x14ac:dyDescent="0.3">
      <c r="D172" s="2"/>
    </row>
    <row r="173" spans="4:4" ht="15.75" customHeight="1" x14ac:dyDescent="0.3">
      <c r="D173" s="2"/>
    </row>
    <row r="174" spans="4:4" ht="15.75" customHeight="1" x14ac:dyDescent="0.3">
      <c r="D174" s="2"/>
    </row>
    <row r="175" spans="4:4" ht="15.75" customHeight="1" x14ac:dyDescent="0.3">
      <c r="D175" s="2"/>
    </row>
    <row r="176" spans="4:4" ht="15.75" customHeight="1" x14ac:dyDescent="0.3">
      <c r="D176" s="2"/>
    </row>
    <row r="177" spans="4:4" ht="15.75" customHeight="1" x14ac:dyDescent="0.3">
      <c r="D177" s="2"/>
    </row>
    <row r="178" spans="4:4" ht="15.75" customHeight="1" x14ac:dyDescent="0.3">
      <c r="D178" s="2"/>
    </row>
    <row r="179" spans="4:4" ht="15.75" customHeight="1" x14ac:dyDescent="0.3">
      <c r="D179" s="2"/>
    </row>
    <row r="180" spans="4:4" ht="15.75" customHeight="1" x14ac:dyDescent="0.3">
      <c r="D180" s="2"/>
    </row>
    <row r="181" spans="4:4" ht="15.75" customHeight="1" x14ac:dyDescent="0.3">
      <c r="D181" s="2"/>
    </row>
    <row r="182" spans="4:4" ht="15.75" customHeight="1" x14ac:dyDescent="0.3">
      <c r="D182" s="2"/>
    </row>
    <row r="183" spans="4:4" ht="15.75" customHeight="1" x14ac:dyDescent="0.3">
      <c r="D183" s="2"/>
    </row>
    <row r="184" spans="4:4" ht="15.75" customHeight="1" x14ac:dyDescent="0.3">
      <c r="D184" s="2"/>
    </row>
    <row r="185" spans="4:4" ht="15.75" customHeight="1" x14ac:dyDescent="0.3">
      <c r="D185" s="2"/>
    </row>
    <row r="186" spans="4:4" ht="15.75" customHeight="1" x14ac:dyDescent="0.3">
      <c r="D186" s="2"/>
    </row>
    <row r="187" spans="4:4" ht="15.75" customHeight="1" x14ac:dyDescent="0.3">
      <c r="D187" s="2"/>
    </row>
    <row r="188" spans="4:4" ht="15.75" customHeight="1" x14ac:dyDescent="0.3">
      <c r="D188" s="2"/>
    </row>
    <row r="189" spans="4:4" ht="15.75" customHeight="1" x14ac:dyDescent="0.3">
      <c r="D189" s="2"/>
    </row>
    <row r="190" spans="4:4" ht="15.75" customHeight="1" x14ac:dyDescent="0.3">
      <c r="D190" s="2"/>
    </row>
    <row r="191" spans="4:4" ht="15.75" customHeight="1" x14ac:dyDescent="0.3">
      <c r="D191" s="2"/>
    </row>
    <row r="192" spans="4:4" ht="15.75" customHeight="1" x14ac:dyDescent="0.3">
      <c r="D192" s="2"/>
    </row>
    <row r="193" spans="4:4" ht="15.75" customHeight="1" x14ac:dyDescent="0.3">
      <c r="D193" s="2"/>
    </row>
    <row r="194" spans="4:4" ht="15.75" customHeight="1" x14ac:dyDescent="0.3">
      <c r="D194" s="2"/>
    </row>
    <row r="195" spans="4:4" ht="15.75" customHeight="1" x14ac:dyDescent="0.3">
      <c r="D195" s="2"/>
    </row>
    <row r="196" spans="4:4" ht="15.75" customHeight="1" x14ac:dyDescent="0.3">
      <c r="D196" s="2"/>
    </row>
    <row r="197" spans="4:4" ht="15.75" customHeight="1" x14ac:dyDescent="0.3">
      <c r="D197" s="2"/>
    </row>
    <row r="198" spans="4:4" ht="15.75" customHeight="1" x14ac:dyDescent="0.3">
      <c r="D198" s="2"/>
    </row>
    <row r="199" spans="4:4" ht="15.75" customHeight="1" x14ac:dyDescent="0.3">
      <c r="D199" s="2"/>
    </row>
    <row r="200" spans="4:4" ht="15.75" customHeight="1" x14ac:dyDescent="0.3">
      <c r="D200" s="2"/>
    </row>
    <row r="201" spans="4:4" ht="15.75" customHeight="1" x14ac:dyDescent="0.3">
      <c r="D201" s="2"/>
    </row>
    <row r="202" spans="4:4" ht="15.75" customHeight="1" x14ac:dyDescent="0.3">
      <c r="D202" s="2"/>
    </row>
    <row r="203" spans="4:4" ht="15.75" customHeight="1" x14ac:dyDescent="0.3">
      <c r="D203" s="2"/>
    </row>
    <row r="204" spans="4:4" ht="15.75" customHeight="1" x14ac:dyDescent="0.3">
      <c r="D204" s="2"/>
    </row>
    <row r="205" spans="4:4" ht="15.75" customHeight="1" x14ac:dyDescent="0.3">
      <c r="D205" s="2"/>
    </row>
    <row r="206" spans="4:4" ht="15.75" customHeight="1" x14ac:dyDescent="0.3">
      <c r="D206" s="2"/>
    </row>
    <row r="207" spans="4:4" ht="15.75" customHeight="1" x14ac:dyDescent="0.3">
      <c r="D207" s="2"/>
    </row>
    <row r="208" spans="4:4" ht="15.75" customHeight="1" x14ac:dyDescent="0.3">
      <c r="D208" s="2"/>
    </row>
    <row r="209" spans="4:4" ht="15.75" customHeight="1" x14ac:dyDescent="0.3">
      <c r="D209" s="2"/>
    </row>
    <row r="210" spans="4:4" ht="15.75" customHeight="1" x14ac:dyDescent="0.3">
      <c r="D210" s="2"/>
    </row>
    <row r="211" spans="4:4" ht="15.75" customHeight="1" x14ac:dyDescent="0.3">
      <c r="D211" s="2"/>
    </row>
    <row r="212" spans="4:4" ht="15.75" customHeight="1" x14ac:dyDescent="0.3">
      <c r="D212" s="2"/>
    </row>
    <row r="213" spans="4:4" ht="15.75" customHeight="1" x14ac:dyDescent="0.3">
      <c r="D213" s="2"/>
    </row>
    <row r="214" spans="4:4" ht="15.75" customHeight="1" x14ac:dyDescent="0.3">
      <c r="D214" s="2"/>
    </row>
    <row r="215" spans="4:4" ht="15.75" customHeight="1" x14ac:dyDescent="0.3">
      <c r="D215" s="2"/>
    </row>
    <row r="216" spans="4:4" ht="15.75" customHeight="1" x14ac:dyDescent="0.3">
      <c r="D216" s="2"/>
    </row>
    <row r="217" spans="4:4" ht="15.75" customHeight="1" x14ac:dyDescent="0.3">
      <c r="D217" s="2"/>
    </row>
    <row r="218" spans="4:4" ht="15.75" customHeight="1" x14ac:dyDescent="0.3">
      <c r="D218" s="2"/>
    </row>
    <row r="219" spans="4:4" ht="15.75" customHeight="1" x14ac:dyDescent="0.3">
      <c r="D219" s="2"/>
    </row>
    <row r="220" spans="4:4" ht="15.75" customHeight="1" x14ac:dyDescent="0.3">
      <c r="D220" s="2"/>
    </row>
    <row r="221" spans="4:4" ht="15.75" customHeight="1" x14ac:dyDescent="0.3">
      <c r="D221" s="2"/>
    </row>
    <row r="222" spans="4:4" ht="15.75" customHeight="1" x14ac:dyDescent="0.3">
      <c r="D222" s="2"/>
    </row>
    <row r="223" spans="4:4" ht="15.75" customHeight="1" x14ac:dyDescent="0.3">
      <c r="D223" s="2"/>
    </row>
    <row r="224" spans="4:4" ht="15.75" customHeight="1" x14ac:dyDescent="0.3">
      <c r="D224" s="2"/>
    </row>
    <row r="225" spans="4:4" ht="15.75" customHeight="1" x14ac:dyDescent="0.3">
      <c r="D225" s="2"/>
    </row>
    <row r="226" spans="4:4" ht="15.75" customHeight="1" x14ac:dyDescent="0.3">
      <c r="D226" s="2"/>
    </row>
    <row r="227" spans="4:4" ht="15.75" customHeight="1" x14ac:dyDescent="0.3">
      <c r="D227" s="2"/>
    </row>
    <row r="228" spans="4:4" ht="15.75" customHeight="1" x14ac:dyDescent="0.3">
      <c r="D228" s="2"/>
    </row>
    <row r="229" spans="4:4" ht="15.75" customHeight="1" x14ac:dyDescent="0.3">
      <c r="D229" s="2"/>
    </row>
    <row r="230" spans="4:4" ht="15.75" customHeight="1" x14ac:dyDescent="0.3">
      <c r="D230" s="2"/>
    </row>
    <row r="231" spans="4:4" ht="15.75" customHeight="1" x14ac:dyDescent="0.3">
      <c r="D231" s="2"/>
    </row>
    <row r="232" spans="4:4" ht="15.75" customHeight="1" x14ac:dyDescent="0.3">
      <c r="D232" s="2"/>
    </row>
    <row r="233" spans="4:4" ht="15.75" customHeight="1" x14ac:dyDescent="0.3">
      <c r="D233" s="2"/>
    </row>
    <row r="234" spans="4:4" ht="15.75" customHeight="1" x14ac:dyDescent="0.3">
      <c r="D234" s="2"/>
    </row>
    <row r="235" spans="4:4" ht="15.75" customHeight="1" x14ac:dyDescent="0.3">
      <c r="D235" s="2"/>
    </row>
    <row r="236" spans="4:4" ht="15.75" customHeight="1" x14ac:dyDescent="0.3">
      <c r="D236" s="2"/>
    </row>
    <row r="237" spans="4:4" ht="15.75" customHeight="1" x14ac:dyDescent="0.3">
      <c r="D237" s="2"/>
    </row>
    <row r="238" spans="4:4" ht="15.75" customHeight="1" x14ac:dyDescent="0.3">
      <c r="D238" s="2"/>
    </row>
    <row r="239" spans="4:4" ht="15.75" customHeight="1" x14ac:dyDescent="0.3">
      <c r="D239" s="2"/>
    </row>
    <row r="240" spans="4:4" ht="15.75" customHeight="1" x14ac:dyDescent="0.3">
      <c r="D240" s="2"/>
    </row>
    <row r="241" spans="4:4" ht="15.75" customHeight="1" x14ac:dyDescent="0.3">
      <c r="D241" s="2"/>
    </row>
    <row r="242" spans="4:4" ht="15.75" customHeight="1" x14ac:dyDescent="0.3">
      <c r="D242" s="2"/>
    </row>
    <row r="243" spans="4:4" ht="15.75" customHeight="1" x14ac:dyDescent="0.3">
      <c r="D243" s="2"/>
    </row>
    <row r="244" spans="4:4" ht="15.75" customHeight="1" x14ac:dyDescent="0.3">
      <c r="D244" s="2"/>
    </row>
    <row r="245" spans="4:4" ht="15.75" customHeight="1" x14ac:dyDescent="0.3">
      <c r="D245" s="2"/>
    </row>
    <row r="246" spans="4:4" ht="15.75" customHeight="1" x14ac:dyDescent="0.3">
      <c r="D246" s="2"/>
    </row>
    <row r="247" spans="4:4" ht="15.75" customHeight="1" x14ac:dyDescent="0.3">
      <c r="D247" s="2"/>
    </row>
    <row r="248" spans="4:4" ht="15.75" customHeight="1" x14ac:dyDescent="0.3">
      <c r="D248" s="2"/>
    </row>
    <row r="249" spans="4:4" ht="15.75" customHeight="1" x14ac:dyDescent="0.3">
      <c r="D249" s="2"/>
    </row>
    <row r="250" spans="4:4" ht="15.75" customHeight="1" x14ac:dyDescent="0.3">
      <c r="D250" s="2"/>
    </row>
    <row r="251" spans="4:4" ht="15.75" customHeight="1" x14ac:dyDescent="0.3">
      <c r="D251" s="2"/>
    </row>
    <row r="252" spans="4:4" ht="15.75" customHeight="1" x14ac:dyDescent="0.3">
      <c r="D252" s="2"/>
    </row>
    <row r="253" spans="4:4" ht="15.75" customHeight="1" x14ac:dyDescent="0.3">
      <c r="D253" s="2"/>
    </row>
    <row r="254" spans="4:4" ht="15.75" customHeight="1" x14ac:dyDescent="0.3">
      <c r="D254" s="2"/>
    </row>
    <row r="255" spans="4:4" ht="15.75" customHeight="1" x14ac:dyDescent="0.3">
      <c r="D255" s="2"/>
    </row>
    <row r="256" spans="4:4" ht="15.75" customHeight="1" x14ac:dyDescent="0.3">
      <c r="D256" s="2"/>
    </row>
    <row r="257" spans="4:4" ht="15.75" customHeight="1" x14ac:dyDescent="0.3">
      <c r="D257" s="2"/>
    </row>
    <row r="258" spans="4:4" ht="15.75" customHeight="1" x14ac:dyDescent="0.3">
      <c r="D258" s="2"/>
    </row>
    <row r="259" spans="4:4" ht="15.75" customHeight="1" x14ac:dyDescent="0.3">
      <c r="D259" s="2"/>
    </row>
    <row r="260" spans="4:4" ht="15.75" customHeight="1" x14ac:dyDescent="0.3">
      <c r="D260" s="2"/>
    </row>
    <row r="261" spans="4:4" ht="15.75" customHeight="1" x14ac:dyDescent="0.3">
      <c r="D261" s="2"/>
    </row>
    <row r="262" spans="4:4" ht="15.75" customHeight="1" x14ac:dyDescent="0.3">
      <c r="D262" s="2"/>
    </row>
    <row r="263" spans="4:4" ht="15.75" customHeight="1" x14ac:dyDescent="0.3">
      <c r="D263" s="2"/>
    </row>
    <row r="264" spans="4:4" ht="15.75" customHeight="1" x14ac:dyDescent="0.3">
      <c r="D264" s="2"/>
    </row>
    <row r="265" spans="4:4" ht="15.75" customHeight="1" x14ac:dyDescent="0.3">
      <c r="D265" s="2"/>
    </row>
    <row r="266" spans="4:4" ht="15.75" customHeight="1" x14ac:dyDescent="0.3">
      <c r="D266" s="2"/>
    </row>
    <row r="267" spans="4:4" ht="15.75" customHeight="1" x14ac:dyDescent="0.3">
      <c r="D267" s="2"/>
    </row>
    <row r="268" spans="4:4" ht="15.75" customHeight="1" x14ac:dyDescent="0.3">
      <c r="D268" s="2"/>
    </row>
    <row r="269" spans="4:4" ht="15.75" customHeight="1" x14ac:dyDescent="0.3">
      <c r="D269" s="2"/>
    </row>
    <row r="270" spans="4:4" ht="15.75" customHeight="1" x14ac:dyDescent="0.3">
      <c r="D270" s="2"/>
    </row>
    <row r="271" spans="4:4" ht="15.75" customHeight="1" x14ac:dyDescent="0.3">
      <c r="D271" s="2"/>
    </row>
    <row r="272" spans="4:4" ht="15.75" customHeight="1" x14ac:dyDescent="0.3">
      <c r="D272" s="2"/>
    </row>
    <row r="273" spans="4:4" ht="15.75" customHeight="1" x14ac:dyDescent="0.3">
      <c r="D273" s="2"/>
    </row>
    <row r="274" spans="4:4" ht="15.75" customHeight="1" x14ac:dyDescent="0.3">
      <c r="D274" s="2"/>
    </row>
    <row r="275" spans="4:4" ht="15.75" customHeight="1" x14ac:dyDescent="0.3">
      <c r="D275" s="2"/>
    </row>
    <row r="276" spans="4:4" ht="15.75" customHeight="1" x14ac:dyDescent="0.3">
      <c r="D276" s="2"/>
    </row>
    <row r="277" spans="4:4" ht="15.75" customHeight="1" x14ac:dyDescent="0.3">
      <c r="D277" s="2"/>
    </row>
    <row r="278" spans="4:4" ht="15.75" customHeight="1" x14ac:dyDescent="0.3">
      <c r="D278" s="2"/>
    </row>
    <row r="279" spans="4:4" ht="15.75" customHeight="1" x14ac:dyDescent="0.3">
      <c r="D279" s="2"/>
    </row>
    <row r="280" spans="4:4" ht="15.75" customHeight="1" x14ac:dyDescent="0.3">
      <c r="D280" s="2"/>
    </row>
    <row r="281" spans="4:4" ht="15.75" customHeight="1" x14ac:dyDescent="0.3">
      <c r="D281" s="2"/>
    </row>
    <row r="282" spans="4:4" ht="15.75" customHeight="1" x14ac:dyDescent="0.3">
      <c r="D282" s="2"/>
    </row>
    <row r="283" spans="4:4" ht="15.75" customHeight="1" x14ac:dyDescent="0.3">
      <c r="D283" s="2"/>
    </row>
    <row r="284" spans="4:4" ht="15.75" customHeight="1" x14ac:dyDescent="0.3">
      <c r="D284" s="2"/>
    </row>
    <row r="285" spans="4:4" ht="15.75" customHeight="1" x14ac:dyDescent="0.3">
      <c r="D285" s="2"/>
    </row>
    <row r="286" spans="4:4" ht="15.75" customHeight="1" x14ac:dyDescent="0.3">
      <c r="D286" s="2"/>
    </row>
    <row r="287" spans="4:4" ht="15.75" customHeight="1" x14ac:dyDescent="0.3">
      <c r="D287" s="2"/>
    </row>
    <row r="288" spans="4:4" ht="15.75" customHeight="1" x14ac:dyDescent="0.3">
      <c r="D288" s="2"/>
    </row>
    <row r="289" spans="4:4" ht="15.75" customHeight="1" x14ac:dyDescent="0.3">
      <c r="D289" s="2"/>
    </row>
    <row r="290" spans="4:4" ht="15.75" customHeight="1" x14ac:dyDescent="0.3">
      <c r="D290" s="2"/>
    </row>
    <row r="291" spans="4:4" ht="15.75" customHeight="1" x14ac:dyDescent="0.3">
      <c r="D291" s="2"/>
    </row>
    <row r="292" spans="4:4" ht="15.75" customHeight="1" x14ac:dyDescent="0.3">
      <c r="D292" s="2"/>
    </row>
    <row r="293" spans="4:4" ht="15.75" customHeight="1" x14ac:dyDescent="0.3">
      <c r="D293" s="2"/>
    </row>
    <row r="294" spans="4:4" ht="15.75" customHeight="1" x14ac:dyDescent="0.3">
      <c r="D294" s="2"/>
    </row>
    <row r="295" spans="4:4" ht="15.75" customHeight="1" x14ac:dyDescent="0.3">
      <c r="D295" s="2"/>
    </row>
    <row r="296" spans="4:4" ht="15.75" customHeight="1" x14ac:dyDescent="0.3">
      <c r="D296" s="2"/>
    </row>
    <row r="297" spans="4:4" ht="15.75" customHeight="1" x14ac:dyDescent="0.3">
      <c r="D297" s="2"/>
    </row>
    <row r="298" spans="4:4" ht="15.75" customHeight="1" x14ac:dyDescent="0.3">
      <c r="D298" s="2"/>
    </row>
    <row r="299" spans="4:4" ht="15.75" customHeight="1" x14ac:dyDescent="0.3">
      <c r="D299" s="2"/>
    </row>
    <row r="300" spans="4:4" ht="15.75" customHeight="1" x14ac:dyDescent="0.3">
      <c r="D300" s="2"/>
    </row>
    <row r="301" spans="4:4" ht="15.75" customHeight="1" x14ac:dyDescent="0.3">
      <c r="D301" s="2"/>
    </row>
    <row r="302" spans="4:4" ht="15.75" customHeight="1" x14ac:dyDescent="0.3">
      <c r="D302" s="2"/>
    </row>
    <row r="303" spans="4:4" ht="15.75" customHeight="1" x14ac:dyDescent="0.3">
      <c r="D303" s="2"/>
    </row>
    <row r="304" spans="4:4" ht="15.75" customHeight="1" x14ac:dyDescent="0.3">
      <c r="D304" s="2"/>
    </row>
    <row r="305" spans="4:4" ht="15.75" customHeight="1" x14ac:dyDescent="0.3">
      <c r="D305" s="2"/>
    </row>
    <row r="306" spans="4:4" ht="15.75" customHeight="1" x14ac:dyDescent="0.3">
      <c r="D306" s="2"/>
    </row>
    <row r="307" spans="4:4" ht="15.75" customHeight="1" x14ac:dyDescent="0.3">
      <c r="D307" s="2"/>
    </row>
    <row r="308" spans="4:4" ht="15.75" customHeight="1" x14ac:dyDescent="0.3">
      <c r="D308" s="2"/>
    </row>
    <row r="309" spans="4:4" ht="15.75" customHeight="1" x14ac:dyDescent="0.3">
      <c r="D309" s="2"/>
    </row>
    <row r="310" spans="4:4" ht="15.75" customHeight="1" x14ac:dyDescent="0.3">
      <c r="D310" s="2"/>
    </row>
    <row r="311" spans="4:4" ht="15.75" customHeight="1" x14ac:dyDescent="0.3">
      <c r="D311" s="2"/>
    </row>
    <row r="312" spans="4:4" ht="15.75" customHeight="1" x14ac:dyDescent="0.3">
      <c r="D312" s="2"/>
    </row>
    <row r="313" spans="4:4" ht="15.75" customHeight="1" x14ac:dyDescent="0.3">
      <c r="D313" s="2"/>
    </row>
    <row r="314" spans="4:4" ht="15.75" customHeight="1" x14ac:dyDescent="0.3">
      <c r="D314" s="2"/>
    </row>
    <row r="315" spans="4:4" ht="15.75" customHeight="1" x14ac:dyDescent="0.3">
      <c r="D315" s="2"/>
    </row>
    <row r="316" spans="4:4" ht="15.75" customHeight="1" x14ac:dyDescent="0.3">
      <c r="D316" s="2"/>
    </row>
    <row r="317" spans="4:4" ht="15.75" customHeight="1" x14ac:dyDescent="0.3">
      <c r="D317" s="2"/>
    </row>
    <row r="318" spans="4:4" ht="15.75" customHeight="1" x14ac:dyDescent="0.3">
      <c r="D318" s="2"/>
    </row>
    <row r="319" spans="4:4" ht="15.75" customHeight="1" x14ac:dyDescent="0.3">
      <c r="D319" s="2"/>
    </row>
    <row r="320" spans="4:4" ht="15.75" customHeight="1" x14ac:dyDescent="0.3">
      <c r="D320" s="2"/>
    </row>
    <row r="321" spans="4:4" ht="15.75" customHeight="1" x14ac:dyDescent="0.3">
      <c r="D321" s="2"/>
    </row>
    <row r="322" spans="4:4" ht="15.75" customHeight="1" x14ac:dyDescent="0.3">
      <c r="D322" s="2"/>
    </row>
    <row r="323" spans="4:4" ht="15.75" customHeight="1" x14ac:dyDescent="0.3">
      <c r="D323" s="2"/>
    </row>
    <row r="324" spans="4:4" ht="15.75" customHeight="1" x14ac:dyDescent="0.3">
      <c r="D324" s="2"/>
    </row>
    <row r="325" spans="4:4" ht="15.75" customHeight="1" x14ac:dyDescent="0.3">
      <c r="D325" s="2"/>
    </row>
    <row r="326" spans="4:4" ht="15.75" customHeight="1" x14ac:dyDescent="0.3">
      <c r="D326" s="2"/>
    </row>
    <row r="327" spans="4:4" ht="15.75" customHeight="1" x14ac:dyDescent="0.3">
      <c r="D327" s="2"/>
    </row>
    <row r="328" spans="4:4" ht="15.75" customHeight="1" x14ac:dyDescent="0.3">
      <c r="D328" s="2"/>
    </row>
    <row r="329" spans="4:4" ht="15.75" customHeight="1" x14ac:dyDescent="0.3">
      <c r="D329" s="2"/>
    </row>
    <row r="330" spans="4:4" ht="15.75" customHeight="1" x14ac:dyDescent="0.3">
      <c r="D330" s="2"/>
    </row>
    <row r="331" spans="4:4" ht="15.75" customHeight="1" x14ac:dyDescent="0.3">
      <c r="D331" s="2"/>
    </row>
    <row r="332" spans="4:4" ht="15.75" customHeight="1" x14ac:dyDescent="0.3">
      <c r="D332" s="2"/>
    </row>
    <row r="333" spans="4:4" ht="15.75" customHeight="1" x14ac:dyDescent="0.3">
      <c r="D333" s="2"/>
    </row>
    <row r="334" spans="4:4" ht="15.75" customHeight="1" x14ac:dyDescent="0.3">
      <c r="D334" s="2"/>
    </row>
    <row r="335" spans="4:4" ht="15.75" customHeight="1" x14ac:dyDescent="0.3">
      <c r="D335" s="2"/>
    </row>
    <row r="336" spans="4:4" ht="15.75" customHeight="1" x14ac:dyDescent="0.3">
      <c r="D336" s="2"/>
    </row>
    <row r="337" spans="4:4" ht="15.75" customHeight="1" x14ac:dyDescent="0.3">
      <c r="D337" s="2"/>
    </row>
    <row r="338" spans="4:4" ht="15.75" customHeight="1" x14ac:dyDescent="0.3">
      <c r="D338" s="2"/>
    </row>
    <row r="339" spans="4:4" ht="15.75" customHeight="1" x14ac:dyDescent="0.3">
      <c r="D339" s="2"/>
    </row>
    <row r="340" spans="4:4" ht="15.75" customHeight="1" x14ac:dyDescent="0.3">
      <c r="D340" s="2"/>
    </row>
    <row r="341" spans="4:4" ht="15.75" customHeight="1" x14ac:dyDescent="0.3">
      <c r="D341" s="2"/>
    </row>
    <row r="342" spans="4:4" ht="15.75" customHeight="1" x14ac:dyDescent="0.3">
      <c r="D342" s="2"/>
    </row>
    <row r="343" spans="4:4" ht="15.75" customHeight="1" x14ac:dyDescent="0.3">
      <c r="D343" s="2"/>
    </row>
    <row r="344" spans="4:4" ht="15.75" customHeight="1" x14ac:dyDescent="0.3">
      <c r="D344" s="2"/>
    </row>
    <row r="345" spans="4:4" ht="15.75" customHeight="1" x14ac:dyDescent="0.3">
      <c r="D345" s="2"/>
    </row>
    <row r="346" spans="4:4" ht="15.75" customHeight="1" x14ac:dyDescent="0.3">
      <c r="D346" s="2"/>
    </row>
    <row r="347" spans="4:4" ht="15.75" customHeight="1" x14ac:dyDescent="0.3">
      <c r="D347" s="2"/>
    </row>
    <row r="348" spans="4:4" ht="15.75" customHeight="1" x14ac:dyDescent="0.3">
      <c r="D348" s="2"/>
    </row>
    <row r="349" spans="4:4" ht="15.75" customHeight="1" x14ac:dyDescent="0.3">
      <c r="D349" s="2"/>
    </row>
    <row r="350" spans="4:4" ht="15.75" customHeight="1" x14ac:dyDescent="0.3">
      <c r="D350" s="2"/>
    </row>
    <row r="351" spans="4:4" ht="15.75" customHeight="1" x14ac:dyDescent="0.3">
      <c r="D351" s="2"/>
    </row>
    <row r="352" spans="4:4" ht="15.75" customHeight="1" x14ac:dyDescent="0.3">
      <c r="D352" s="2"/>
    </row>
    <row r="353" spans="4:4" ht="15.75" customHeight="1" x14ac:dyDescent="0.3">
      <c r="D353" s="2"/>
    </row>
    <row r="354" spans="4:4" ht="15.75" customHeight="1" x14ac:dyDescent="0.3">
      <c r="D354" s="2"/>
    </row>
    <row r="355" spans="4:4" ht="15.75" customHeight="1" x14ac:dyDescent="0.3">
      <c r="D355" s="2"/>
    </row>
    <row r="356" spans="4:4" ht="15.75" customHeight="1" x14ac:dyDescent="0.3">
      <c r="D356" s="2"/>
    </row>
    <row r="357" spans="4:4" ht="15.75" customHeight="1" x14ac:dyDescent="0.3">
      <c r="D357" s="2"/>
    </row>
    <row r="358" spans="4:4" ht="15.75" customHeight="1" x14ac:dyDescent="0.3">
      <c r="D358" s="2"/>
    </row>
    <row r="359" spans="4:4" ht="15.75" customHeight="1" x14ac:dyDescent="0.3">
      <c r="D359" s="2"/>
    </row>
    <row r="360" spans="4:4" ht="15.75" customHeight="1" x14ac:dyDescent="0.3">
      <c r="D360" s="2"/>
    </row>
    <row r="361" spans="4:4" ht="15.75" customHeight="1" x14ac:dyDescent="0.3">
      <c r="D361" s="2"/>
    </row>
    <row r="362" spans="4:4" ht="15.75" customHeight="1" x14ac:dyDescent="0.3">
      <c r="D362" s="2"/>
    </row>
    <row r="363" spans="4:4" ht="15.75" customHeight="1" x14ac:dyDescent="0.3">
      <c r="D363" s="2"/>
    </row>
    <row r="364" spans="4:4" ht="15.75" customHeight="1" x14ac:dyDescent="0.3">
      <c r="D364" s="2"/>
    </row>
    <row r="365" spans="4:4" ht="15.75" customHeight="1" x14ac:dyDescent="0.3">
      <c r="D365" s="2"/>
    </row>
    <row r="366" spans="4:4" ht="15.75" customHeight="1" x14ac:dyDescent="0.3">
      <c r="D366" s="2"/>
    </row>
    <row r="367" spans="4:4" ht="15.75" customHeight="1" x14ac:dyDescent="0.3">
      <c r="D367" s="2"/>
    </row>
    <row r="368" spans="4:4" ht="15.75" customHeight="1" x14ac:dyDescent="0.3">
      <c r="D368" s="2"/>
    </row>
    <row r="369" spans="4:4" ht="15.75" customHeight="1" x14ac:dyDescent="0.3">
      <c r="D369" s="2"/>
    </row>
    <row r="370" spans="4:4" ht="15.75" customHeight="1" x14ac:dyDescent="0.3">
      <c r="D370" s="2"/>
    </row>
    <row r="371" spans="4:4" ht="15.75" customHeight="1" x14ac:dyDescent="0.3">
      <c r="D371" s="2"/>
    </row>
    <row r="372" spans="4:4" ht="15.75" customHeight="1" x14ac:dyDescent="0.3">
      <c r="D372" s="2"/>
    </row>
    <row r="373" spans="4:4" ht="15.75" customHeight="1" x14ac:dyDescent="0.3">
      <c r="D373" s="2"/>
    </row>
    <row r="374" spans="4:4" ht="15.75" customHeight="1" x14ac:dyDescent="0.3">
      <c r="D374" s="2"/>
    </row>
    <row r="375" spans="4:4" ht="15.75" customHeight="1" x14ac:dyDescent="0.3">
      <c r="D375" s="2"/>
    </row>
    <row r="376" spans="4:4" ht="15.75" customHeight="1" x14ac:dyDescent="0.3">
      <c r="D376" s="2"/>
    </row>
    <row r="377" spans="4:4" ht="15.75" customHeight="1" x14ac:dyDescent="0.3">
      <c r="D377" s="2"/>
    </row>
    <row r="378" spans="4:4" ht="15.75" customHeight="1" x14ac:dyDescent="0.3">
      <c r="D378" s="2"/>
    </row>
    <row r="379" spans="4:4" ht="15.75" customHeight="1" x14ac:dyDescent="0.3">
      <c r="D379" s="2"/>
    </row>
    <row r="380" spans="4:4" ht="15.75" customHeight="1" x14ac:dyDescent="0.3">
      <c r="D380" s="2"/>
    </row>
    <row r="381" spans="4:4" ht="15.75" customHeight="1" x14ac:dyDescent="0.3">
      <c r="D381" s="2"/>
    </row>
    <row r="382" spans="4:4" ht="15.75" customHeight="1" x14ac:dyDescent="0.3">
      <c r="D382" s="2"/>
    </row>
    <row r="383" spans="4:4" ht="15.75" customHeight="1" x14ac:dyDescent="0.3">
      <c r="D383" s="2"/>
    </row>
    <row r="384" spans="4:4" ht="15.75" customHeight="1" x14ac:dyDescent="0.3">
      <c r="D384" s="2"/>
    </row>
    <row r="385" spans="4:4" ht="15.75" customHeight="1" x14ac:dyDescent="0.3">
      <c r="D385" s="2"/>
    </row>
    <row r="386" spans="4:4" ht="15.75" customHeight="1" x14ac:dyDescent="0.3">
      <c r="D386" s="2"/>
    </row>
    <row r="387" spans="4:4" ht="15.75" customHeight="1" x14ac:dyDescent="0.3">
      <c r="D387" s="2"/>
    </row>
    <row r="388" spans="4:4" ht="15.75" customHeight="1" x14ac:dyDescent="0.3">
      <c r="D388" s="2"/>
    </row>
    <row r="389" spans="4:4" ht="15.75" customHeight="1" x14ac:dyDescent="0.3">
      <c r="D389" s="2"/>
    </row>
    <row r="390" spans="4:4" ht="15.75" customHeight="1" x14ac:dyDescent="0.3">
      <c r="D390" s="2"/>
    </row>
    <row r="391" spans="4:4" ht="15.75" customHeight="1" x14ac:dyDescent="0.3">
      <c r="D391" s="2"/>
    </row>
    <row r="392" spans="4:4" ht="15.75" customHeight="1" x14ac:dyDescent="0.3">
      <c r="D392" s="2"/>
    </row>
    <row r="393" spans="4:4" ht="15.75" customHeight="1" x14ac:dyDescent="0.3">
      <c r="D393" s="2"/>
    </row>
    <row r="394" spans="4:4" ht="15.75" customHeight="1" x14ac:dyDescent="0.3">
      <c r="D394" s="2"/>
    </row>
    <row r="395" spans="4:4" ht="15.75" customHeight="1" x14ac:dyDescent="0.3">
      <c r="D395" s="2"/>
    </row>
    <row r="396" spans="4:4" ht="15.75" customHeight="1" x14ac:dyDescent="0.3">
      <c r="D396" s="2"/>
    </row>
    <row r="397" spans="4:4" ht="15.75" customHeight="1" x14ac:dyDescent="0.3">
      <c r="D397" s="2"/>
    </row>
    <row r="398" spans="4:4" ht="15.75" customHeight="1" x14ac:dyDescent="0.3">
      <c r="D398" s="2"/>
    </row>
    <row r="399" spans="4:4" ht="15.75" customHeight="1" x14ac:dyDescent="0.3">
      <c r="D399" s="2"/>
    </row>
    <row r="400" spans="4:4" ht="15.75" customHeight="1" x14ac:dyDescent="0.3">
      <c r="D400" s="2"/>
    </row>
    <row r="401" spans="4:4" ht="15.75" customHeight="1" x14ac:dyDescent="0.3">
      <c r="D401" s="2"/>
    </row>
    <row r="402" spans="4:4" ht="15.75" customHeight="1" x14ac:dyDescent="0.3">
      <c r="D402" s="2"/>
    </row>
    <row r="403" spans="4:4" ht="15.75" customHeight="1" x14ac:dyDescent="0.3">
      <c r="D403" s="2"/>
    </row>
    <row r="404" spans="4:4" ht="15.75" customHeight="1" x14ac:dyDescent="0.3">
      <c r="D404" s="2"/>
    </row>
    <row r="405" spans="4:4" ht="15.75" customHeight="1" x14ac:dyDescent="0.3">
      <c r="D405" s="2"/>
    </row>
    <row r="406" spans="4:4" ht="15.75" customHeight="1" x14ac:dyDescent="0.3">
      <c r="D406" s="2"/>
    </row>
    <row r="407" spans="4:4" ht="15.75" customHeight="1" x14ac:dyDescent="0.3">
      <c r="D407" s="2"/>
    </row>
    <row r="408" spans="4:4" ht="15.75" customHeight="1" x14ac:dyDescent="0.3">
      <c r="D408" s="2"/>
    </row>
    <row r="409" spans="4:4" ht="15.75" customHeight="1" x14ac:dyDescent="0.3">
      <c r="D409" s="2"/>
    </row>
    <row r="410" spans="4:4" ht="15.75" customHeight="1" x14ac:dyDescent="0.3">
      <c r="D410" s="2"/>
    </row>
    <row r="411" spans="4:4" ht="15.75" customHeight="1" x14ac:dyDescent="0.3">
      <c r="D411" s="2"/>
    </row>
    <row r="412" spans="4:4" ht="15.75" customHeight="1" x14ac:dyDescent="0.3">
      <c r="D412" s="2"/>
    </row>
    <row r="413" spans="4:4" ht="15.75" customHeight="1" x14ac:dyDescent="0.3">
      <c r="D413" s="2"/>
    </row>
    <row r="414" spans="4:4" ht="15.75" customHeight="1" x14ac:dyDescent="0.3">
      <c r="D414" s="2"/>
    </row>
    <row r="415" spans="4:4" ht="15.75" customHeight="1" x14ac:dyDescent="0.3">
      <c r="D415" s="2"/>
    </row>
    <row r="416" spans="4:4" ht="15.75" customHeight="1" x14ac:dyDescent="0.3">
      <c r="D416" s="2"/>
    </row>
    <row r="417" spans="4:4" ht="15.75" customHeight="1" x14ac:dyDescent="0.3">
      <c r="D417" s="2"/>
    </row>
    <row r="418" spans="4:4" ht="15.75" customHeight="1" x14ac:dyDescent="0.3">
      <c r="D418" s="2"/>
    </row>
    <row r="419" spans="4:4" ht="15.75" customHeight="1" x14ac:dyDescent="0.3">
      <c r="D419" s="2"/>
    </row>
    <row r="420" spans="4:4" ht="15.75" customHeight="1" x14ac:dyDescent="0.3">
      <c r="D420" s="2"/>
    </row>
    <row r="421" spans="4:4" ht="15.75" customHeight="1" x14ac:dyDescent="0.3">
      <c r="D421" s="2"/>
    </row>
    <row r="422" spans="4:4" ht="15.75" customHeight="1" x14ac:dyDescent="0.3">
      <c r="D422" s="2"/>
    </row>
    <row r="423" spans="4:4" ht="15.75" customHeight="1" x14ac:dyDescent="0.3">
      <c r="D423" s="2"/>
    </row>
    <row r="424" spans="4:4" ht="15.75" customHeight="1" x14ac:dyDescent="0.3">
      <c r="D424" s="2"/>
    </row>
    <row r="425" spans="4:4" ht="15.75" customHeight="1" x14ac:dyDescent="0.3">
      <c r="D425" s="2"/>
    </row>
    <row r="426" spans="4:4" ht="15.75" customHeight="1" x14ac:dyDescent="0.3">
      <c r="D426" s="2"/>
    </row>
    <row r="427" spans="4:4" ht="15.75" customHeight="1" x14ac:dyDescent="0.3">
      <c r="D427" s="2"/>
    </row>
    <row r="428" spans="4:4" ht="15.75" customHeight="1" x14ac:dyDescent="0.3">
      <c r="D428" s="2"/>
    </row>
    <row r="429" spans="4:4" ht="15.75" customHeight="1" x14ac:dyDescent="0.3">
      <c r="D429" s="2"/>
    </row>
    <row r="430" spans="4:4" ht="15.75" customHeight="1" x14ac:dyDescent="0.3">
      <c r="D430" s="2"/>
    </row>
    <row r="431" spans="4:4" ht="15.75" customHeight="1" x14ac:dyDescent="0.3">
      <c r="D431" s="2"/>
    </row>
    <row r="432" spans="4:4" ht="15.75" customHeight="1" x14ac:dyDescent="0.3">
      <c r="D432" s="2"/>
    </row>
    <row r="433" spans="4:4" ht="15.75" customHeight="1" x14ac:dyDescent="0.3">
      <c r="D433" s="2"/>
    </row>
    <row r="434" spans="4:4" ht="15.75" customHeight="1" x14ac:dyDescent="0.3">
      <c r="D434" s="2"/>
    </row>
    <row r="435" spans="4:4" ht="15.75" customHeight="1" x14ac:dyDescent="0.3">
      <c r="D435" s="2"/>
    </row>
    <row r="436" spans="4:4" ht="15.75" customHeight="1" x14ac:dyDescent="0.3">
      <c r="D436" s="2"/>
    </row>
    <row r="437" spans="4:4" ht="15.75" customHeight="1" x14ac:dyDescent="0.3">
      <c r="D437" s="2"/>
    </row>
    <row r="438" spans="4:4" ht="15.75" customHeight="1" x14ac:dyDescent="0.3">
      <c r="D438" s="2"/>
    </row>
    <row r="439" spans="4:4" ht="15.75" customHeight="1" x14ac:dyDescent="0.3">
      <c r="D439" s="2"/>
    </row>
    <row r="440" spans="4:4" ht="15.75" customHeight="1" x14ac:dyDescent="0.3">
      <c r="D440" s="2"/>
    </row>
    <row r="441" spans="4:4" ht="15.75" customHeight="1" x14ac:dyDescent="0.3">
      <c r="D441" s="2"/>
    </row>
    <row r="442" spans="4:4" ht="15.75" customHeight="1" x14ac:dyDescent="0.3">
      <c r="D442" s="2"/>
    </row>
    <row r="443" spans="4:4" ht="15.75" customHeight="1" x14ac:dyDescent="0.3">
      <c r="D443" s="2"/>
    </row>
    <row r="444" spans="4:4" ht="15.75" customHeight="1" x14ac:dyDescent="0.3">
      <c r="D444" s="2"/>
    </row>
    <row r="445" spans="4:4" ht="15.75" customHeight="1" x14ac:dyDescent="0.3">
      <c r="D445" s="2"/>
    </row>
    <row r="446" spans="4:4" ht="15.75" customHeight="1" x14ac:dyDescent="0.3">
      <c r="D446" s="2"/>
    </row>
    <row r="447" spans="4:4" ht="15.75" customHeight="1" x14ac:dyDescent="0.3">
      <c r="D447" s="2"/>
    </row>
    <row r="448" spans="4:4" ht="15.75" customHeight="1" x14ac:dyDescent="0.3">
      <c r="D448" s="2"/>
    </row>
    <row r="449" spans="4:4" ht="15.75" customHeight="1" x14ac:dyDescent="0.3">
      <c r="D449" s="2"/>
    </row>
    <row r="450" spans="4:4" ht="15.75" customHeight="1" x14ac:dyDescent="0.3">
      <c r="D450" s="2"/>
    </row>
    <row r="451" spans="4:4" ht="15.75" customHeight="1" x14ac:dyDescent="0.3">
      <c r="D451" s="2"/>
    </row>
    <row r="452" spans="4:4" ht="15.75" customHeight="1" x14ac:dyDescent="0.3">
      <c r="D452" s="2"/>
    </row>
    <row r="453" spans="4:4" ht="15.75" customHeight="1" x14ac:dyDescent="0.3">
      <c r="D453" s="2"/>
    </row>
    <row r="454" spans="4:4" ht="15.75" customHeight="1" x14ac:dyDescent="0.3">
      <c r="D454" s="2"/>
    </row>
    <row r="455" spans="4:4" ht="15.75" customHeight="1" x14ac:dyDescent="0.3">
      <c r="D455" s="2"/>
    </row>
    <row r="456" spans="4:4" ht="15.75" customHeight="1" x14ac:dyDescent="0.3">
      <c r="D456" s="2"/>
    </row>
    <row r="457" spans="4:4" ht="15.75" customHeight="1" x14ac:dyDescent="0.3">
      <c r="D457" s="2"/>
    </row>
    <row r="458" spans="4:4" ht="15.75" customHeight="1" x14ac:dyDescent="0.3">
      <c r="D458" s="2"/>
    </row>
    <row r="459" spans="4:4" ht="15.75" customHeight="1" x14ac:dyDescent="0.3">
      <c r="D459" s="2"/>
    </row>
    <row r="460" spans="4:4" ht="15.75" customHeight="1" x14ac:dyDescent="0.3">
      <c r="D460" s="2"/>
    </row>
    <row r="461" spans="4:4" ht="15.75" customHeight="1" x14ac:dyDescent="0.3">
      <c r="D461" s="2"/>
    </row>
    <row r="462" spans="4:4" ht="15.75" customHeight="1" x14ac:dyDescent="0.3">
      <c r="D462" s="2"/>
    </row>
    <row r="463" spans="4:4" ht="15.75" customHeight="1" x14ac:dyDescent="0.3">
      <c r="D463" s="2"/>
    </row>
    <row r="464" spans="4:4" ht="15.75" customHeight="1" x14ac:dyDescent="0.3">
      <c r="D464" s="2"/>
    </row>
    <row r="465" spans="4:4" ht="15.75" customHeight="1" x14ac:dyDescent="0.3">
      <c r="D465" s="2"/>
    </row>
    <row r="466" spans="4:4" ht="15.75" customHeight="1" x14ac:dyDescent="0.3">
      <c r="D466" s="2"/>
    </row>
    <row r="467" spans="4:4" ht="15.75" customHeight="1" x14ac:dyDescent="0.3">
      <c r="D467" s="2"/>
    </row>
    <row r="468" spans="4:4" ht="15.75" customHeight="1" x14ac:dyDescent="0.3">
      <c r="D468" s="2"/>
    </row>
    <row r="469" spans="4:4" ht="15.75" customHeight="1" x14ac:dyDescent="0.3">
      <c r="D469" s="2"/>
    </row>
    <row r="470" spans="4:4" ht="15.75" customHeight="1" x14ac:dyDescent="0.3">
      <c r="D470" s="2"/>
    </row>
    <row r="471" spans="4:4" ht="15.75" customHeight="1" x14ac:dyDescent="0.3">
      <c r="D471" s="2"/>
    </row>
    <row r="472" spans="4:4" ht="15.75" customHeight="1" x14ac:dyDescent="0.3">
      <c r="D472" s="2"/>
    </row>
    <row r="473" spans="4:4" ht="15.75" customHeight="1" x14ac:dyDescent="0.3">
      <c r="D473" s="2"/>
    </row>
    <row r="474" spans="4:4" ht="15.75" customHeight="1" x14ac:dyDescent="0.3">
      <c r="D474" s="2"/>
    </row>
    <row r="475" spans="4:4" ht="15.75" customHeight="1" x14ac:dyDescent="0.3">
      <c r="D475" s="2"/>
    </row>
    <row r="476" spans="4:4" ht="15.75" customHeight="1" x14ac:dyDescent="0.3">
      <c r="D476" s="2"/>
    </row>
    <row r="477" spans="4:4" ht="15.75" customHeight="1" x14ac:dyDescent="0.3">
      <c r="D477" s="2"/>
    </row>
    <row r="478" spans="4:4" ht="15.75" customHeight="1" x14ac:dyDescent="0.3">
      <c r="D478" s="2"/>
    </row>
    <row r="479" spans="4:4" ht="15.75" customHeight="1" x14ac:dyDescent="0.3">
      <c r="D479" s="2"/>
    </row>
    <row r="480" spans="4:4" ht="15.75" customHeight="1" x14ac:dyDescent="0.3">
      <c r="D480" s="2"/>
    </row>
    <row r="481" spans="4:4" ht="15.75" customHeight="1" x14ac:dyDescent="0.3">
      <c r="D481" s="2"/>
    </row>
    <row r="482" spans="4:4" ht="15.75" customHeight="1" x14ac:dyDescent="0.3">
      <c r="D482" s="2"/>
    </row>
    <row r="483" spans="4:4" ht="15.75" customHeight="1" x14ac:dyDescent="0.3">
      <c r="D483" s="2"/>
    </row>
    <row r="484" spans="4:4" ht="15.75" customHeight="1" x14ac:dyDescent="0.3">
      <c r="D484" s="2"/>
    </row>
    <row r="485" spans="4:4" ht="15.75" customHeight="1" x14ac:dyDescent="0.3">
      <c r="D485" s="2"/>
    </row>
    <row r="486" spans="4:4" ht="15.75" customHeight="1" x14ac:dyDescent="0.3">
      <c r="D486" s="2"/>
    </row>
    <row r="487" spans="4:4" ht="15.75" customHeight="1" x14ac:dyDescent="0.3">
      <c r="D487" s="2"/>
    </row>
    <row r="488" spans="4:4" ht="15.75" customHeight="1" x14ac:dyDescent="0.3">
      <c r="D488" s="2"/>
    </row>
    <row r="489" spans="4:4" ht="15.75" customHeight="1" x14ac:dyDescent="0.3">
      <c r="D489" s="2"/>
    </row>
    <row r="490" spans="4:4" ht="15.75" customHeight="1" x14ac:dyDescent="0.3">
      <c r="D490" s="2"/>
    </row>
    <row r="491" spans="4:4" ht="15.75" customHeight="1" x14ac:dyDescent="0.3">
      <c r="D491" s="2"/>
    </row>
    <row r="492" spans="4:4" ht="15.75" customHeight="1" x14ac:dyDescent="0.3">
      <c r="D492" s="2"/>
    </row>
    <row r="493" spans="4:4" ht="15.75" customHeight="1" x14ac:dyDescent="0.3">
      <c r="D493" s="2"/>
    </row>
    <row r="494" spans="4:4" ht="15.75" customHeight="1" x14ac:dyDescent="0.3">
      <c r="D494" s="2"/>
    </row>
    <row r="495" spans="4:4" ht="15.75" customHeight="1" x14ac:dyDescent="0.3">
      <c r="D495" s="2"/>
    </row>
    <row r="496" spans="4:4" ht="15.75" customHeight="1" x14ac:dyDescent="0.3">
      <c r="D496" s="2"/>
    </row>
    <row r="497" spans="4:4" ht="15.75" customHeight="1" x14ac:dyDescent="0.3">
      <c r="D497" s="2"/>
    </row>
    <row r="498" spans="4:4" ht="15.75" customHeight="1" x14ac:dyDescent="0.3">
      <c r="D498" s="2"/>
    </row>
    <row r="499" spans="4:4" ht="15.75" customHeight="1" x14ac:dyDescent="0.3">
      <c r="D499" s="2"/>
    </row>
    <row r="500" spans="4:4" ht="15.75" customHeight="1" x14ac:dyDescent="0.3">
      <c r="D500" s="2"/>
    </row>
    <row r="501" spans="4:4" ht="15.75" customHeight="1" x14ac:dyDescent="0.3">
      <c r="D501" s="2"/>
    </row>
    <row r="502" spans="4:4" ht="15.75" customHeight="1" x14ac:dyDescent="0.3">
      <c r="D502" s="2"/>
    </row>
    <row r="503" spans="4:4" ht="15.75" customHeight="1" x14ac:dyDescent="0.3">
      <c r="D503" s="2"/>
    </row>
    <row r="504" spans="4:4" ht="15.75" customHeight="1" x14ac:dyDescent="0.3">
      <c r="D504" s="2"/>
    </row>
    <row r="505" spans="4:4" ht="15.75" customHeight="1" x14ac:dyDescent="0.3">
      <c r="D505" s="2"/>
    </row>
    <row r="506" spans="4:4" ht="15.75" customHeight="1" x14ac:dyDescent="0.3">
      <c r="D506" s="2"/>
    </row>
    <row r="507" spans="4:4" ht="15.75" customHeight="1" x14ac:dyDescent="0.3">
      <c r="D507" s="2"/>
    </row>
    <row r="508" spans="4:4" ht="15.75" customHeight="1" x14ac:dyDescent="0.3">
      <c r="D508" s="2"/>
    </row>
    <row r="509" spans="4:4" ht="15.75" customHeight="1" x14ac:dyDescent="0.3">
      <c r="D509" s="2"/>
    </row>
    <row r="510" spans="4:4" ht="15.75" customHeight="1" x14ac:dyDescent="0.3">
      <c r="D510" s="2"/>
    </row>
    <row r="511" spans="4:4" ht="15.75" customHeight="1" x14ac:dyDescent="0.3">
      <c r="D511" s="2"/>
    </row>
    <row r="512" spans="4:4" ht="15.75" customHeight="1" x14ac:dyDescent="0.3">
      <c r="D512" s="2"/>
    </row>
    <row r="513" spans="4:4" ht="15.75" customHeight="1" x14ac:dyDescent="0.3">
      <c r="D513" s="2"/>
    </row>
    <row r="514" spans="4:4" ht="15.75" customHeight="1" x14ac:dyDescent="0.3">
      <c r="D514" s="2"/>
    </row>
    <row r="515" spans="4:4" ht="15.75" customHeight="1" x14ac:dyDescent="0.3">
      <c r="D515" s="2"/>
    </row>
    <row r="516" spans="4:4" ht="15.75" customHeight="1" x14ac:dyDescent="0.3">
      <c r="D516" s="2"/>
    </row>
    <row r="517" spans="4:4" ht="15.75" customHeight="1" x14ac:dyDescent="0.3">
      <c r="D517" s="2"/>
    </row>
    <row r="518" spans="4:4" ht="15.75" customHeight="1" x14ac:dyDescent="0.3">
      <c r="D518" s="2"/>
    </row>
    <row r="519" spans="4:4" ht="15.75" customHeight="1" x14ac:dyDescent="0.3">
      <c r="D519" s="2"/>
    </row>
    <row r="520" spans="4:4" ht="15.75" customHeight="1" x14ac:dyDescent="0.3">
      <c r="D520" s="2"/>
    </row>
    <row r="521" spans="4:4" ht="15.75" customHeight="1" x14ac:dyDescent="0.3">
      <c r="D521" s="2"/>
    </row>
    <row r="522" spans="4:4" ht="15.75" customHeight="1" x14ac:dyDescent="0.3">
      <c r="D522" s="2"/>
    </row>
    <row r="523" spans="4:4" ht="15.75" customHeight="1" x14ac:dyDescent="0.3">
      <c r="D523" s="2"/>
    </row>
    <row r="524" spans="4:4" ht="15.75" customHeight="1" x14ac:dyDescent="0.3">
      <c r="D524" s="2"/>
    </row>
    <row r="525" spans="4:4" ht="15.75" customHeight="1" x14ac:dyDescent="0.3">
      <c r="D525" s="2"/>
    </row>
    <row r="526" spans="4:4" ht="15.75" customHeight="1" x14ac:dyDescent="0.3">
      <c r="D526" s="2"/>
    </row>
    <row r="527" spans="4:4" ht="15.75" customHeight="1" x14ac:dyDescent="0.3">
      <c r="D527" s="2"/>
    </row>
    <row r="528" spans="4:4" ht="15.75" customHeight="1" x14ac:dyDescent="0.3">
      <c r="D528" s="2"/>
    </row>
    <row r="529" spans="4:4" ht="15.75" customHeight="1" x14ac:dyDescent="0.3">
      <c r="D529" s="2"/>
    </row>
    <row r="530" spans="4:4" ht="15.75" customHeight="1" x14ac:dyDescent="0.3">
      <c r="D530" s="2"/>
    </row>
    <row r="531" spans="4:4" ht="15.75" customHeight="1" x14ac:dyDescent="0.3">
      <c r="D531" s="2"/>
    </row>
    <row r="532" spans="4:4" ht="15.75" customHeight="1" x14ac:dyDescent="0.3">
      <c r="D532" s="2"/>
    </row>
    <row r="533" spans="4:4" ht="15.75" customHeight="1" x14ac:dyDescent="0.3">
      <c r="D533" s="2"/>
    </row>
    <row r="534" spans="4:4" ht="15.75" customHeight="1" x14ac:dyDescent="0.3">
      <c r="D534" s="2"/>
    </row>
    <row r="535" spans="4:4" ht="15.75" customHeight="1" x14ac:dyDescent="0.3">
      <c r="D535" s="2"/>
    </row>
    <row r="536" spans="4:4" ht="15.75" customHeight="1" x14ac:dyDescent="0.3">
      <c r="D536" s="2"/>
    </row>
    <row r="537" spans="4:4" ht="15.75" customHeight="1" x14ac:dyDescent="0.3">
      <c r="D537" s="2"/>
    </row>
    <row r="538" spans="4:4" ht="15.75" customHeight="1" x14ac:dyDescent="0.3">
      <c r="D538" s="2"/>
    </row>
    <row r="539" spans="4:4" ht="15.75" customHeight="1" x14ac:dyDescent="0.3">
      <c r="D539" s="2"/>
    </row>
    <row r="540" spans="4:4" ht="15.75" customHeight="1" x14ac:dyDescent="0.3">
      <c r="D540" s="2"/>
    </row>
    <row r="541" spans="4:4" ht="15.75" customHeight="1" x14ac:dyDescent="0.3">
      <c r="D541" s="2"/>
    </row>
    <row r="542" spans="4:4" ht="15.75" customHeight="1" x14ac:dyDescent="0.3">
      <c r="D542" s="2"/>
    </row>
    <row r="543" spans="4:4" ht="15.75" customHeight="1" x14ac:dyDescent="0.3">
      <c r="D543" s="2"/>
    </row>
    <row r="544" spans="4:4" ht="15.75" customHeight="1" x14ac:dyDescent="0.3">
      <c r="D544" s="2"/>
    </row>
    <row r="545" spans="4:4" ht="15.75" customHeight="1" x14ac:dyDescent="0.3">
      <c r="D545" s="2"/>
    </row>
    <row r="546" spans="4:4" ht="15.75" customHeight="1" x14ac:dyDescent="0.3">
      <c r="D546" s="2"/>
    </row>
    <row r="547" spans="4:4" ht="15.75" customHeight="1" x14ac:dyDescent="0.3">
      <c r="D547" s="2"/>
    </row>
    <row r="548" spans="4:4" ht="15.75" customHeight="1" x14ac:dyDescent="0.3">
      <c r="D548" s="2"/>
    </row>
    <row r="549" spans="4:4" ht="15.75" customHeight="1" x14ac:dyDescent="0.3">
      <c r="D549" s="2"/>
    </row>
    <row r="550" spans="4:4" ht="15.75" customHeight="1" x14ac:dyDescent="0.3">
      <c r="D550" s="2"/>
    </row>
    <row r="551" spans="4:4" ht="15.75" customHeight="1" x14ac:dyDescent="0.3">
      <c r="D551" s="2"/>
    </row>
    <row r="552" spans="4:4" ht="15.75" customHeight="1" x14ac:dyDescent="0.3">
      <c r="D552" s="2"/>
    </row>
    <row r="553" spans="4:4" ht="15.75" customHeight="1" x14ac:dyDescent="0.3">
      <c r="D553" s="2"/>
    </row>
    <row r="554" spans="4:4" ht="15.75" customHeight="1" x14ac:dyDescent="0.3">
      <c r="D554" s="2"/>
    </row>
    <row r="555" spans="4:4" ht="15.75" customHeight="1" x14ac:dyDescent="0.3">
      <c r="D555" s="2"/>
    </row>
    <row r="556" spans="4:4" ht="15.75" customHeight="1" x14ac:dyDescent="0.3">
      <c r="D556" s="2"/>
    </row>
    <row r="557" spans="4:4" ht="15.75" customHeight="1" x14ac:dyDescent="0.3">
      <c r="D557" s="2"/>
    </row>
    <row r="558" spans="4:4" ht="15.75" customHeight="1" x14ac:dyDescent="0.3">
      <c r="D558" s="2"/>
    </row>
    <row r="559" spans="4:4" ht="15.75" customHeight="1" x14ac:dyDescent="0.3">
      <c r="D559" s="2"/>
    </row>
    <row r="560" spans="4:4" ht="15.75" customHeight="1" x14ac:dyDescent="0.3">
      <c r="D560" s="2"/>
    </row>
    <row r="561" spans="4:4" ht="15.75" customHeight="1" x14ac:dyDescent="0.3">
      <c r="D561" s="2"/>
    </row>
    <row r="562" spans="4:4" ht="15.75" customHeight="1" x14ac:dyDescent="0.3">
      <c r="D562" s="2"/>
    </row>
    <row r="563" spans="4:4" ht="15.75" customHeight="1" x14ac:dyDescent="0.3">
      <c r="D563" s="2"/>
    </row>
    <row r="564" spans="4:4" ht="15.75" customHeight="1" x14ac:dyDescent="0.3">
      <c r="D564" s="2"/>
    </row>
    <row r="565" spans="4:4" ht="15.75" customHeight="1" x14ac:dyDescent="0.3">
      <c r="D565" s="2"/>
    </row>
    <row r="566" spans="4:4" ht="15.75" customHeight="1" x14ac:dyDescent="0.3">
      <c r="D566" s="2"/>
    </row>
    <row r="567" spans="4:4" ht="15.75" customHeight="1" x14ac:dyDescent="0.3">
      <c r="D567" s="2"/>
    </row>
    <row r="568" spans="4:4" ht="15.75" customHeight="1" x14ac:dyDescent="0.3">
      <c r="D568" s="2"/>
    </row>
    <row r="569" spans="4:4" ht="15.75" customHeight="1" x14ac:dyDescent="0.3">
      <c r="D569" s="2"/>
    </row>
    <row r="570" spans="4:4" ht="15.75" customHeight="1" x14ac:dyDescent="0.3">
      <c r="D570" s="2"/>
    </row>
    <row r="571" spans="4:4" ht="15.75" customHeight="1" x14ac:dyDescent="0.3">
      <c r="D571" s="2"/>
    </row>
    <row r="572" spans="4:4" ht="15.75" customHeight="1" x14ac:dyDescent="0.3">
      <c r="D572" s="2"/>
    </row>
    <row r="573" spans="4:4" ht="15.75" customHeight="1" x14ac:dyDescent="0.3">
      <c r="D573" s="2"/>
    </row>
    <row r="574" spans="4:4" ht="15.75" customHeight="1" x14ac:dyDescent="0.3">
      <c r="D574" s="2"/>
    </row>
    <row r="575" spans="4:4" ht="15.75" customHeight="1" x14ac:dyDescent="0.3">
      <c r="D575" s="2"/>
    </row>
    <row r="576" spans="4:4" ht="15.75" customHeight="1" x14ac:dyDescent="0.3">
      <c r="D576" s="2"/>
    </row>
    <row r="577" spans="4:4" ht="15.75" customHeight="1" x14ac:dyDescent="0.3">
      <c r="D577" s="2"/>
    </row>
    <row r="578" spans="4:4" ht="15.75" customHeight="1" x14ac:dyDescent="0.3">
      <c r="D578" s="2"/>
    </row>
    <row r="579" spans="4:4" ht="15.75" customHeight="1" x14ac:dyDescent="0.3">
      <c r="D579" s="2"/>
    </row>
    <row r="580" spans="4:4" ht="15.75" customHeight="1" x14ac:dyDescent="0.3">
      <c r="D580" s="2"/>
    </row>
    <row r="581" spans="4:4" ht="15.75" customHeight="1" x14ac:dyDescent="0.3">
      <c r="D581" s="2"/>
    </row>
    <row r="582" spans="4:4" ht="15.75" customHeight="1" x14ac:dyDescent="0.3">
      <c r="D582" s="2"/>
    </row>
    <row r="583" spans="4:4" ht="15.75" customHeight="1" x14ac:dyDescent="0.3">
      <c r="D583" s="2"/>
    </row>
    <row r="584" spans="4:4" ht="15.75" customHeight="1" x14ac:dyDescent="0.3">
      <c r="D584" s="2"/>
    </row>
    <row r="585" spans="4:4" ht="15.75" customHeight="1" x14ac:dyDescent="0.3">
      <c r="D585" s="2"/>
    </row>
    <row r="586" spans="4:4" ht="15.75" customHeight="1" x14ac:dyDescent="0.3">
      <c r="D586" s="2"/>
    </row>
    <row r="587" spans="4:4" ht="15.75" customHeight="1" x14ac:dyDescent="0.3">
      <c r="D587" s="2"/>
    </row>
    <row r="588" spans="4:4" ht="15.75" customHeight="1" x14ac:dyDescent="0.3">
      <c r="D588" s="2"/>
    </row>
    <row r="589" spans="4:4" ht="15.75" customHeight="1" x14ac:dyDescent="0.3">
      <c r="D589" s="2"/>
    </row>
    <row r="590" spans="4:4" ht="15.75" customHeight="1" x14ac:dyDescent="0.3">
      <c r="D590" s="2"/>
    </row>
    <row r="591" spans="4:4" ht="15.75" customHeight="1" x14ac:dyDescent="0.3">
      <c r="D591" s="2"/>
    </row>
    <row r="592" spans="4:4" ht="15.75" customHeight="1" x14ac:dyDescent="0.3">
      <c r="D592" s="2"/>
    </row>
    <row r="593" spans="4:4" ht="15.75" customHeight="1" x14ac:dyDescent="0.3">
      <c r="D593" s="2"/>
    </row>
    <row r="594" spans="4:4" ht="15.75" customHeight="1" x14ac:dyDescent="0.3">
      <c r="D594" s="2"/>
    </row>
    <row r="595" spans="4:4" ht="15.75" customHeight="1" x14ac:dyDescent="0.3">
      <c r="D595" s="2"/>
    </row>
    <row r="596" spans="4:4" ht="15.75" customHeight="1" x14ac:dyDescent="0.3">
      <c r="D596" s="2"/>
    </row>
    <row r="597" spans="4:4" ht="15.75" customHeight="1" x14ac:dyDescent="0.3">
      <c r="D597" s="2"/>
    </row>
    <row r="598" spans="4:4" ht="15.75" customHeight="1" x14ac:dyDescent="0.3">
      <c r="D598" s="2"/>
    </row>
    <row r="599" spans="4:4" ht="15.75" customHeight="1" x14ac:dyDescent="0.3">
      <c r="D599" s="2"/>
    </row>
    <row r="600" spans="4:4" ht="15.75" customHeight="1" x14ac:dyDescent="0.3">
      <c r="D600" s="2"/>
    </row>
    <row r="601" spans="4:4" ht="15.75" customHeight="1" x14ac:dyDescent="0.3">
      <c r="D601" s="2"/>
    </row>
    <row r="602" spans="4:4" ht="15.75" customHeight="1" x14ac:dyDescent="0.3">
      <c r="D602" s="2"/>
    </row>
    <row r="603" spans="4:4" ht="15.75" customHeight="1" x14ac:dyDescent="0.3">
      <c r="D603" s="2"/>
    </row>
    <row r="604" spans="4:4" ht="15.75" customHeight="1" x14ac:dyDescent="0.3">
      <c r="D604" s="2"/>
    </row>
    <row r="605" spans="4:4" ht="15.75" customHeight="1" x14ac:dyDescent="0.3">
      <c r="D605" s="2"/>
    </row>
    <row r="606" spans="4:4" ht="15.75" customHeight="1" x14ac:dyDescent="0.3">
      <c r="D606" s="2"/>
    </row>
    <row r="607" spans="4:4" ht="15.75" customHeight="1" x14ac:dyDescent="0.3">
      <c r="D607" s="2"/>
    </row>
    <row r="608" spans="4:4" ht="15.75" customHeight="1" x14ac:dyDescent="0.3">
      <c r="D608" s="2"/>
    </row>
    <row r="609" spans="4:4" ht="15.75" customHeight="1" x14ac:dyDescent="0.3">
      <c r="D609" s="2"/>
    </row>
    <row r="610" spans="4:4" ht="15.75" customHeight="1" x14ac:dyDescent="0.3">
      <c r="D610" s="2"/>
    </row>
    <row r="611" spans="4:4" ht="15.75" customHeight="1" x14ac:dyDescent="0.3">
      <c r="D611" s="2"/>
    </row>
    <row r="612" spans="4:4" ht="15.75" customHeight="1" x14ac:dyDescent="0.3">
      <c r="D612" s="2"/>
    </row>
    <row r="613" spans="4:4" ht="15.75" customHeight="1" x14ac:dyDescent="0.3">
      <c r="D613" s="2"/>
    </row>
    <row r="614" spans="4:4" ht="15.75" customHeight="1" x14ac:dyDescent="0.3">
      <c r="D614" s="2"/>
    </row>
    <row r="615" spans="4:4" ht="15.75" customHeight="1" x14ac:dyDescent="0.3">
      <c r="D615" s="2"/>
    </row>
    <row r="616" spans="4:4" ht="15.75" customHeight="1" x14ac:dyDescent="0.3">
      <c r="D616" s="2"/>
    </row>
    <row r="617" spans="4:4" ht="15.75" customHeight="1" x14ac:dyDescent="0.3">
      <c r="D617" s="2"/>
    </row>
    <row r="618" spans="4:4" ht="15.75" customHeight="1" x14ac:dyDescent="0.3">
      <c r="D618" s="2"/>
    </row>
    <row r="619" spans="4:4" ht="15.75" customHeight="1" x14ac:dyDescent="0.3">
      <c r="D619" s="2"/>
    </row>
    <row r="620" spans="4:4" ht="15.75" customHeight="1" x14ac:dyDescent="0.3">
      <c r="D620" s="2"/>
    </row>
    <row r="621" spans="4:4" ht="15.75" customHeight="1" x14ac:dyDescent="0.3">
      <c r="D621" s="2"/>
    </row>
    <row r="622" spans="4:4" ht="15.75" customHeight="1" x14ac:dyDescent="0.3">
      <c r="D622" s="2"/>
    </row>
    <row r="623" spans="4:4" ht="15.75" customHeight="1" x14ac:dyDescent="0.3">
      <c r="D623" s="2"/>
    </row>
    <row r="624" spans="4:4" ht="15.75" customHeight="1" x14ac:dyDescent="0.3">
      <c r="D624" s="2"/>
    </row>
    <row r="625" spans="4:4" ht="15.75" customHeight="1" x14ac:dyDescent="0.3">
      <c r="D625" s="2"/>
    </row>
    <row r="626" spans="4:4" ht="15.75" customHeight="1" x14ac:dyDescent="0.3">
      <c r="D626" s="2"/>
    </row>
    <row r="627" spans="4:4" ht="15.75" customHeight="1" x14ac:dyDescent="0.3">
      <c r="D627" s="2"/>
    </row>
    <row r="628" spans="4:4" ht="15.75" customHeight="1" x14ac:dyDescent="0.3">
      <c r="D628" s="2"/>
    </row>
    <row r="629" spans="4:4" ht="15.75" customHeight="1" x14ac:dyDescent="0.3">
      <c r="D629" s="2"/>
    </row>
    <row r="630" spans="4:4" ht="15.75" customHeight="1" x14ac:dyDescent="0.3">
      <c r="D630" s="2"/>
    </row>
    <row r="631" spans="4:4" ht="15.75" customHeight="1" x14ac:dyDescent="0.3">
      <c r="D631" s="2"/>
    </row>
    <row r="632" spans="4:4" ht="15.75" customHeight="1" x14ac:dyDescent="0.3">
      <c r="D632" s="2"/>
    </row>
    <row r="633" spans="4:4" ht="15.75" customHeight="1" x14ac:dyDescent="0.3">
      <c r="D633" s="2"/>
    </row>
    <row r="634" spans="4:4" ht="15.75" customHeight="1" x14ac:dyDescent="0.3">
      <c r="D634" s="2"/>
    </row>
    <row r="635" spans="4:4" ht="15.75" customHeight="1" x14ac:dyDescent="0.3">
      <c r="D635" s="2"/>
    </row>
    <row r="636" spans="4:4" ht="15.75" customHeight="1" x14ac:dyDescent="0.3">
      <c r="D636" s="2"/>
    </row>
    <row r="637" spans="4:4" ht="15.75" customHeight="1" x14ac:dyDescent="0.3">
      <c r="D637" s="2"/>
    </row>
    <row r="638" spans="4:4" ht="15.75" customHeight="1" x14ac:dyDescent="0.3">
      <c r="D638" s="2"/>
    </row>
    <row r="639" spans="4:4" ht="15.75" customHeight="1" x14ac:dyDescent="0.3">
      <c r="D639" s="2"/>
    </row>
    <row r="640" spans="4:4" ht="15.75" customHeight="1" x14ac:dyDescent="0.3">
      <c r="D640" s="2"/>
    </row>
    <row r="641" spans="4:4" ht="15.75" customHeight="1" x14ac:dyDescent="0.3">
      <c r="D641" s="2"/>
    </row>
    <row r="642" spans="4:4" ht="15.75" customHeight="1" x14ac:dyDescent="0.3">
      <c r="D642" s="2"/>
    </row>
    <row r="643" spans="4:4" ht="15.75" customHeight="1" x14ac:dyDescent="0.3">
      <c r="D643" s="2"/>
    </row>
    <row r="644" spans="4:4" ht="15.75" customHeight="1" x14ac:dyDescent="0.3">
      <c r="D644" s="2"/>
    </row>
    <row r="645" spans="4:4" ht="15.75" customHeight="1" x14ac:dyDescent="0.3">
      <c r="D645" s="2"/>
    </row>
    <row r="646" spans="4:4" ht="15.75" customHeight="1" x14ac:dyDescent="0.3">
      <c r="D646" s="2"/>
    </row>
    <row r="647" spans="4:4" ht="15.75" customHeight="1" x14ac:dyDescent="0.3">
      <c r="D647" s="2"/>
    </row>
    <row r="648" spans="4:4" ht="15.75" customHeight="1" x14ac:dyDescent="0.3">
      <c r="D648" s="2"/>
    </row>
    <row r="649" spans="4:4" ht="15.75" customHeight="1" x14ac:dyDescent="0.3">
      <c r="D649" s="2"/>
    </row>
    <row r="650" spans="4:4" ht="15.75" customHeight="1" x14ac:dyDescent="0.3">
      <c r="D650" s="2"/>
    </row>
    <row r="651" spans="4:4" ht="15.75" customHeight="1" x14ac:dyDescent="0.3">
      <c r="D651" s="2"/>
    </row>
    <row r="652" spans="4:4" ht="15.75" customHeight="1" x14ac:dyDescent="0.3">
      <c r="D652" s="2"/>
    </row>
    <row r="653" spans="4:4" ht="15.75" customHeight="1" x14ac:dyDescent="0.3">
      <c r="D653" s="2"/>
    </row>
    <row r="654" spans="4:4" ht="15.75" customHeight="1" x14ac:dyDescent="0.3">
      <c r="D654" s="2"/>
    </row>
    <row r="655" spans="4:4" ht="15.75" customHeight="1" x14ac:dyDescent="0.3">
      <c r="D655" s="2"/>
    </row>
    <row r="656" spans="4:4" ht="15.75" customHeight="1" x14ac:dyDescent="0.3">
      <c r="D656" s="2"/>
    </row>
    <row r="657" spans="4:4" ht="15.75" customHeight="1" x14ac:dyDescent="0.3">
      <c r="D657" s="2"/>
    </row>
    <row r="658" spans="4:4" ht="15.75" customHeight="1" x14ac:dyDescent="0.3">
      <c r="D658" s="2"/>
    </row>
    <row r="659" spans="4:4" ht="15.75" customHeight="1" x14ac:dyDescent="0.3">
      <c r="D659" s="2"/>
    </row>
    <row r="660" spans="4:4" ht="15.75" customHeight="1" x14ac:dyDescent="0.3">
      <c r="D660" s="2"/>
    </row>
    <row r="661" spans="4:4" ht="15.75" customHeight="1" x14ac:dyDescent="0.3">
      <c r="D661" s="2"/>
    </row>
    <row r="662" spans="4:4" ht="15.75" customHeight="1" x14ac:dyDescent="0.3">
      <c r="D662" s="2"/>
    </row>
    <row r="663" spans="4:4" ht="15.75" customHeight="1" x14ac:dyDescent="0.3">
      <c r="D663" s="2"/>
    </row>
    <row r="664" spans="4:4" ht="15.75" customHeight="1" x14ac:dyDescent="0.3">
      <c r="D664" s="2"/>
    </row>
    <row r="665" spans="4:4" ht="15.75" customHeight="1" x14ac:dyDescent="0.3">
      <c r="D665" s="2"/>
    </row>
    <row r="666" spans="4:4" ht="15.75" customHeight="1" x14ac:dyDescent="0.3">
      <c r="D666" s="2"/>
    </row>
    <row r="667" spans="4:4" ht="15.75" customHeight="1" x14ac:dyDescent="0.3">
      <c r="D667" s="2"/>
    </row>
    <row r="668" spans="4:4" ht="15.75" customHeight="1" x14ac:dyDescent="0.3">
      <c r="D668" s="2"/>
    </row>
    <row r="669" spans="4:4" ht="15.75" customHeight="1" x14ac:dyDescent="0.3">
      <c r="D669" s="2"/>
    </row>
    <row r="670" spans="4:4" ht="15.75" customHeight="1" x14ac:dyDescent="0.3">
      <c r="D670" s="2"/>
    </row>
    <row r="671" spans="4:4" ht="15.75" customHeight="1" x14ac:dyDescent="0.3">
      <c r="D671" s="2"/>
    </row>
    <row r="672" spans="4:4" ht="15.75" customHeight="1" x14ac:dyDescent="0.3">
      <c r="D672" s="2"/>
    </row>
    <row r="673" spans="4:4" ht="15.75" customHeight="1" x14ac:dyDescent="0.3">
      <c r="D673" s="2"/>
    </row>
    <row r="674" spans="4:4" ht="15.75" customHeight="1" x14ac:dyDescent="0.3">
      <c r="D674" s="2"/>
    </row>
    <row r="675" spans="4:4" ht="15.75" customHeight="1" x14ac:dyDescent="0.3">
      <c r="D675" s="2"/>
    </row>
    <row r="676" spans="4:4" ht="15.75" customHeight="1" x14ac:dyDescent="0.3">
      <c r="D676" s="2"/>
    </row>
    <row r="677" spans="4:4" ht="15.75" customHeight="1" x14ac:dyDescent="0.3">
      <c r="D677" s="2"/>
    </row>
    <row r="678" spans="4:4" ht="15.75" customHeight="1" x14ac:dyDescent="0.3">
      <c r="D678" s="2"/>
    </row>
    <row r="679" spans="4:4" ht="15.75" customHeight="1" x14ac:dyDescent="0.3">
      <c r="D679" s="2"/>
    </row>
    <row r="680" spans="4:4" ht="15.75" customHeight="1" x14ac:dyDescent="0.3">
      <c r="D680" s="2"/>
    </row>
    <row r="681" spans="4:4" ht="15.75" customHeight="1" x14ac:dyDescent="0.3">
      <c r="D681" s="2"/>
    </row>
    <row r="682" spans="4:4" ht="15.75" customHeight="1" x14ac:dyDescent="0.3">
      <c r="D682" s="2"/>
    </row>
    <row r="683" spans="4:4" ht="15.75" customHeight="1" x14ac:dyDescent="0.3">
      <c r="D683" s="2"/>
    </row>
    <row r="684" spans="4:4" ht="15.75" customHeight="1" x14ac:dyDescent="0.3">
      <c r="D684" s="2"/>
    </row>
    <row r="685" spans="4:4" ht="15.75" customHeight="1" x14ac:dyDescent="0.3">
      <c r="D685" s="2"/>
    </row>
    <row r="686" spans="4:4" ht="15.75" customHeight="1" x14ac:dyDescent="0.3">
      <c r="D686" s="2"/>
    </row>
    <row r="687" spans="4:4" ht="15.75" customHeight="1" x14ac:dyDescent="0.3">
      <c r="D687" s="2"/>
    </row>
    <row r="688" spans="4:4" ht="15.75" customHeight="1" x14ac:dyDescent="0.3">
      <c r="D688" s="2"/>
    </row>
    <row r="689" spans="4:4" ht="15.75" customHeight="1" x14ac:dyDescent="0.3">
      <c r="D689" s="2"/>
    </row>
    <row r="690" spans="4:4" ht="15.75" customHeight="1" x14ac:dyDescent="0.3">
      <c r="D690" s="2"/>
    </row>
    <row r="691" spans="4:4" ht="15.75" customHeight="1" x14ac:dyDescent="0.3">
      <c r="D691" s="2"/>
    </row>
    <row r="692" spans="4:4" ht="15.75" customHeight="1" x14ac:dyDescent="0.3">
      <c r="D692" s="2"/>
    </row>
    <row r="693" spans="4:4" ht="15.75" customHeight="1" x14ac:dyDescent="0.3">
      <c r="D693" s="2"/>
    </row>
    <row r="694" spans="4:4" ht="15.75" customHeight="1" x14ac:dyDescent="0.3">
      <c r="D694" s="2"/>
    </row>
    <row r="695" spans="4:4" ht="15.75" customHeight="1" x14ac:dyDescent="0.3">
      <c r="D695" s="2"/>
    </row>
    <row r="696" spans="4:4" ht="15.75" customHeight="1" x14ac:dyDescent="0.3">
      <c r="D696" s="2"/>
    </row>
    <row r="697" spans="4:4" ht="15.75" customHeight="1" x14ac:dyDescent="0.3">
      <c r="D697" s="2"/>
    </row>
    <row r="698" spans="4:4" ht="15.75" customHeight="1" x14ac:dyDescent="0.3">
      <c r="D698" s="2"/>
    </row>
    <row r="699" spans="4:4" ht="15.75" customHeight="1" x14ac:dyDescent="0.3">
      <c r="D699" s="2"/>
    </row>
    <row r="700" spans="4:4" ht="15.75" customHeight="1" x14ac:dyDescent="0.3">
      <c r="D700" s="2"/>
    </row>
    <row r="701" spans="4:4" ht="15.75" customHeight="1" x14ac:dyDescent="0.3">
      <c r="D701" s="2"/>
    </row>
    <row r="702" spans="4:4" ht="15.75" customHeight="1" x14ac:dyDescent="0.3">
      <c r="D702" s="2"/>
    </row>
    <row r="703" spans="4:4" ht="15.75" customHeight="1" x14ac:dyDescent="0.3">
      <c r="D703" s="2"/>
    </row>
    <row r="704" spans="4:4" ht="15.75" customHeight="1" x14ac:dyDescent="0.3">
      <c r="D704" s="2"/>
    </row>
    <row r="705" spans="4:4" ht="15.75" customHeight="1" x14ac:dyDescent="0.3">
      <c r="D705" s="2"/>
    </row>
    <row r="706" spans="4:4" ht="15.75" customHeight="1" x14ac:dyDescent="0.3">
      <c r="D706" s="2"/>
    </row>
    <row r="707" spans="4:4" ht="15.75" customHeight="1" x14ac:dyDescent="0.3">
      <c r="D707" s="2"/>
    </row>
    <row r="708" spans="4:4" ht="15.75" customHeight="1" x14ac:dyDescent="0.3">
      <c r="D708" s="2"/>
    </row>
    <row r="709" spans="4:4" ht="15.75" customHeight="1" x14ac:dyDescent="0.3">
      <c r="D709" s="2"/>
    </row>
    <row r="710" spans="4:4" ht="15.75" customHeight="1" x14ac:dyDescent="0.3">
      <c r="D710" s="2"/>
    </row>
    <row r="711" spans="4:4" ht="15.75" customHeight="1" x14ac:dyDescent="0.3">
      <c r="D711" s="2"/>
    </row>
    <row r="712" spans="4:4" ht="15.75" customHeight="1" x14ac:dyDescent="0.3">
      <c r="D712" s="2"/>
    </row>
    <row r="713" spans="4:4" ht="15.75" customHeight="1" x14ac:dyDescent="0.3">
      <c r="D713" s="2"/>
    </row>
    <row r="714" spans="4:4" ht="15.75" customHeight="1" x14ac:dyDescent="0.3">
      <c r="D714" s="2"/>
    </row>
    <row r="715" spans="4:4" ht="15.75" customHeight="1" x14ac:dyDescent="0.3">
      <c r="D715" s="2"/>
    </row>
    <row r="716" spans="4:4" ht="15.75" customHeight="1" x14ac:dyDescent="0.3">
      <c r="D716" s="2"/>
    </row>
    <row r="717" spans="4:4" ht="15.75" customHeight="1" x14ac:dyDescent="0.3">
      <c r="D717" s="2"/>
    </row>
    <row r="718" spans="4:4" ht="15.75" customHeight="1" x14ac:dyDescent="0.3">
      <c r="D718" s="2"/>
    </row>
    <row r="719" spans="4:4" ht="15.75" customHeight="1" x14ac:dyDescent="0.3">
      <c r="D719" s="2"/>
    </row>
    <row r="720" spans="4:4" ht="15.75" customHeight="1" x14ac:dyDescent="0.3">
      <c r="D720" s="2"/>
    </row>
    <row r="721" spans="4:4" ht="15.75" customHeight="1" x14ac:dyDescent="0.3">
      <c r="D721" s="2"/>
    </row>
    <row r="722" spans="4:4" ht="15.75" customHeight="1" x14ac:dyDescent="0.3">
      <c r="D722" s="2"/>
    </row>
    <row r="723" spans="4:4" ht="15.75" customHeight="1" x14ac:dyDescent="0.3">
      <c r="D723" s="2"/>
    </row>
    <row r="724" spans="4:4" ht="15.75" customHeight="1" x14ac:dyDescent="0.3">
      <c r="D724" s="2"/>
    </row>
    <row r="725" spans="4:4" ht="15.75" customHeight="1" x14ac:dyDescent="0.3">
      <c r="D725" s="2"/>
    </row>
    <row r="726" spans="4:4" ht="15.75" customHeight="1" x14ac:dyDescent="0.3">
      <c r="D726" s="2"/>
    </row>
    <row r="727" spans="4:4" ht="15.75" customHeight="1" x14ac:dyDescent="0.3">
      <c r="D727" s="2"/>
    </row>
    <row r="728" spans="4:4" ht="15.75" customHeight="1" x14ac:dyDescent="0.3">
      <c r="D728" s="2"/>
    </row>
    <row r="729" spans="4:4" ht="15.75" customHeight="1" x14ac:dyDescent="0.3">
      <c r="D729" s="2"/>
    </row>
    <row r="730" spans="4:4" ht="15.75" customHeight="1" x14ac:dyDescent="0.3">
      <c r="D730" s="2"/>
    </row>
    <row r="731" spans="4:4" ht="15.75" customHeight="1" x14ac:dyDescent="0.3">
      <c r="D731" s="2"/>
    </row>
    <row r="732" spans="4:4" ht="15.75" customHeight="1" x14ac:dyDescent="0.3">
      <c r="D732" s="2"/>
    </row>
    <row r="733" spans="4:4" ht="15.75" customHeight="1" x14ac:dyDescent="0.3">
      <c r="D733" s="2"/>
    </row>
    <row r="734" spans="4:4" ht="15.75" customHeight="1" x14ac:dyDescent="0.3">
      <c r="D734" s="2"/>
    </row>
    <row r="735" spans="4:4" ht="15.75" customHeight="1" x14ac:dyDescent="0.3">
      <c r="D735" s="2"/>
    </row>
    <row r="736" spans="4:4" ht="15.75" customHeight="1" x14ac:dyDescent="0.3">
      <c r="D736" s="2"/>
    </row>
    <row r="737" spans="4:4" ht="15.75" customHeight="1" x14ac:dyDescent="0.3">
      <c r="D737" s="2"/>
    </row>
    <row r="738" spans="4:4" ht="15.75" customHeight="1" x14ac:dyDescent="0.3">
      <c r="D738" s="2"/>
    </row>
    <row r="739" spans="4:4" ht="15.75" customHeight="1" x14ac:dyDescent="0.3">
      <c r="D739" s="2"/>
    </row>
    <row r="740" spans="4:4" ht="15.75" customHeight="1" x14ac:dyDescent="0.3">
      <c r="D740" s="2"/>
    </row>
    <row r="741" spans="4:4" ht="15.75" customHeight="1" x14ac:dyDescent="0.3">
      <c r="D741" s="2"/>
    </row>
    <row r="742" spans="4:4" ht="15.75" customHeight="1" x14ac:dyDescent="0.3">
      <c r="D742" s="2"/>
    </row>
    <row r="743" spans="4:4" ht="15.75" customHeight="1" x14ac:dyDescent="0.3">
      <c r="D743" s="2"/>
    </row>
    <row r="744" spans="4:4" ht="15.75" customHeight="1" x14ac:dyDescent="0.3">
      <c r="D744" s="2"/>
    </row>
    <row r="745" spans="4:4" ht="15.75" customHeight="1" x14ac:dyDescent="0.3">
      <c r="D745" s="2"/>
    </row>
    <row r="746" spans="4:4" ht="15.75" customHeight="1" x14ac:dyDescent="0.3">
      <c r="D746" s="2"/>
    </row>
    <row r="747" spans="4:4" ht="15.75" customHeight="1" x14ac:dyDescent="0.3">
      <c r="D747" s="2"/>
    </row>
    <row r="748" spans="4:4" ht="15.75" customHeight="1" x14ac:dyDescent="0.3">
      <c r="D748" s="2"/>
    </row>
    <row r="749" spans="4:4" ht="15.75" customHeight="1" x14ac:dyDescent="0.3">
      <c r="D749" s="2"/>
    </row>
    <row r="750" spans="4:4" ht="15.75" customHeight="1" x14ac:dyDescent="0.3">
      <c r="D750" s="2"/>
    </row>
    <row r="751" spans="4:4" ht="15.75" customHeight="1" x14ac:dyDescent="0.3">
      <c r="D751" s="2"/>
    </row>
    <row r="752" spans="4:4" ht="15.75" customHeight="1" x14ac:dyDescent="0.3">
      <c r="D752" s="2"/>
    </row>
    <row r="753" spans="4:4" ht="15.75" customHeight="1" x14ac:dyDescent="0.3">
      <c r="D753" s="2"/>
    </row>
    <row r="754" spans="4:4" ht="15.75" customHeight="1" x14ac:dyDescent="0.3">
      <c r="D754" s="2"/>
    </row>
    <row r="755" spans="4:4" ht="15.75" customHeight="1" x14ac:dyDescent="0.3">
      <c r="D755" s="2"/>
    </row>
    <row r="756" spans="4:4" ht="15.75" customHeight="1" x14ac:dyDescent="0.3">
      <c r="D756" s="2"/>
    </row>
    <row r="757" spans="4:4" ht="15.75" customHeight="1" x14ac:dyDescent="0.3">
      <c r="D757" s="2"/>
    </row>
    <row r="758" spans="4:4" ht="15.75" customHeight="1" x14ac:dyDescent="0.3">
      <c r="D758" s="2"/>
    </row>
    <row r="759" spans="4:4" ht="15.75" customHeight="1" x14ac:dyDescent="0.3">
      <c r="D759" s="2"/>
    </row>
    <row r="760" spans="4:4" ht="15.75" customHeight="1" x14ac:dyDescent="0.3">
      <c r="D760" s="2"/>
    </row>
    <row r="761" spans="4:4" ht="15.75" customHeight="1" x14ac:dyDescent="0.3">
      <c r="D761" s="2"/>
    </row>
    <row r="762" spans="4:4" ht="15.75" customHeight="1" x14ac:dyDescent="0.3">
      <c r="D762" s="2"/>
    </row>
    <row r="763" spans="4:4" ht="15.75" customHeight="1" x14ac:dyDescent="0.3">
      <c r="D763" s="2"/>
    </row>
    <row r="764" spans="4:4" ht="15.75" customHeight="1" x14ac:dyDescent="0.3">
      <c r="D764" s="2"/>
    </row>
    <row r="765" spans="4:4" ht="15.75" customHeight="1" x14ac:dyDescent="0.3">
      <c r="D765" s="2"/>
    </row>
    <row r="766" spans="4:4" ht="15.75" customHeight="1" x14ac:dyDescent="0.3">
      <c r="D766" s="2"/>
    </row>
    <row r="767" spans="4:4" ht="15.75" customHeight="1" x14ac:dyDescent="0.3">
      <c r="D767" s="2"/>
    </row>
    <row r="768" spans="4:4" ht="15.75" customHeight="1" x14ac:dyDescent="0.3">
      <c r="D768" s="2"/>
    </row>
    <row r="769" spans="4:4" ht="15.75" customHeight="1" x14ac:dyDescent="0.3">
      <c r="D769" s="2"/>
    </row>
    <row r="770" spans="4:4" ht="15.75" customHeight="1" x14ac:dyDescent="0.3">
      <c r="D770" s="2"/>
    </row>
    <row r="771" spans="4:4" ht="15.75" customHeight="1" x14ac:dyDescent="0.3">
      <c r="D771" s="2"/>
    </row>
    <row r="772" spans="4:4" ht="15.75" customHeight="1" x14ac:dyDescent="0.3">
      <c r="D772" s="2"/>
    </row>
    <row r="773" spans="4:4" ht="15.75" customHeight="1" x14ac:dyDescent="0.3">
      <c r="D773" s="2"/>
    </row>
    <row r="774" spans="4:4" ht="15.75" customHeight="1" x14ac:dyDescent="0.3">
      <c r="D774" s="2"/>
    </row>
    <row r="775" spans="4:4" ht="15.75" customHeight="1" x14ac:dyDescent="0.3">
      <c r="D775" s="2"/>
    </row>
    <row r="776" spans="4:4" ht="15.75" customHeight="1" x14ac:dyDescent="0.3">
      <c r="D776" s="2"/>
    </row>
    <row r="777" spans="4:4" ht="15.75" customHeight="1" x14ac:dyDescent="0.3">
      <c r="D777" s="2"/>
    </row>
    <row r="778" spans="4:4" ht="15.75" customHeight="1" x14ac:dyDescent="0.3">
      <c r="D778" s="2"/>
    </row>
    <row r="779" spans="4:4" ht="15.75" customHeight="1" x14ac:dyDescent="0.3">
      <c r="D779" s="2"/>
    </row>
    <row r="780" spans="4:4" ht="15.75" customHeight="1" x14ac:dyDescent="0.3">
      <c r="D780" s="2"/>
    </row>
    <row r="781" spans="4:4" ht="15.75" customHeight="1" x14ac:dyDescent="0.3">
      <c r="D781" s="2"/>
    </row>
    <row r="782" spans="4:4" ht="15.75" customHeight="1" x14ac:dyDescent="0.3">
      <c r="D782" s="2"/>
    </row>
    <row r="783" spans="4:4" ht="15.75" customHeight="1" x14ac:dyDescent="0.3">
      <c r="D783" s="2"/>
    </row>
    <row r="784" spans="4:4" ht="15.75" customHeight="1" x14ac:dyDescent="0.3">
      <c r="D784" s="2"/>
    </row>
    <row r="785" spans="4:4" ht="15.75" customHeight="1" x14ac:dyDescent="0.3">
      <c r="D785" s="2"/>
    </row>
    <row r="786" spans="4:4" ht="15.75" customHeight="1" x14ac:dyDescent="0.3">
      <c r="D786" s="2"/>
    </row>
    <row r="787" spans="4:4" ht="15.75" customHeight="1" x14ac:dyDescent="0.3">
      <c r="D787" s="2"/>
    </row>
    <row r="788" spans="4:4" ht="15.75" customHeight="1" x14ac:dyDescent="0.3">
      <c r="D788" s="2"/>
    </row>
    <row r="789" spans="4:4" ht="15.75" customHeight="1" x14ac:dyDescent="0.3">
      <c r="D789" s="2"/>
    </row>
    <row r="790" spans="4:4" ht="15.75" customHeight="1" x14ac:dyDescent="0.3">
      <c r="D790" s="2"/>
    </row>
    <row r="791" spans="4:4" ht="15.75" customHeight="1" x14ac:dyDescent="0.3">
      <c r="D791" s="2"/>
    </row>
    <row r="792" spans="4:4" ht="15.75" customHeight="1" x14ac:dyDescent="0.3">
      <c r="D792" s="2"/>
    </row>
    <row r="793" spans="4:4" ht="15.75" customHeight="1" x14ac:dyDescent="0.3">
      <c r="D793" s="2"/>
    </row>
    <row r="794" spans="4:4" ht="15.75" customHeight="1" x14ac:dyDescent="0.3">
      <c r="D794" s="2"/>
    </row>
    <row r="795" spans="4:4" ht="15.75" customHeight="1" x14ac:dyDescent="0.3">
      <c r="D795" s="2"/>
    </row>
    <row r="796" spans="4:4" ht="15.75" customHeight="1" x14ac:dyDescent="0.3">
      <c r="D796" s="2"/>
    </row>
    <row r="797" spans="4:4" ht="15.75" customHeight="1" x14ac:dyDescent="0.3">
      <c r="D797" s="2"/>
    </row>
    <row r="798" spans="4:4" ht="15.75" customHeight="1" x14ac:dyDescent="0.3">
      <c r="D798" s="2"/>
    </row>
    <row r="799" spans="4:4" ht="15.75" customHeight="1" x14ac:dyDescent="0.3">
      <c r="D799" s="2"/>
    </row>
    <row r="800" spans="4:4" ht="15.75" customHeight="1" x14ac:dyDescent="0.3">
      <c r="D800" s="2"/>
    </row>
    <row r="801" spans="4:4" ht="15.75" customHeight="1" x14ac:dyDescent="0.3">
      <c r="D801" s="2"/>
    </row>
    <row r="802" spans="4:4" ht="15.75" customHeight="1" x14ac:dyDescent="0.3">
      <c r="D802" s="2"/>
    </row>
    <row r="803" spans="4:4" ht="15.75" customHeight="1" x14ac:dyDescent="0.3">
      <c r="D803" s="2"/>
    </row>
    <row r="804" spans="4:4" ht="15.75" customHeight="1" x14ac:dyDescent="0.3">
      <c r="D804" s="2"/>
    </row>
    <row r="805" spans="4:4" ht="15.75" customHeight="1" x14ac:dyDescent="0.3">
      <c r="D805" s="2"/>
    </row>
    <row r="806" spans="4:4" ht="15.75" customHeight="1" x14ac:dyDescent="0.3">
      <c r="D806" s="2"/>
    </row>
    <row r="807" spans="4:4" ht="15.75" customHeight="1" x14ac:dyDescent="0.3">
      <c r="D807" s="2"/>
    </row>
    <row r="808" spans="4:4" ht="15.75" customHeight="1" x14ac:dyDescent="0.3">
      <c r="D808" s="2"/>
    </row>
    <row r="809" spans="4:4" ht="15.75" customHeight="1" x14ac:dyDescent="0.3">
      <c r="D809" s="2"/>
    </row>
    <row r="810" spans="4:4" ht="15.75" customHeight="1" x14ac:dyDescent="0.3">
      <c r="D810" s="2"/>
    </row>
    <row r="811" spans="4:4" ht="15.75" customHeight="1" x14ac:dyDescent="0.3">
      <c r="D811" s="2"/>
    </row>
    <row r="812" spans="4:4" ht="15.75" customHeight="1" x14ac:dyDescent="0.3">
      <c r="D812" s="2"/>
    </row>
    <row r="813" spans="4:4" ht="15.75" customHeight="1" x14ac:dyDescent="0.3">
      <c r="D813" s="2"/>
    </row>
    <row r="814" spans="4:4" ht="15.75" customHeight="1" x14ac:dyDescent="0.3">
      <c r="D814" s="2"/>
    </row>
    <row r="815" spans="4:4" ht="15.75" customHeight="1" x14ac:dyDescent="0.3">
      <c r="D815" s="2"/>
    </row>
    <row r="816" spans="4:4" ht="15.75" customHeight="1" x14ac:dyDescent="0.3">
      <c r="D816" s="2"/>
    </row>
    <row r="817" spans="4:4" ht="15.75" customHeight="1" x14ac:dyDescent="0.3">
      <c r="D817" s="2"/>
    </row>
    <row r="818" spans="4:4" ht="15.75" customHeight="1" x14ac:dyDescent="0.3">
      <c r="D818" s="2"/>
    </row>
    <row r="819" spans="4:4" ht="15.75" customHeight="1" x14ac:dyDescent="0.3">
      <c r="D819" s="2"/>
    </row>
    <row r="820" spans="4:4" ht="15.75" customHeight="1" x14ac:dyDescent="0.3">
      <c r="D820" s="2"/>
    </row>
    <row r="821" spans="4:4" ht="15.75" customHeight="1" x14ac:dyDescent="0.3">
      <c r="D821" s="2"/>
    </row>
    <row r="822" spans="4:4" ht="15.75" customHeight="1" x14ac:dyDescent="0.3">
      <c r="D822" s="2"/>
    </row>
    <row r="823" spans="4:4" ht="15.75" customHeight="1" x14ac:dyDescent="0.3">
      <c r="D823" s="2"/>
    </row>
    <row r="824" spans="4:4" ht="15.75" customHeight="1" x14ac:dyDescent="0.3">
      <c r="D824" s="2"/>
    </row>
    <row r="825" spans="4:4" ht="15.75" customHeight="1" x14ac:dyDescent="0.3">
      <c r="D825" s="2"/>
    </row>
    <row r="826" spans="4:4" ht="15.75" customHeight="1" x14ac:dyDescent="0.3">
      <c r="D826" s="2"/>
    </row>
    <row r="827" spans="4:4" ht="15.75" customHeight="1" x14ac:dyDescent="0.3">
      <c r="D827" s="2"/>
    </row>
    <row r="828" spans="4:4" ht="15.75" customHeight="1" x14ac:dyDescent="0.3">
      <c r="D828" s="2"/>
    </row>
    <row r="829" spans="4:4" ht="15.75" customHeight="1" x14ac:dyDescent="0.3">
      <c r="D829" s="2"/>
    </row>
    <row r="830" spans="4:4" ht="15.75" customHeight="1" x14ac:dyDescent="0.3">
      <c r="D830" s="2"/>
    </row>
    <row r="831" spans="4:4" ht="15.75" customHeight="1" x14ac:dyDescent="0.3">
      <c r="D831" s="2"/>
    </row>
    <row r="832" spans="4:4" ht="15.75" customHeight="1" x14ac:dyDescent="0.3">
      <c r="D832" s="2"/>
    </row>
    <row r="833" spans="4:4" ht="15.75" customHeight="1" x14ac:dyDescent="0.3">
      <c r="D833" s="2"/>
    </row>
    <row r="834" spans="4:4" ht="15.75" customHeight="1" x14ac:dyDescent="0.3">
      <c r="D834" s="2"/>
    </row>
    <row r="835" spans="4:4" ht="15.75" customHeight="1" x14ac:dyDescent="0.3">
      <c r="D835" s="2"/>
    </row>
    <row r="836" spans="4:4" ht="15.75" customHeight="1" x14ac:dyDescent="0.3">
      <c r="D836" s="2"/>
    </row>
    <row r="837" spans="4:4" ht="15.75" customHeight="1" x14ac:dyDescent="0.3">
      <c r="D837" s="2"/>
    </row>
    <row r="838" spans="4:4" ht="15.75" customHeight="1" x14ac:dyDescent="0.3">
      <c r="D838" s="2"/>
    </row>
    <row r="839" spans="4:4" ht="15.75" customHeight="1" x14ac:dyDescent="0.3">
      <c r="D839" s="2"/>
    </row>
    <row r="840" spans="4:4" ht="15.75" customHeight="1" x14ac:dyDescent="0.3">
      <c r="D840" s="2"/>
    </row>
    <row r="841" spans="4:4" ht="15.75" customHeight="1" x14ac:dyDescent="0.3">
      <c r="D841" s="2"/>
    </row>
    <row r="842" spans="4:4" ht="15.75" customHeight="1" x14ac:dyDescent="0.3">
      <c r="D842" s="2"/>
    </row>
    <row r="843" spans="4:4" ht="15.75" customHeight="1" x14ac:dyDescent="0.3">
      <c r="D843" s="2"/>
    </row>
    <row r="844" spans="4:4" ht="15.75" customHeight="1" x14ac:dyDescent="0.3">
      <c r="D844" s="2"/>
    </row>
    <row r="845" spans="4:4" ht="15.75" customHeight="1" x14ac:dyDescent="0.3">
      <c r="D845" s="2"/>
    </row>
    <row r="846" spans="4:4" ht="15.75" customHeight="1" x14ac:dyDescent="0.3">
      <c r="D846" s="2"/>
    </row>
    <row r="847" spans="4:4" ht="15.75" customHeight="1" x14ac:dyDescent="0.3">
      <c r="D847" s="2"/>
    </row>
    <row r="848" spans="4:4" ht="15.75" customHeight="1" x14ac:dyDescent="0.3">
      <c r="D848" s="2"/>
    </row>
    <row r="849" spans="4:4" ht="15.75" customHeight="1" x14ac:dyDescent="0.3">
      <c r="D849" s="2"/>
    </row>
    <row r="850" spans="4:4" ht="15.75" customHeight="1" x14ac:dyDescent="0.3">
      <c r="D850" s="2"/>
    </row>
    <row r="851" spans="4:4" ht="15.75" customHeight="1" x14ac:dyDescent="0.3">
      <c r="D851" s="2"/>
    </row>
    <row r="852" spans="4:4" ht="15.75" customHeight="1" x14ac:dyDescent="0.3">
      <c r="D852" s="2"/>
    </row>
    <row r="853" spans="4:4" ht="15.75" customHeight="1" x14ac:dyDescent="0.3">
      <c r="D853" s="2"/>
    </row>
    <row r="854" spans="4:4" ht="15.75" customHeight="1" x14ac:dyDescent="0.3">
      <c r="D854" s="2"/>
    </row>
    <row r="855" spans="4:4" ht="15.75" customHeight="1" x14ac:dyDescent="0.3">
      <c r="D855" s="2"/>
    </row>
    <row r="856" spans="4:4" ht="15.75" customHeight="1" x14ac:dyDescent="0.3">
      <c r="D856" s="2"/>
    </row>
    <row r="857" spans="4:4" ht="15.75" customHeight="1" x14ac:dyDescent="0.3">
      <c r="D857" s="2"/>
    </row>
    <row r="858" spans="4:4" ht="15.75" customHeight="1" x14ac:dyDescent="0.3">
      <c r="D858" s="2"/>
    </row>
    <row r="859" spans="4:4" ht="15.75" customHeight="1" x14ac:dyDescent="0.3">
      <c r="D859" s="2"/>
    </row>
    <row r="860" spans="4:4" ht="15.75" customHeight="1" x14ac:dyDescent="0.3">
      <c r="D860" s="2"/>
    </row>
    <row r="861" spans="4:4" ht="15.75" customHeight="1" x14ac:dyDescent="0.3">
      <c r="D861" s="2"/>
    </row>
    <row r="862" spans="4:4" ht="15.75" customHeight="1" x14ac:dyDescent="0.3">
      <c r="D862" s="2"/>
    </row>
    <row r="863" spans="4:4" ht="15.75" customHeight="1" x14ac:dyDescent="0.3">
      <c r="D863" s="2"/>
    </row>
    <row r="864" spans="4:4" ht="15.75" customHeight="1" x14ac:dyDescent="0.3">
      <c r="D864" s="2"/>
    </row>
    <row r="865" spans="4:4" ht="15.75" customHeight="1" x14ac:dyDescent="0.3">
      <c r="D865" s="2"/>
    </row>
    <row r="866" spans="4:4" ht="15.75" customHeight="1" x14ac:dyDescent="0.3">
      <c r="D866" s="2"/>
    </row>
    <row r="867" spans="4:4" ht="15.75" customHeight="1" x14ac:dyDescent="0.3">
      <c r="D867" s="2"/>
    </row>
    <row r="868" spans="4:4" ht="15.75" customHeight="1" x14ac:dyDescent="0.3">
      <c r="D868" s="2"/>
    </row>
    <row r="869" spans="4:4" ht="15.75" customHeight="1" x14ac:dyDescent="0.3">
      <c r="D869" s="2"/>
    </row>
    <row r="870" spans="4:4" ht="15.75" customHeight="1" x14ac:dyDescent="0.3">
      <c r="D870" s="2"/>
    </row>
    <row r="871" spans="4:4" ht="15.75" customHeight="1" x14ac:dyDescent="0.3">
      <c r="D871" s="2"/>
    </row>
    <row r="872" spans="4:4" ht="15.75" customHeight="1" x14ac:dyDescent="0.3">
      <c r="D872" s="2"/>
    </row>
    <row r="873" spans="4:4" ht="15.75" customHeight="1" x14ac:dyDescent="0.3">
      <c r="D873" s="2"/>
    </row>
    <row r="874" spans="4:4" ht="15.75" customHeight="1" x14ac:dyDescent="0.3">
      <c r="D874" s="2"/>
    </row>
    <row r="875" spans="4:4" ht="15.75" customHeight="1" x14ac:dyDescent="0.3">
      <c r="D875" s="2"/>
    </row>
    <row r="876" spans="4:4" ht="15.75" customHeight="1" x14ac:dyDescent="0.3">
      <c r="D876" s="2"/>
    </row>
    <row r="877" spans="4:4" ht="15.75" customHeight="1" x14ac:dyDescent="0.3">
      <c r="D877" s="2"/>
    </row>
    <row r="878" spans="4:4" ht="15.75" customHeight="1" x14ac:dyDescent="0.3">
      <c r="D878" s="2"/>
    </row>
    <row r="879" spans="4:4" ht="15.75" customHeight="1" x14ac:dyDescent="0.3">
      <c r="D879" s="2"/>
    </row>
    <row r="880" spans="4:4" ht="15.75" customHeight="1" x14ac:dyDescent="0.3">
      <c r="D880" s="2"/>
    </row>
    <row r="881" spans="4:4" ht="15.75" customHeight="1" x14ac:dyDescent="0.3">
      <c r="D881" s="2"/>
    </row>
    <row r="882" spans="4:4" ht="15.75" customHeight="1" x14ac:dyDescent="0.3">
      <c r="D882" s="2"/>
    </row>
    <row r="883" spans="4:4" ht="15.75" customHeight="1" x14ac:dyDescent="0.3">
      <c r="D883" s="2"/>
    </row>
    <row r="884" spans="4:4" ht="15.75" customHeight="1" x14ac:dyDescent="0.3">
      <c r="D884" s="2"/>
    </row>
    <row r="885" spans="4:4" ht="15.75" customHeight="1" x14ac:dyDescent="0.3">
      <c r="D885" s="2"/>
    </row>
    <row r="886" spans="4:4" ht="15.75" customHeight="1" x14ac:dyDescent="0.3">
      <c r="D886" s="2"/>
    </row>
    <row r="887" spans="4:4" ht="15.75" customHeight="1" x14ac:dyDescent="0.3">
      <c r="D887" s="2"/>
    </row>
    <row r="888" spans="4:4" ht="15.75" customHeight="1" x14ac:dyDescent="0.3">
      <c r="D888" s="2"/>
    </row>
    <row r="889" spans="4:4" ht="15.75" customHeight="1" x14ac:dyDescent="0.3">
      <c r="D889" s="2"/>
    </row>
    <row r="890" spans="4:4" ht="15.75" customHeight="1" x14ac:dyDescent="0.3">
      <c r="D890" s="2"/>
    </row>
    <row r="891" spans="4:4" ht="15.75" customHeight="1" x14ac:dyDescent="0.3">
      <c r="D891" s="2"/>
    </row>
    <row r="892" spans="4:4" ht="15.75" customHeight="1" x14ac:dyDescent="0.3">
      <c r="D892" s="2"/>
    </row>
    <row r="893" spans="4:4" ht="15.75" customHeight="1" x14ac:dyDescent="0.3">
      <c r="D893" s="2"/>
    </row>
    <row r="894" spans="4:4" ht="15.75" customHeight="1" x14ac:dyDescent="0.3">
      <c r="D894" s="2"/>
    </row>
    <row r="895" spans="4:4" ht="15.75" customHeight="1" x14ac:dyDescent="0.3">
      <c r="D895" s="2"/>
    </row>
    <row r="896" spans="4:4" ht="15.75" customHeight="1" x14ac:dyDescent="0.3">
      <c r="D896" s="2"/>
    </row>
    <row r="897" spans="4:4" ht="15.75" customHeight="1" x14ac:dyDescent="0.3">
      <c r="D897" s="2"/>
    </row>
    <row r="898" spans="4:4" ht="15.75" customHeight="1" x14ac:dyDescent="0.3">
      <c r="D898" s="2"/>
    </row>
    <row r="899" spans="4:4" ht="15.75" customHeight="1" x14ac:dyDescent="0.3">
      <c r="D899" s="2"/>
    </row>
    <row r="900" spans="4:4" ht="15.75" customHeight="1" x14ac:dyDescent="0.3">
      <c r="D900" s="2"/>
    </row>
    <row r="901" spans="4:4" ht="15.75" customHeight="1" x14ac:dyDescent="0.3">
      <c r="D901" s="2"/>
    </row>
    <row r="902" spans="4:4" ht="15.75" customHeight="1" x14ac:dyDescent="0.3">
      <c r="D902" s="2"/>
    </row>
    <row r="903" spans="4:4" ht="15.75" customHeight="1" x14ac:dyDescent="0.3">
      <c r="D903" s="2"/>
    </row>
    <row r="904" spans="4:4" ht="15.75" customHeight="1" x14ac:dyDescent="0.3">
      <c r="D904" s="2"/>
    </row>
    <row r="905" spans="4:4" ht="15.75" customHeight="1" x14ac:dyDescent="0.3">
      <c r="D905" s="2"/>
    </row>
    <row r="906" spans="4:4" ht="15.75" customHeight="1" x14ac:dyDescent="0.3">
      <c r="D906" s="2"/>
    </row>
    <row r="907" spans="4:4" ht="15.75" customHeight="1" x14ac:dyDescent="0.3">
      <c r="D907" s="2"/>
    </row>
    <row r="908" spans="4:4" ht="15.75" customHeight="1" x14ac:dyDescent="0.3">
      <c r="D908" s="2"/>
    </row>
    <row r="909" spans="4:4" ht="15.75" customHeight="1" x14ac:dyDescent="0.3">
      <c r="D909" s="2"/>
    </row>
    <row r="910" spans="4:4" ht="15.75" customHeight="1" x14ac:dyDescent="0.3">
      <c r="D910" s="2"/>
    </row>
    <row r="911" spans="4:4" ht="15.75" customHeight="1" x14ac:dyDescent="0.3">
      <c r="D911" s="2"/>
    </row>
    <row r="912" spans="4:4" ht="15.75" customHeight="1" x14ac:dyDescent="0.3">
      <c r="D912" s="2"/>
    </row>
    <row r="913" spans="4:4" ht="15.75" customHeight="1" x14ac:dyDescent="0.3">
      <c r="D913" s="2"/>
    </row>
    <row r="914" spans="4:4" ht="15.75" customHeight="1" x14ac:dyDescent="0.3">
      <c r="D914" s="2"/>
    </row>
    <row r="915" spans="4:4" ht="15.75" customHeight="1" x14ac:dyDescent="0.3">
      <c r="D915" s="2"/>
    </row>
    <row r="916" spans="4:4" ht="15.75" customHeight="1" x14ac:dyDescent="0.3">
      <c r="D916" s="2"/>
    </row>
    <row r="917" spans="4:4" ht="15.75" customHeight="1" x14ac:dyDescent="0.3">
      <c r="D917" s="2"/>
    </row>
    <row r="918" spans="4:4" ht="15.75" customHeight="1" x14ac:dyDescent="0.3">
      <c r="D918" s="2"/>
    </row>
    <row r="919" spans="4:4" ht="15.75" customHeight="1" x14ac:dyDescent="0.3">
      <c r="D919" s="2"/>
    </row>
    <row r="920" spans="4:4" ht="15.75" customHeight="1" x14ac:dyDescent="0.3">
      <c r="D920" s="2"/>
    </row>
    <row r="921" spans="4:4" ht="15.75" customHeight="1" x14ac:dyDescent="0.3">
      <c r="D921" s="2"/>
    </row>
    <row r="922" spans="4:4" ht="15.75" customHeight="1" x14ac:dyDescent="0.3">
      <c r="D922" s="2"/>
    </row>
    <row r="923" spans="4:4" ht="15.75" customHeight="1" x14ac:dyDescent="0.3">
      <c r="D923" s="2"/>
    </row>
    <row r="924" spans="4:4" ht="15.75" customHeight="1" x14ac:dyDescent="0.3">
      <c r="D924" s="2"/>
    </row>
    <row r="925" spans="4:4" ht="15.75" customHeight="1" x14ac:dyDescent="0.3">
      <c r="D925" s="2"/>
    </row>
    <row r="926" spans="4:4" ht="15.75" customHeight="1" x14ac:dyDescent="0.3">
      <c r="D926" s="2"/>
    </row>
    <row r="927" spans="4:4" ht="15.75" customHeight="1" x14ac:dyDescent="0.3">
      <c r="D927" s="2"/>
    </row>
    <row r="928" spans="4:4" ht="15.75" customHeight="1" x14ac:dyDescent="0.3">
      <c r="D928" s="2"/>
    </row>
    <row r="929" spans="4:4" ht="15.75" customHeight="1" x14ac:dyDescent="0.3">
      <c r="D929" s="2"/>
    </row>
    <row r="930" spans="4:4" ht="15.75" customHeight="1" x14ac:dyDescent="0.3">
      <c r="D930" s="2"/>
    </row>
    <row r="931" spans="4:4" ht="15.75" customHeight="1" x14ac:dyDescent="0.3">
      <c r="D931" s="2"/>
    </row>
    <row r="932" spans="4:4" ht="15.75" customHeight="1" x14ac:dyDescent="0.3">
      <c r="D932" s="2"/>
    </row>
    <row r="933" spans="4:4" ht="15.75" customHeight="1" x14ac:dyDescent="0.3">
      <c r="D933" s="2"/>
    </row>
    <row r="934" spans="4:4" ht="15.75" customHeight="1" x14ac:dyDescent="0.3">
      <c r="D934" s="2"/>
    </row>
    <row r="935" spans="4:4" ht="15.75" customHeight="1" x14ac:dyDescent="0.3">
      <c r="D935" s="2"/>
    </row>
    <row r="936" spans="4:4" ht="15.75" customHeight="1" x14ac:dyDescent="0.3">
      <c r="D936" s="2"/>
    </row>
    <row r="937" spans="4:4" ht="15.75" customHeight="1" x14ac:dyDescent="0.3">
      <c r="D937" s="2"/>
    </row>
    <row r="938" spans="4:4" ht="15.75" customHeight="1" x14ac:dyDescent="0.3">
      <c r="D938" s="2"/>
    </row>
    <row r="939" spans="4:4" ht="15.75" customHeight="1" x14ac:dyDescent="0.3">
      <c r="D939" s="2"/>
    </row>
    <row r="940" spans="4:4" ht="15.75" customHeight="1" x14ac:dyDescent="0.3">
      <c r="D940" s="2"/>
    </row>
    <row r="941" spans="4:4" ht="15.75" customHeight="1" x14ac:dyDescent="0.3">
      <c r="D941" s="2"/>
    </row>
    <row r="942" spans="4:4" ht="15.75" customHeight="1" x14ac:dyDescent="0.3">
      <c r="D942" s="2"/>
    </row>
    <row r="943" spans="4:4" ht="15.75" customHeight="1" x14ac:dyDescent="0.3">
      <c r="D943" s="2"/>
    </row>
    <row r="944" spans="4:4" ht="15.75" customHeight="1" x14ac:dyDescent="0.3">
      <c r="D944" s="2"/>
    </row>
    <row r="945" spans="4:4" ht="15.75" customHeight="1" x14ac:dyDescent="0.3">
      <c r="D945" s="2"/>
    </row>
    <row r="946" spans="4:4" ht="15.75" customHeight="1" x14ac:dyDescent="0.3">
      <c r="D946" s="2"/>
    </row>
    <row r="947" spans="4:4" ht="15.75" customHeight="1" x14ac:dyDescent="0.3">
      <c r="D947" s="2"/>
    </row>
    <row r="948" spans="4:4" ht="15.75" customHeight="1" x14ac:dyDescent="0.3">
      <c r="D948" s="2"/>
    </row>
    <row r="949" spans="4:4" ht="15.75" customHeight="1" x14ac:dyDescent="0.3">
      <c r="D949" s="2"/>
    </row>
    <row r="950" spans="4:4" ht="15.75" customHeight="1" x14ac:dyDescent="0.3">
      <c r="D950" s="2"/>
    </row>
    <row r="951" spans="4:4" ht="15.75" customHeight="1" x14ac:dyDescent="0.3">
      <c r="D951" s="2"/>
    </row>
    <row r="952" spans="4:4" ht="15.75" customHeight="1" x14ac:dyDescent="0.3">
      <c r="D952" s="2"/>
    </row>
    <row r="953" spans="4:4" ht="15.75" customHeight="1" x14ac:dyDescent="0.3">
      <c r="D953" s="2"/>
    </row>
    <row r="954" spans="4:4" ht="15.75" customHeight="1" x14ac:dyDescent="0.3">
      <c r="D954" s="2"/>
    </row>
    <row r="955" spans="4:4" ht="15.75" customHeight="1" x14ac:dyDescent="0.3">
      <c r="D955" s="2"/>
    </row>
    <row r="956" spans="4:4" ht="15.75" customHeight="1" x14ac:dyDescent="0.3">
      <c r="D956" s="2"/>
    </row>
    <row r="957" spans="4:4" ht="15.75" customHeight="1" x14ac:dyDescent="0.3">
      <c r="D957" s="2"/>
    </row>
    <row r="958" spans="4:4" ht="15.75" customHeight="1" x14ac:dyDescent="0.3">
      <c r="D958" s="2"/>
    </row>
    <row r="959" spans="4:4" ht="15.75" customHeight="1" x14ac:dyDescent="0.3">
      <c r="D959" s="2"/>
    </row>
    <row r="960" spans="4:4" ht="15.75" customHeight="1" x14ac:dyDescent="0.3">
      <c r="D960" s="2"/>
    </row>
    <row r="961" spans="4:4" ht="15.75" customHeight="1" x14ac:dyDescent="0.3">
      <c r="D961" s="2"/>
    </row>
    <row r="962" spans="4:4" ht="15.75" customHeight="1" x14ac:dyDescent="0.3">
      <c r="D962" s="2"/>
    </row>
    <row r="963" spans="4:4" ht="15.75" customHeight="1" x14ac:dyDescent="0.3">
      <c r="D963" s="2"/>
    </row>
    <row r="964" spans="4:4" ht="15.75" customHeight="1" x14ac:dyDescent="0.3">
      <c r="D964" s="2"/>
    </row>
    <row r="965" spans="4:4" ht="15.75" customHeight="1" x14ac:dyDescent="0.3">
      <c r="D965" s="2"/>
    </row>
    <row r="966" spans="4:4" ht="15.75" customHeight="1" x14ac:dyDescent="0.3">
      <c r="D966" s="2"/>
    </row>
    <row r="967" spans="4:4" ht="15.75" customHeight="1" x14ac:dyDescent="0.3">
      <c r="D967" s="2"/>
    </row>
    <row r="968" spans="4:4" ht="15.75" customHeight="1" x14ac:dyDescent="0.3">
      <c r="D968" s="2"/>
    </row>
    <row r="969" spans="4:4" ht="15.75" customHeight="1" x14ac:dyDescent="0.3">
      <c r="D969" s="2"/>
    </row>
    <row r="970" spans="4:4" ht="15.75" customHeight="1" x14ac:dyDescent="0.3">
      <c r="D970" s="2"/>
    </row>
    <row r="971" spans="4:4" ht="15.75" customHeight="1" x14ac:dyDescent="0.3">
      <c r="D971" s="2"/>
    </row>
    <row r="972" spans="4:4" ht="15.75" customHeight="1" x14ac:dyDescent="0.3">
      <c r="D972" s="2"/>
    </row>
    <row r="973" spans="4:4" ht="15.75" customHeight="1" x14ac:dyDescent="0.3">
      <c r="D973" s="2"/>
    </row>
    <row r="974" spans="4:4" ht="15.75" customHeight="1" x14ac:dyDescent="0.3">
      <c r="D974" s="2"/>
    </row>
    <row r="975" spans="4:4" ht="15.75" customHeight="1" x14ac:dyDescent="0.3">
      <c r="D975" s="2"/>
    </row>
    <row r="976" spans="4:4" ht="15.75" customHeight="1" x14ac:dyDescent="0.3">
      <c r="D976" s="2"/>
    </row>
    <row r="977" spans="4:4" ht="15.75" customHeight="1" x14ac:dyDescent="0.3">
      <c r="D977" s="2"/>
    </row>
    <row r="978" spans="4:4" ht="15.75" customHeight="1" x14ac:dyDescent="0.3">
      <c r="D978" s="2"/>
    </row>
    <row r="979" spans="4:4" ht="15.75" customHeight="1" x14ac:dyDescent="0.3">
      <c r="D979" s="2"/>
    </row>
    <row r="980" spans="4:4" ht="15.75" customHeight="1" x14ac:dyDescent="0.3">
      <c r="D980" s="2"/>
    </row>
    <row r="981" spans="4:4" ht="15.75" customHeight="1" x14ac:dyDescent="0.3">
      <c r="D981" s="2"/>
    </row>
    <row r="982" spans="4:4" ht="15.75" customHeight="1" x14ac:dyDescent="0.3">
      <c r="D982" s="2"/>
    </row>
    <row r="983" spans="4:4" ht="15.75" customHeight="1" x14ac:dyDescent="0.3">
      <c r="D983" s="2"/>
    </row>
    <row r="984" spans="4:4" ht="15.75" customHeight="1" x14ac:dyDescent="0.3">
      <c r="D984" s="2"/>
    </row>
    <row r="985" spans="4:4" ht="15.75" customHeight="1" x14ac:dyDescent="0.3">
      <c r="D985" s="2"/>
    </row>
    <row r="986" spans="4:4" ht="15.75" customHeight="1" x14ac:dyDescent="0.3">
      <c r="D986" s="2"/>
    </row>
    <row r="987" spans="4:4" ht="15.75" customHeight="1" x14ac:dyDescent="0.3">
      <c r="D987" s="2"/>
    </row>
    <row r="988" spans="4:4" ht="15.75" customHeight="1" x14ac:dyDescent="0.3">
      <c r="D988" s="2"/>
    </row>
    <row r="989" spans="4:4" ht="15.75" customHeight="1" x14ac:dyDescent="0.3">
      <c r="D989" s="2"/>
    </row>
    <row r="990" spans="4:4" ht="15.75" customHeight="1" x14ac:dyDescent="0.3">
      <c r="D990" s="2"/>
    </row>
    <row r="991" spans="4:4" ht="15.75" customHeight="1" x14ac:dyDescent="0.3">
      <c r="D991" s="2"/>
    </row>
    <row r="992" spans="4:4" ht="15.75" customHeight="1" x14ac:dyDescent="0.3">
      <c r="D992" s="2"/>
    </row>
    <row r="993" spans="4:4" ht="15.75" customHeight="1" x14ac:dyDescent="0.3">
      <c r="D993" s="2"/>
    </row>
    <row r="994" spans="4:4" ht="15.75" customHeight="1" x14ac:dyDescent="0.3">
      <c r="D994" s="2"/>
    </row>
    <row r="995" spans="4:4" ht="15.75" customHeight="1" x14ac:dyDescent="0.3">
      <c r="D995" s="2"/>
    </row>
    <row r="996" spans="4:4" ht="15.75" customHeight="1" x14ac:dyDescent="0.3">
      <c r="D996" s="2"/>
    </row>
    <row r="997" spans="4:4" ht="15.75" customHeight="1" x14ac:dyDescent="0.3">
      <c r="D997" s="2"/>
    </row>
    <row r="998" spans="4:4" ht="15.75" customHeight="1" x14ac:dyDescent="0.3">
      <c r="D998" s="2"/>
    </row>
    <row r="999" spans="4:4" ht="15.75" customHeight="1" x14ac:dyDescent="0.3">
      <c r="D999" s="2"/>
    </row>
    <row r="1000" spans="4:4" ht="15.75" customHeight="1" x14ac:dyDescent="0.3">
      <c r="D1000" s="2"/>
    </row>
    <row r="1001" spans="4:4" ht="15.75" customHeight="1" x14ac:dyDescent="0.3">
      <c r="D1001" s="2"/>
    </row>
  </sheetData>
  <mergeCells count="6">
    <mergeCell ref="T12:T14"/>
    <mergeCell ref="O26:O27"/>
    <mergeCell ref="O29:O30"/>
    <mergeCell ref="O32:O33"/>
    <mergeCell ref="O35:O36"/>
    <mergeCell ref="O38:O39"/>
  </mergeCells>
  <conditionalFormatting sqref="C17:C18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21:C24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27:C44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27:E50">
    <cfRule type="colorScale" priority="8">
      <colorScale>
        <cfvo type="min"/>
        <cfvo type="max"/>
        <color rgb="FFFFFFFF"/>
        <color rgb="FF57BB8A"/>
      </colorScale>
    </cfRule>
  </conditionalFormatting>
  <conditionalFormatting sqref="E21:H24 J21:K24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27:F50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21:I24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27:I50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2:N12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6:N16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7:N17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8:N18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27:M50">
    <cfRule type="colorScale" priority="1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L21:N24">
    <cfRule type="colorScale" priority="1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Q12:S12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Q14:S14">
    <cfRule type="colorScale" priority="1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S25:S39 X25:X29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T16:T19 S20:S29 X20:X29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T25:T38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FB16-38B1-4C46-B04D-F147B0ACE3D1}">
  <sheetPr>
    <outlinePr summaryBelow="0" summaryRight="0"/>
  </sheetPr>
  <dimension ref="A1:AO1143"/>
  <sheetViews>
    <sheetView showGridLines="0" workbookViewId="0"/>
  </sheetViews>
  <sheetFormatPr defaultColWidth="14" defaultRowHeight="15" customHeight="1" x14ac:dyDescent="0.3"/>
  <cols>
    <col min="1" max="6" width="14" customWidth="1"/>
    <col min="7" max="7" width="15.44140625" customWidth="1"/>
    <col min="8" max="8" width="16.109375" customWidth="1"/>
    <col min="25" max="25" width="16.5546875" customWidth="1"/>
    <col min="26" max="26" width="17.44140625" customWidth="1"/>
    <col min="27" max="27" width="16.5546875" customWidth="1"/>
    <col min="28" max="28" width="15.5546875" customWidth="1"/>
    <col min="33" max="33" width="16" customWidth="1"/>
  </cols>
  <sheetData>
    <row r="1" spans="2:13" ht="15.75" customHeight="1" x14ac:dyDescent="0.3"/>
    <row r="2" spans="2:13" ht="15.75" customHeight="1" x14ac:dyDescent="0.3">
      <c r="B2" s="70" t="s">
        <v>138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2:13" ht="15.75" customHeight="1" x14ac:dyDescent="0.3"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5"/>
    </row>
    <row r="4" spans="2:13" ht="15.75" customHeight="1" x14ac:dyDescent="0.3"/>
    <row r="5" spans="2:13" ht="15.75" customHeight="1" x14ac:dyDescent="0.3">
      <c r="B5" s="76" t="s">
        <v>139</v>
      </c>
      <c r="C5" s="76" t="s">
        <v>140</v>
      </c>
      <c r="F5" s="77" t="s">
        <v>141</v>
      </c>
      <c r="G5" s="77" t="s">
        <v>142</v>
      </c>
      <c r="H5" s="77" t="s">
        <v>26</v>
      </c>
      <c r="K5" s="77" t="s">
        <v>0</v>
      </c>
      <c r="L5" s="77" t="s">
        <v>143</v>
      </c>
      <c r="M5" s="77" t="s">
        <v>144</v>
      </c>
    </row>
    <row r="6" spans="2:13" ht="15.75" customHeight="1" x14ac:dyDescent="0.3">
      <c r="B6" s="9" t="s">
        <v>141</v>
      </c>
      <c r="C6" s="9">
        <v>1.9</v>
      </c>
      <c r="F6" s="78" t="s">
        <v>145</v>
      </c>
      <c r="G6" s="78">
        <v>96000</v>
      </c>
      <c r="K6" s="78" t="s">
        <v>107</v>
      </c>
      <c r="L6" s="79">
        <v>0.69</v>
      </c>
      <c r="M6" s="80">
        <v>0.31</v>
      </c>
    </row>
    <row r="7" spans="2:13" ht="15.75" customHeight="1" thickBot="1" x14ac:dyDescent="0.35">
      <c r="B7" s="9" t="s">
        <v>146</v>
      </c>
      <c r="C7" s="9">
        <v>3.2</v>
      </c>
      <c r="F7" s="78" t="s">
        <v>147</v>
      </c>
      <c r="G7" s="78">
        <v>66000</v>
      </c>
      <c r="K7" s="81" t="s">
        <v>148</v>
      </c>
      <c r="L7" s="82">
        <v>0.62</v>
      </c>
      <c r="M7" s="83">
        <v>0.38</v>
      </c>
    </row>
    <row r="8" spans="2:13" ht="15.75" customHeight="1" thickTop="1" thickBot="1" x14ac:dyDescent="0.35">
      <c r="B8" s="84" t="s">
        <v>149</v>
      </c>
      <c r="C8" s="84">
        <v>6.5</v>
      </c>
      <c r="F8" s="78" t="s">
        <v>150</v>
      </c>
      <c r="G8" s="78">
        <v>93000</v>
      </c>
    </row>
    <row r="9" spans="2:13" ht="15.75" customHeight="1" thickTop="1" thickBot="1" x14ac:dyDescent="0.35">
      <c r="F9" s="81" t="s">
        <v>151</v>
      </c>
      <c r="G9" s="81">
        <v>141500</v>
      </c>
      <c r="H9" s="83">
        <f>(G9/G8)^(1/3)-1</f>
        <v>0.15015886308022086</v>
      </c>
    </row>
    <row r="10" spans="2:13" ht="15.75" customHeight="1" thickTop="1" x14ac:dyDescent="0.3"/>
    <row r="11" spans="2:13" ht="15.75" customHeight="1" x14ac:dyDescent="0.3"/>
    <row r="12" spans="2:13" ht="15.75" customHeight="1" x14ac:dyDescent="0.3"/>
    <row r="13" spans="2:13" ht="15.75" customHeight="1" x14ac:dyDescent="0.3"/>
    <row r="14" spans="2:13" ht="15.75" customHeight="1" x14ac:dyDescent="0.3"/>
    <row r="15" spans="2:13" ht="15.75" customHeight="1" x14ac:dyDescent="0.3"/>
    <row r="16" spans="2:13" ht="15.75" customHeight="1" x14ac:dyDescent="0.3"/>
    <row r="17" spans="1:11" ht="15.75" customHeight="1" x14ac:dyDescent="0.3"/>
    <row r="18" spans="1:11" ht="15.75" customHeight="1" x14ac:dyDescent="0.3"/>
    <row r="19" spans="1:11" ht="15.75" customHeight="1" x14ac:dyDescent="0.3"/>
    <row r="20" spans="1:11" ht="15.75" customHeight="1" x14ac:dyDescent="0.3">
      <c r="A20" s="85" t="s">
        <v>152</v>
      </c>
      <c r="B20" s="76" t="s">
        <v>4</v>
      </c>
      <c r="C20" s="76" t="s">
        <v>153</v>
      </c>
      <c r="F20" s="76" t="s">
        <v>4</v>
      </c>
      <c r="G20" s="76" t="s">
        <v>154</v>
      </c>
      <c r="J20" s="76" t="s">
        <v>4</v>
      </c>
      <c r="K20" s="76" t="s">
        <v>155</v>
      </c>
    </row>
    <row r="21" spans="1:11" ht="15.75" customHeight="1" x14ac:dyDescent="0.3">
      <c r="B21" s="86" t="s">
        <v>156</v>
      </c>
      <c r="C21" s="55">
        <v>30670.647120000001</v>
      </c>
      <c r="F21" s="86" t="s">
        <v>156</v>
      </c>
      <c r="G21" s="87">
        <v>2127</v>
      </c>
      <c r="J21" s="86" t="s">
        <v>156</v>
      </c>
      <c r="K21" s="87">
        <v>365</v>
      </c>
    </row>
    <row r="22" spans="1:11" ht="15.75" customHeight="1" x14ac:dyDescent="0.3">
      <c r="B22" s="86" t="s">
        <v>24</v>
      </c>
      <c r="C22" s="55">
        <v>20874.737613599998</v>
      </c>
      <c r="F22" s="86" t="s">
        <v>24</v>
      </c>
      <c r="G22" s="87">
        <v>2783</v>
      </c>
      <c r="J22" s="86" t="s">
        <v>24</v>
      </c>
      <c r="K22" s="87">
        <v>154</v>
      </c>
    </row>
    <row r="23" spans="1:11" ht="15.75" customHeight="1" x14ac:dyDescent="0.3">
      <c r="B23" s="86" t="s">
        <v>157</v>
      </c>
      <c r="C23" s="55">
        <v>18100.44544</v>
      </c>
      <c r="F23" s="86" t="s">
        <v>157</v>
      </c>
      <c r="G23" s="87">
        <v>3452</v>
      </c>
      <c r="J23" s="86" t="s">
        <v>157</v>
      </c>
      <c r="K23" s="87">
        <v>323</v>
      </c>
    </row>
    <row r="24" spans="1:11" ht="15.75" customHeight="1" x14ac:dyDescent="0.3">
      <c r="B24" s="86" t="s">
        <v>158</v>
      </c>
      <c r="C24" s="55">
        <v>8313.1624800000009</v>
      </c>
      <c r="F24" s="86" t="s">
        <v>158</v>
      </c>
      <c r="G24" s="87">
        <v>1468</v>
      </c>
      <c r="J24" s="86" t="s">
        <v>158</v>
      </c>
      <c r="K24" s="87">
        <v>142</v>
      </c>
    </row>
    <row r="25" spans="1:11" ht="15.75" customHeight="1" x14ac:dyDescent="0.3">
      <c r="B25" s="86" t="s">
        <v>159</v>
      </c>
      <c r="C25" s="55">
        <v>7431.4499232999997</v>
      </c>
      <c r="F25" s="86" t="s">
        <v>159</v>
      </c>
      <c r="G25" s="87">
        <v>1484</v>
      </c>
      <c r="J25" s="86" t="s">
        <v>159</v>
      </c>
      <c r="K25" s="87">
        <v>117</v>
      </c>
    </row>
    <row r="26" spans="1:11" ht="15.75" customHeight="1" x14ac:dyDescent="0.3">
      <c r="B26" s="86" t="s">
        <v>160</v>
      </c>
      <c r="C26" s="55">
        <v>710.85880699999996</v>
      </c>
      <c r="F26" s="86" t="s">
        <v>160</v>
      </c>
      <c r="G26" s="87">
        <v>200</v>
      </c>
      <c r="J26" s="86" t="s">
        <v>160</v>
      </c>
      <c r="K26" s="87">
        <v>26</v>
      </c>
    </row>
    <row r="27" spans="1:11" ht="15.75" customHeight="1" x14ac:dyDescent="0.3">
      <c r="B27" s="86" t="s">
        <v>161</v>
      </c>
      <c r="C27" s="55">
        <v>646.90596000000005</v>
      </c>
      <c r="F27" s="86" t="s">
        <v>161</v>
      </c>
      <c r="G27" s="87">
        <v>660</v>
      </c>
      <c r="J27" s="86" t="s">
        <v>161</v>
      </c>
      <c r="K27" s="87">
        <v>18</v>
      </c>
    </row>
    <row r="28" spans="1:11" ht="15.75" customHeight="1" x14ac:dyDescent="0.3">
      <c r="B28" s="86" t="s">
        <v>162</v>
      </c>
      <c r="C28" s="55">
        <v>478.24351799999999</v>
      </c>
      <c r="F28" s="86" t="s">
        <v>162</v>
      </c>
      <c r="G28" s="87">
        <v>654</v>
      </c>
      <c r="J28" s="86" t="s">
        <v>162</v>
      </c>
      <c r="K28" s="87">
        <v>13</v>
      </c>
    </row>
    <row r="29" spans="1:11" ht="15.75" customHeight="1" thickBot="1" x14ac:dyDescent="0.35">
      <c r="B29" s="88" t="s">
        <v>163</v>
      </c>
      <c r="C29" s="89">
        <v>223.656657</v>
      </c>
      <c r="F29" s="88" t="s">
        <v>163</v>
      </c>
      <c r="G29" s="90">
        <v>202</v>
      </c>
      <c r="J29" s="88" t="s">
        <v>163</v>
      </c>
      <c r="K29" s="90">
        <v>5</v>
      </c>
    </row>
    <row r="30" spans="1:11" ht="15.75" customHeight="1" thickTop="1" thickBot="1" x14ac:dyDescent="0.35">
      <c r="B30" s="3"/>
      <c r="C30" s="3"/>
      <c r="F30" s="3"/>
      <c r="G30" s="3"/>
      <c r="J30" s="3"/>
      <c r="K30" s="3"/>
    </row>
    <row r="31" spans="1:11" ht="15.75" customHeight="1" thickTop="1" x14ac:dyDescent="0.3">
      <c r="B31" s="91" t="s">
        <v>164</v>
      </c>
      <c r="C31" s="92">
        <v>87450.107518899997</v>
      </c>
      <c r="F31" s="93" t="s">
        <v>164</v>
      </c>
      <c r="G31" s="94">
        <v>13030</v>
      </c>
      <c r="J31" s="93" t="s">
        <v>164</v>
      </c>
      <c r="K31" s="94">
        <v>1163</v>
      </c>
    </row>
    <row r="32" spans="1:1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1:8" ht="15.75" customHeight="1" x14ac:dyDescent="0.3">
      <c r="A49" s="76" t="s">
        <v>26</v>
      </c>
      <c r="B49" s="77" t="s">
        <v>4</v>
      </c>
      <c r="C49" s="77" t="s">
        <v>165</v>
      </c>
      <c r="F49" s="76" t="s">
        <v>4</v>
      </c>
      <c r="G49" s="76" t="s">
        <v>166</v>
      </c>
      <c r="H49" s="76" t="s">
        <v>167</v>
      </c>
    </row>
    <row r="50" spans="1:8" ht="15.75" customHeight="1" x14ac:dyDescent="0.3">
      <c r="B50" s="86" t="s">
        <v>156</v>
      </c>
      <c r="C50" s="95">
        <v>0.14410939094906117</v>
      </c>
      <c r="F50" s="86" t="s">
        <v>156</v>
      </c>
      <c r="G50" s="95">
        <v>0.12065698041692996</v>
      </c>
      <c r="H50" s="95">
        <v>-0.12457912457912457</v>
      </c>
    </row>
    <row r="51" spans="1:8" ht="15.75" customHeight="1" x14ac:dyDescent="0.3">
      <c r="B51" s="86" t="s">
        <v>24</v>
      </c>
      <c r="C51" s="95">
        <v>7.2196399677454171E-2</v>
      </c>
      <c r="F51" s="86" t="s">
        <v>24</v>
      </c>
      <c r="G51" s="95">
        <v>7.3835480673934528E-2</v>
      </c>
      <c r="H51" s="95">
        <v>0.52747252747252737</v>
      </c>
    </row>
    <row r="52" spans="1:8" ht="15.75" customHeight="1" x14ac:dyDescent="0.3">
      <c r="B52" s="86" t="s">
        <v>157</v>
      </c>
      <c r="C52" s="95">
        <v>5.5019476590912442E-2</v>
      </c>
      <c r="F52" s="86" t="s">
        <v>157</v>
      </c>
      <c r="G52" s="95">
        <v>2.6187803965582734E-3</v>
      </c>
      <c r="H52" s="95">
        <v>-0.22957198443579763</v>
      </c>
    </row>
    <row r="53" spans="1:8" ht="15.75" customHeight="1" x14ac:dyDescent="0.3">
      <c r="B53" s="86" t="s">
        <v>158</v>
      </c>
      <c r="C53" s="96"/>
      <c r="F53" s="86" t="s">
        <v>158</v>
      </c>
      <c r="G53" s="95">
        <v>0.22681359044995419</v>
      </c>
      <c r="H53" s="95">
        <v>0.25</v>
      </c>
    </row>
    <row r="54" spans="1:8" ht="15.75" customHeight="1" x14ac:dyDescent="0.3">
      <c r="B54" s="86" t="s">
        <v>159</v>
      </c>
      <c r="C54" s="95">
        <v>0.29339151891355919</v>
      </c>
      <c r="F54" s="86" t="s">
        <v>159</v>
      </c>
      <c r="G54" s="95">
        <v>-4.5774647887323994E-2</v>
      </c>
      <c r="H54" s="95">
        <v>-0.4042553191489362</v>
      </c>
    </row>
    <row r="55" spans="1:8" ht="15.75" customHeight="1" x14ac:dyDescent="0.3">
      <c r="B55" s="86" t="s">
        <v>160</v>
      </c>
      <c r="C55" s="95">
        <v>7.2413263368977798E-2</v>
      </c>
      <c r="F55" s="86" t="s">
        <v>160</v>
      </c>
      <c r="G55" s="95">
        <v>8.0000000000000071E-2</v>
      </c>
      <c r="H55" s="95">
        <v>0.11538461538461542</v>
      </c>
    </row>
    <row r="56" spans="1:8" ht="15.75" customHeight="1" x14ac:dyDescent="0.3">
      <c r="B56" s="86" t="s">
        <v>161</v>
      </c>
      <c r="C56" s="95">
        <v>-2.498247101461315E-2</v>
      </c>
      <c r="F56" s="86" t="s">
        <v>161</v>
      </c>
      <c r="G56" s="95">
        <v>-4.5454545454545414E-2</v>
      </c>
      <c r="H56" s="95">
        <v>-0.44444444444444442</v>
      </c>
    </row>
    <row r="57" spans="1:8" ht="15.75" customHeight="1" x14ac:dyDescent="0.3">
      <c r="B57" s="86" t="s">
        <v>162</v>
      </c>
      <c r="C57" s="95">
        <v>3.6757106943644535E-2</v>
      </c>
      <c r="F57" s="86" t="s">
        <v>162</v>
      </c>
      <c r="G57" s="95">
        <v>-3.2110091743119296E-2</v>
      </c>
      <c r="H57" s="95">
        <v>9.4786729857819912E-3</v>
      </c>
    </row>
    <row r="58" spans="1:8" ht="15.75" customHeight="1" thickBot="1" x14ac:dyDescent="0.35">
      <c r="B58" s="88" t="s">
        <v>163</v>
      </c>
      <c r="C58" s="97">
        <v>0.21915246532175248</v>
      </c>
      <c r="F58" s="88" t="s">
        <v>163</v>
      </c>
      <c r="G58" s="97">
        <v>1.980198019801982E-2</v>
      </c>
      <c r="H58" s="97">
        <v>3.3980582524271843E-2</v>
      </c>
    </row>
    <row r="59" spans="1:8" ht="15.75" customHeight="1" thickTop="1" thickBot="1" x14ac:dyDescent="0.35">
      <c r="B59" s="98"/>
      <c r="C59" s="98"/>
      <c r="F59" s="98"/>
      <c r="G59" s="99"/>
      <c r="H59" s="99"/>
    </row>
    <row r="60" spans="1:8" ht="15.75" customHeight="1" thickTop="1" x14ac:dyDescent="0.3">
      <c r="B60" s="100" t="s">
        <v>164</v>
      </c>
      <c r="C60" s="101">
        <v>0.113526453349579</v>
      </c>
      <c r="F60" s="100" t="s">
        <v>164</v>
      </c>
      <c r="G60" s="101">
        <v>6.3772208495117111E-2</v>
      </c>
      <c r="H60" s="101">
        <v>-6.965761511216062E-2</v>
      </c>
    </row>
    <row r="61" spans="1:8" ht="15.75" customHeight="1" x14ac:dyDescent="0.3"/>
    <row r="62" spans="1:8" ht="15.75" customHeight="1" x14ac:dyDescent="0.3"/>
    <row r="63" spans="1:8" ht="15.75" customHeight="1" x14ac:dyDescent="0.3"/>
    <row r="64" spans="1:8" ht="15.75" customHeight="1" x14ac:dyDescent="0.3"/>
    <row r="65" spans="1:11" ht="15.75" customHeight="1" x14ac:dyDescent="0.3"/>
    <row r="66" spans="1:11" ht="15.75" customHeight="1" x14ac:dyDescent="0.3"/>
    <row r="67" spans="1:11" ht="15.75" customHeight="1" x14ac:dyDescent="0.3"/>
    <row r="68" spans="1:11" ht="15.75" customHeight="1" x14ac:dyDescent="0.3"/>
    <row r="69" spans="1:11" ht="15.75" customHeight="1" x14ac:dyDescent="0.3"/>
    <row r="70" spans="1:11" ht="15.75" customHeight="1" x14ac:dyDescent="0.3"/>
    <row r="71" spans="1:11" ht="15.75" customHeight="1" x14ac:dyDescent="0.3"/>
    <row r="72" spans="1:11" ht="15.75" customHeight="1" x14ac:dyDescent="0.3"/>
    <row r="73" spans="1:11" ht="15.75" customHeight="1" x14ac:dyDescent="0.3"/>
    <row r="74" spans="1:11" ht="15.75" customHeight="1" x14ac:dyDescent="0.3"/>
    <row r="75" spans="1:11" ht="15.75" customHeight="1" x14ac:dyDescent="0.3"/>
    <row r="76" spans="1:11" ht="15.75" customHeight="1" x14ac:dyDescent="0.3"/>
    <row r="77" spans="1:11" ht="15.75" customHeight="1" x14ac:dyDescent="0.3"/>
    <row r="78" spans="1:11" ht="15.75" customHeight="1" x14ac:dyDescent="0.3"/>
    <row r="79" spans="1:11" ht="15.75" customHeight="1" x14ac:dyDescent="0.3">
      <c r="A79" s="85" t="s">
        <v>28</v>
      </c>
      <c r="C79" s="86" t="s">
        <v>168</v>
      </c>
    </row>
    <row r="80" spans="1:11" ht="15.75" customHeight="1" x14ac:dyDescent="0.3">
      <c r="B80" s="76" t="s">
        <v>4</v>
      </c>
      <c r="C80" s="76" t="s">
        <v>36</v>
      </c>
      <c r="F80" s="76" t="s">
        <v>4</v>
      </c>
      <c r="G80" s="76" t="s">
        <v>38</v>
      </c>
      <c r="J80" s="76" t="s">
        <v>4</v>
      </c>
      <c r="K80" s="76" t="s">
        <v>37</v>
      </c>
    </row>
    <row r="81" spans="2:11" ht="15.75" customHeight="1" x14ac:dyDescent="0.3">
      <c r="B81" s="86" t="s">
        <v>156</v>
      </c>
      <c r="C81" s="102">
        <v>0.62295043430223673</v>
      </c>
      <c r="F81" s="86" t="s">
        <v>156</v>
      </c>
      <c r="G81" s="55">
        <v>7.9047619047619051</v>
      </c>
      <c r="J81" s="86" t="s">
        <v>156</v>
      </c>
      <c r="K81" s="102">
        <v>0.46220436853466673</v>
      </c>
    </row>
    <row r="82" spans="2:11" ht="15.75" customHeight="1" x14ac:dyDescent="0.3">
      <c r="B82" s="86" t="s">
        <v>24</v>
      </c>
      <c r="C82" s="102">
        <v>0.11856832697455787</v>
      </c>
      <c r="F82" s="86" t="s">
        <v>24</v>
      </c>
      <c r="G82" s="55">
        <v>11.105263157894736</v>
      </c>
      <c r="J82" s="86" t="s">
        <v>24</v>
      </c>
      <c r="K82" s="102">
        <v>0.27669273811157358</v>
      </c>
    </row>
    <row r="83" spans="2:11" ht="15.75" customHeight="1" x14ac:dyDescent="0.3">
      <c r="B83" s="86" t="s">
        <v>157</v>
      </c>
      <c r="C83" s="102">
        <v>0.90021382751247325</v>
      </c>
      <c r="F83" s="86" t="s">
        <v>157</v>
      </c>
      <c r="G83" s="55">
        <v>4.6296296296296298</v>
      </c>
      <c r="J83" s="86" t="s">
        <v>157</v>
      </c>
      <c r="K83" s="102">
        <v>0.5664400494437577</v>
      </c>
    </row>
    <row r="84" spans="2:11" ht="15.75" customHeight="1" x14ac:dyDescent="0.3">
      <c r="B84" s="86" t="s">
        <v>158</v>
      </c>
      <c r="C84" s="102">
        <v>0.919921875</v>
      </c>
      <c r="F84" s="86" t="s">
        <v>158</v>
      </c>
      <c r="G84" s="55">
        <v>11.764705882352942</v>
      </c>
      <c r="J84" s="86" t="s">
        <v>158</v>
      </c>
      <c r="K84" s="102">
        <v>0.62474645030425968</v>
      </c>
    </row>
    <row r="85" spans="2:11" ht="15.75" customHeight="1" x14ac:dyDescent="0.3">
      <c r="B85" s="86" t="s">
        <v>159</v>
      </c>
      <c r="C85" s="102">
        <v>0.55197326221261944</v>
      </c>
      <c r="F85" s="86" t="s">
        <v>159</v>
      </c>
      <c r="G85" s="55">
        <v>6.3103448275862073</v>
      </c>
      <c r="J85" s="86" t="s">
        <v>159</v>
      </c>
      <c r="K85" s="102">
        <v>0.49402138635509546</v>
      </c>
    </row>
    <row r="86" spans="2:11" ht="15.75" customHeight="1" x14ac:dyDescent="0.3">
      <c r="B86" s="86" t="s">
        <v>160</v>
      </c>
      <c r="C86" s="102">
        <v>0</v>
      </c>
      <c r="F86" s="86" t="s">
        <v>160</v>
      </c>
      <c r="G86" s="55">
        <v>37</v>
      </c>
      <c r="J86" s="86" t="s">
        <v>160</v>
      </c>
      <c r="K86" s="102">
        <v>5.7007125890736345E-2</v>
      </c>
    </row>
    <row r="87" spans="2:11" ht="15.75" customHeight="1" x14ac:dyDescent="0.3">
      <c r="B87" s="86" t="s">
        <v>161</v>
      </c>
      <c r="C87" s="102">
        <v>1.5402843601895735</v>
      </c>
      <c r="F87" s="86" t="s">
        <v>161</v>
      </c>
      <c r="G87" s="55">
        <v>3.3870967741935485</v>
      </c>
      <c r="J87" s="86" t="s">
        <v>161</v>
      </c>
      <c r="K87" s="102">
        <v>0.70790816326530615</v>
      </c>
    </row>
    <row r="88" spans="2:11" ht="15.75" customHeight="1" x14ac:dyDescent="0.3">
      <c r="B88" s="86" t="s">
        <v>162</v>
      </c>
      <c r="C88" s="102">
        <v>0.73796791443850263</v>
      </c>
      <c r="F88" s="86" t="s">
        <v>162</v>
      </c>
      <c r="G88" s="55">
        <v>6.083333333333333</v>
      </c>
      <c r="J88" s="86" t="s">
        <v>162</v>
      </c>
      <c r="K88" s="102">
        <v>0.55748373101952275</v>
      </c>
    </row>
    <row r="89" spans="2:11" ht="15.75" customHeight="1" thickBot="1" x14ac:dyDescent="0.35">
      <c r="B89" s="88" t="s">
        <v>163</v>
      </c>
      <c r="C89" s="103">
        <v>0.759493670886076</v>
      </c>
      <c r="F89" s="88" t="s">
        <v>163</v>
      </c>
      <c r="G89" s="89">
        <v>3.8</v>
      </c>
      <c r="J89" s="88" t="s">
        <v>163</v>
      </c>
      <c r="K89" s="103">
        <v>0.58695652173913049</v>
      </c>
    </row>
    <row r="90" spans="2:11" ht="15.75" customHeight="1" thickTop="1" thickBot="1" x14ac:dyDescent="0.35">
      <c r="B90" s="3"/>
      <c r="C90" s="3"/>
      <c r="F90" s="3"/>
      <c r="G90" s="3"/>
      <c r="J90" s="3"/>
      <c r="K90" s="3"/>
    </row>
    <row r="91" spans="2:11" ht="15.75" customHeight="1" thickTop="1" x14ac:dyDescent="0.3">
      <c r="B91" s="93" t="s">
        <v>164</v>
      </c>
      <c r="C91" s="104">
        <v>0.55607936024284099</v>
      </c>
      <c r="F91" s="93" t="s">
        <v>164</v>
      </c>
      <c r="G91" s="105">
        <v>6.4070175438596495</v>
      </c>
      <c r="J91" s="93" t="s">
        <v>164</v>
      </c>
      <c r="K91" s="104">
        <v>0.47863242194380146</v>
      </c>
    </row>
    <row r="92" spans="2:11" ht="15.75" customHeight="1" x14ac:dyDescent="0.3"/>
    <row r="93" spans="2:11" ht="15.75" customHeight="1" x14ac:dyDescent="0.3"/>
    <row r="94" spans="2:11" ht="15.75" customHeight="1" x14ac:dyDescent="0.3"/>
    <row r="95" spans="2:11" ht="15.75" customHeight="1" x14ac:dyDescent="0.3"/>
    <row r="96" spans="2:11" ht="15.75" customHeight="1" x14ac:dyDescent="0.3"/>
    <row r="97" spans="1:12" ht="15.75" customHeight="1" x14ac:dyDescent="0.3"/>
    <row r="98" spans="1:12" ht="15.75" customHeight="1" x14ac:dyDescent="0.3"/>
    <row r="99" spans="1:12" ht="15.75" customHeight="1" x14ac:dyDescent="0.3"/>
    <row r="100" spans="1:12" ht="15.75" customHeight="1" x14ac:dyDescent="0.3"/>
    <row r="101" spans="1:12" ht="15.75" customHeight="1" x14ac:dyDescent="0.3"/>
    <row r="102" spans="1:12" ht="15.75" customHeight="1" x14ac:dyDescent="0.3"/>
    <row r="103" spans="1:12" ht="15.75" customHeight="1" x14ac:dyDescent="0.3"/>
    <row r="104" spans="1:12" ht="15.75" customHeight="1" x14ac:dyDescent="0.3"/>
    <row r="105" spans="1:12" ht="15.75" customHeight="1" x14ac:dyDescent="0.3"/>
    <row r="106" spans="1:12" ht="15.75" customHeight="1" x14ac:dyDescent="0.3"/>
    <row r="107" spans="1:12" ht="15.75" customHeight="1" x14ac:dyDescent="0.3"/>
    <row r="108" spans="1:12" ht="15.75" customHeight="1" x14ac:dyDescent="0.3"/>
    <row r="109" spans="1:12" ht="15.75" customHeight="1" x14ac:dyDescent="0.3">
      <c r="A109" s="85" t="s">
        <v>27</v>
      </c>
    </row>
    <row r="110" spans="1:12" ht="15.75" customHeight="1" x14ac:dyDescent="0.3">
      <c r="B110" s="76" t="s">
        <v>4</v>
      </c>
      <c r="C110" s="76" t="s">
        <v>169</v>
      </c>
      <c r="D110" s="76" t="s">
        <v>170</v>
      </c>
      <c r="G110" s="76" t="s">
        <v>4</v>
      </c>
      <c r="H110" s="76" t="s">
        <v>171</v>
      </c>
      <c r="K110" s="76" t="s">
        <v>4</v>
      </c>
      <c r="L110" s="106" t="s">
        <v>172</v>
      </c>
    </row>
    <row r="111" spans="1:12" ht="15.75" customHeight="1" x14ac:dyDescent="0.3">
      <c r="B111" s="86" t="s">
        <v>156</v>
      </c>
      <c r="C111" s="107">
        <v>0.17160319699106724</v>
      </c>
      <c r="D111" s="107">
        <v>0.14656144306651633</v>
      </c>
      <c r="G111" s="86" t="s">
        <v>156</v>
      </c>
      <c r="H111" s="55">
        <v>22.382204983544902</v>
      </c>
      <c r="K111" s="86" t="s">
        <v>156</v>
      </c>
      <c r="L111" s="102">
        <v>3.0005425834455921</v>
      </c>
    </row>
    <row r="112" spans="1:12" ht="15.75" customHeight="1" x14ac:dyDescent="0.3">
      <c r="B112" s="86" t="s">
        <v>24</v>
      </c>
      <c r="C112" s="107">
        <v>5.533596837944664E-2</v>
      </c>
      <c r="D112" s="107">
        <v>6.4143977849561606E-2</v>
      </c>
      <c r="G112" s="86" t="s">
        <v>24</v>
      </c>
      <c r="H112" s="55">
        <v>41.803844771828963</v>
      </c>
      <c r="K112" s="86" t="s">
        <v>24</v>
      </c>
      <c r="L112" s="102">
        <v>2.2634516633177046</v>
      </c>
    </row>
    <row r="113" spans="2:12" ht="15.75" customHeight="1" x14ac:dyDescent="0.3">
      <c r="B113" s="86" t="s">
        <v>157</v>
      </c>
      <c r="C113" s="107">
        <v>9.3568945538818074E-2</v>
      </c>
      <c r="D113" s="107">
        <v>7.3880597014925373E-2</v>
      </c>
      <c r="G113" s="86" t="s">
        <v>157</v>
      </c>
      <c r="H113" s="55">
        <v>10.573580533024334</v>
      </c>
      <c r="K113" s="86" t="s">
        <v>157</v>
      </c>
      <c r="L113" s="102">
        <v>1.7825086306098965</v>
      </c>
    </row>
    <row r="114" spans="2:12" ht="15.75" customHeight="1" x14ac:dyDescent="0.3">
      <c r="B114" s="86" t="s">
        <v>158</v>
      </c>
      <c r="C114" s="107">
        <v>9.6730245231607628E-2</v>
      </c>
      <c r="D114" s="107">
        <v>0.10104790419161677</v>
      </c>
      <c r="G114" s="86" t="s">
        <v>158</v>
      </c>
      <c r="H114" s="55">
        <v>14.918256130790191</v>
      </c>
      <c r="K114" s="86" t="s">
        <v>158</v>
      </c>
      <c r="L114" s="102">
        <v>1.4219474497681608</v>
      </c>
    </row>
    <row r="115" spans="2:12" ht="15.75" customHeight="1" thickBot="1" x14ac:dyDescent="0.35">
      <c r="B115" s="86" t="s">
        <v>159</v>
      </c>
      <c r="C115" s="107">
        <v>7.8840970350404313E-2</v>
      </c>
      <c r="D115" s="107">
        <v>5.1660516605166053E-2</v>
      </c>
      <c r="G115" s="86" t="s">
        <v>159</v>
      </c>
      <c r="H115" s="55">
        <v>34.861927223719682</v>
      </c>
      <c r="K115" s="88" t="s">
        <v>159</v>
      </c>
      <c r="L115" s="103">
        <v>1.7940936813254649</v>
      </c>
    </row>
    <row r="116" spans="2:12" ht="15.75" customHeight="1" thickTop="1" x14ac:dyDescent="0.3">
      <c r="B116" s="86" t="s">
        <v>160</v>
      </c>
      <c r="C116" s="107">
        <v>0.13</v>
      </c>
      <c r="D116" s="107">
        <v>0.13425925925925927</v>
      </c>
      <c r="G116" s="86" t="s">
        <v>160</v>
      </c>
      <c r="H116" s="55">
        <v>0.91249999999999998</v>
      </c>
    </row>
    <row r="117" spans="2:12" ht="15.75" customHeight="1" x14ac:dyDescent="0.3">
      <c r="B117" s="86" t="s">
        <v>161</v>
      </c>
      <c r="C117" s="107">
        <v>2.7272727272727271E-2</v>
      </c>
      <c r="D117" s="107">
        <v>1.5873015873015872E-2</v>
      </c>
      <c r="G117" s="86" t="s">
        <v>161</v>
      </c>
      <c r="H117" s="55">
        <v>106.73484848484848</v>
      </c>
    </row>
    <row r="118" spans="2:12" ht="15.75" customHeight="1" x14ac:dyDescent="0.3">
      <c r="B118" s="86" t="s">
        <v>162</v>
      </c>
      <c r="C118" s="107">
        <v>1.9877675840978593E-2</v>
      </c>
      <c r="D118" s="107">
        <v>1.5873015873015872E-2</v>
      </c>
      <c r="G118" s="86" t="s">
        <v>162</v>
      </c>
      <c r="H118" s="55">
        <v>60.833333333333329</v>
      </c>
    </row>
    <row r="119" spans="2:12" ht="15.75" customHeight="1" thickBot="1" x14ac:dyDescent="0.35">
      <c r="B119" s="88" t="s">
        <v>163</v>
      </c>
      <c r="C119" s="108">
        <v>2.4752475247524754E-2</v>
      </c>
      <c r="D119" s="108">
        <v>1.5873015873015872E-2</v>
      </c>
      <c r="G119" s="88" t="s">
        <v>163</v>
      </c>
      <c r="H119" s="89">
        <v>144.55445544554456</v>
      </c>
    </row>
    <row r="120" spans="2:12" ht="15.75" customHeight="1" thickTop="1" thickBot="1" x14ac:dyDescent="0.35">
      <c r="B120" s="3"/>
      <c r="C120" s="109"/>
      <c r="D120" s="109"/>
      <c r="G120" s="3"/>
      <c r="H120" s="3"/>
    </row>
    <row r="121" spans="2:12" ht="15.75" customHeight="1" thickTop="1" x14ac:dyDescent="0.3">
      <c r="B121" s="110" t="s">
        <v>164</v>
      </c>
      <c r="C121" s="111">
        <v>7.8840970350404313E-2</v>
      </c>
      <c r="D121" s="111">
        <v>6.4143977849561606E-2</v>
      </c>
      <c r="G121" s="93" t="s">
        <v>164</v>
      </c>
      <c r="H121" s="112">
        <v>31.749397544128936</v>
      </c>
      <c r="K121" s="93" t="s">
        <v>164</v>
      </c>
      <c r="L121" s="113">
        <v>2.0099999999999998</v>
      </c>
    </row>
    <row r="122" spans="2:12" ht="15.75" customHeight="1" x14ac:dyDescent="0.3"/>
    <row r="123" spans="2:12" ht="15.75" customHeight="1" x14ac:dyDescent="0.3"/>
    <row r="124" spans="2:12" ht="15.75" customHeight="1" x14ac:dyDescent="0.3"/>
    <row r="125" spans="2:12" ht="15.75" customHeight="1" x14ac:dyDescent="0.3"/>
    <row r="126" spans="2:12" ht="15.75" customHeight="1" x14ac:dyDescent="0.3"/>
    <row r="127" spans="2:12" ht="15.75" customHeight="1" x14ac:dyDescent="0.3"/>
    <row r="128" spans="2:12" ht="15.75" customHeight="1" x14ac:dyDescent="0.3"/>
    <row r="129" spans="1:13" ht="15.75" customHeight="1" x14ac:dyDescent="0.3"/>
    <row r="130" spans="1:13" ht="15.75" customHeight="1" x14ac:dyDescent="0.3"/>
    <row r="131" spans="1:13" ht="15.75" customHeight="1" x14ac:dyDescent="0.3"/>
    <row r="132" spans="1:13" ht="15.75" customHeight="1" x14ac:dyDescent="0.3"/>
    <row r="133" spans="1:13" ht="15.75" customHeight="1" x14ac:dyDescent="0.3"/>
    <row r="134" spans="1:13" ht="15.75" customHeight="1" x14ac:dyDescent="0.3"/>
    <row r="135" spans="1:13" ht="15.75" customHeight="1" x14ac:dyDescent="0.3"/>
    <row r="136" spans="1:13" ht="15.75" customHeight="1" x14ac:dyDescent="0.3"/>
    <row r="137" spans="1:13" ht="15.75" customHeight="1" x14ac:dyDescent="0.3"/>
    <row r="138" spans="1:13" ht="15.75" customHeight="1" x14ac:dyDescent="0.3"/>
    <row r="139" spans="1:13" ht="15.75" customHeight="1" x14ac:dyDescent="0.3">
      <c r="A139" s="114" t="s">
        <v>29</v>
      </c>
      <c r="B139" s="76" t="s">
        <v>4</v>
      </c>
      <c r="C139" s="76" t="s">
        <v>39</v>
      </c>
      <c r="D139" s="76" t="s">
        <v>41</v>
      </c>
      <c r="F139" s="76" t="s">
        <v>30</v>
      </c>
      <c r="G139" s="76" t="s">
        <v>4</v>
      </c>
      <c r="H139" s="76" t="s">
        <v>42</v>
      </c>
      <c r="I139" s="76" t="s">
        <v>45</v>
      </c>
      <c r="L139" s="76" t="s">
        <v>4</v>
      </c>
      <c r="M139" s="76" t="s">
        <v>43</v>
      </c>
    </row>
    <row r="140" spans="1:13" ht="15.75" customHeight="1" x14ac:dyDescent="0.3">
      <c r="B140" s="86" t="s">
        <v>156</v>
      </c>
      <c r="C140" s="107">
        <v>0.21450651747199662</v>
      </c>
      <c r="D140" s="107">
        <v>0.11536066801728198</v>
      </c>
      <c r="G140" s="86" t="s">
        <v>156</v>
      </c>
      <c r="H140" s="55">
        <v>94.879166666666663</v>
      </c>
      <c r="I140" s="55">
        <v>16.837986176494599</v>
      </c>
      <c r="L140" s="86" t="s">
        <v>156</v>
      </c>
      <c r="M140" s="107">
        <v>1.0539721575688376E-2</v>
      </c>
    </row>
    <row r="141" spans="1:13" ht="15.75" customHeight="1" x14ac:dyDescent="0.3">
      <c r="B141" s="86" t="s">
        <v>24</v>
      </c>
      <c r="C141" s="107">
        <v>8.1153432684808499E-2</v>
      </c>
      <c r="D141" s="107">
        <v>5.8698867188095569E-2</v>
      </c>
      <c r="G141" s="86" t="s">
        <v>24</v>
      </c>
      <c r="H141" s="55">
        <v>104.75</v>
      </c>
      <c r="I141" s="55">
        <v>10.849151898800018</v>
      </c>
      <c r="L141" s="86" t="s">
        <v>24</v>
      </c>
      <c r="M141" s="107">
        <v>9.5465393794749408E-3</v>
      </c>
    </row>
    <row r="142" spans="1:13" ht="15.75" customHeight="1" x14ac:dyDescent="0.3">
      <c r="B142" s="86" t="s">
        <v>157</v>
      </c>
      <c r="C142" s="107">
        <v>0.23022095509622237</v>
      </c>
      <c r="D142" s="107">
        <v>9.9814585908529055E-2</v>
      </c>
      <c r="G142" s="86" t="s">
        <v>157</v>
      </c>
      <c r="H142" s="55">
        <v>67.047619047619051</v>
      </c>
      <c r="I142" s="55">
        <v>12.285207907293797</v>
      </c>
      <c r="L142" s="86" t="s">
        <v>157</v>
      </c>
      <c r="M142" s="107">
        <v>1.4914772727272728E-2</v>
      </c>
    </row>
    <row r="143" spans="1:13" ht="15.75" customHeight="1" x14ac:dyDescent="0.3">
      <c r="B143" s="86" t="s">
        <v>158</v>
      </c>
      <c r="C143" s="107">
        <v>0.27734375</v>
      </c>
      <c r="D143" s="107">
        <v>9.6010818120351588E-2</v>
      </c>
      <c r="G143" s="86" t="s">
        <v>158</v>
      </c>
      <c r="H143" s="55">
        <v>75.25</v>
      </c>
      <c r="I143" s="55">
        <v>15.607407407407408</v>
      </c>
      <c r="L143" s="86" t="s">
        <v>158</v>
      </c>
      <c r="M143" s="107">
        <v>1.3289036544850499E-2</v>
      </c>
    </row>
    <row r="144" spans="1:13" ht="15.75" customHeight="1" x14ac:dyDescent="0.3">
      <c r="B144" s="86" t="s">
        <v>159</v>
      </c>
      <c r="C144" s="107">
        <v>0.19749502042469871</v>
      </c>
      <c r="D144" s="107">
        <v>9.9928256636261148E-2</v>
      </c>
      <c r="G144" s="86" t="s">
        <v>159</v>
      </c>
      <c r="H144" s="55">
        <v>81.149999999999991</v>
      </c>
      <c r="I144" s="55">
        <v>9.973532475202342</v>
      </c>
      <c r="L144" s="86" t="s">
        <v>159</v>
      </c>
      <c r="M144" s="107">
        <v>1.2322858903265559E-2</v>
      </c>
    </row>
    <row r="145" spans="2:13" ht="15.75" customHeight="1" x14ac:dyDescent="0.3">
      <c r="B145" s="86" t="s">
        <v>160</v>
      </c>
      <c r="C145" s="107">
        <v>6.9518716577540107E-2</v>
      </c>
      <c r="D145" s="107">
        <v>6.1757719714964368E-2</v>
      </c>
      <c r="G145" s="86" t="s">
        <v>160</v>
      </c>
      <c r="H145" s="55">
        <v>25.462500000000002</v>
      </c>
      <c r="I145" s="55">
        <v>1.7701889168765741</v>
      </c>
      <c r="L145" s="86" t="s">
        <v>160</v>
      </c>
      <c r="M145" s="107">
        <v>3.9273441335297005E-2</v>
      </c>
    </row>
    <row r="146" spans="2:13" ht="15.75" customHeight="1" x14ac:dyDescent="0.3">
      <c r="B146" s="86" t="s">
        <v>161</v>
      </c>
      <c r="C146" s="107">
        <v>8.5308056872037921E-2</v>
      </c>
      <c r="D146" s="107">
        <v>2.2959183673469389E-2</v>
      </c>
      <c r="G146" s="86" t="s">
        <v>161</v>
      </c>
      <c r="H146" s="55">
        <v>71.39</v>
      </c>
      <c r="I146" s="55">
        <v>2.8057205240174672</v>
      </c>
      <c r="L146" s="86" t="s">
        <v>161</v>
      </c>
      <c r="M146" s="107">
        <v>1.4007564084605687E-2</v>
      </c>
    </row>
    <row r="147" spans="2:13" ht="15.75" customHeight="1" x14ac:dyDescent="0.3">
      <c r="B147" s="86" t="s">
        <v>162</v>
      </c>
      <c r="C147" s="107">
        <v>6.9518716577540107E-2</v>
      </c>
      <c r="D147" s="107">
        <v>2.8199566160520606E-2</v>
      </c>
      <c r="G147" s="86" t="s">
        <v>162</v>
      </c>
      <c r="H147" s="55">
        <v>94</v>
      </c>
      <c r="I147" s="55">
        <v>2.35</v>
      </c>
      <c r="L147" s="86" t="s">
        <v>162</v>
      </c>
      <c r="M147" s="107">
        <v>1.0638297872340425E-2</v>
      </c>
    </row>
    <row r="148" spans="2:13" ht="15.75" customHeight="1" thickBot="1" x14ac:dyDescent="0.35">
      <c r="B148" s="88" t="s">
        <v>163</v>
      </c>
      <c r="C148" s="108">
        <v>6.3291139240506333E-2</v>
      </c>
      <c r="D148" s="108">
        <v>2.1739130434782608E-2</v>
      </c>
      <c r="G148" s="88" t="s">
        <v>163</v>
      </c>
      <c r="H148" s="89">
        <v>26.6</v>
      </c>
      <c r="I148" s="89">
        <v>2.2400000000000002</v>
      </c>
      <c r="L148" s="88" t="s">
        <v>163</v>
      </c>
      <c r="M148" s="108">
        <v>3.7593984962406013E-2</v>
      </c>
    </row>
    <row r="149" spans="2:13" ht="15.75" customHeight="1" thickTop="1" thickBot="1" x14ac:dyDescent="0.35">
      <c r="B149" s="3"/>
      <c r="C149" s="109"/>
      <c r="D149" s="109"/>
      <c r="G149" s="3"/>
      <c r="H149" s="3"/>
      <c r="I149" s="3"/>
      <c r="L149" s="3"/>
      <c r="M149" s="109"/>
    </row>
    <row r="150" spans="2:13" ht="15.75" customHeight="1" thickTop="1" x14ac:dyDescent="0.3">
      <c r="B150" s="93" t="s">
        <v>164</v>
      </c>
      <c r="C150" s="115">
        <v>0.16715437993342569</v>
      </c>
      <c r="D150" s="115">
        <v>8.5707611027466976E-2</v>
      </c>
      <c r="G150" s="93" t="s">
        <v>164</v>
      </c>
      <c r="H150" s="105">
        <v>81.149999999999991</v>
      </c>
      <c r="I150" s="105">
        <v>12.285207907293797</v>
      </c>
      <c r="L150" s="93" t="s">
        <v>164</v>
      </c>
      <c r="M150" s="115">
        <v>1.2322858903265559E-2</v>
      </c>
    </row>
    <row r="151" spans="2:13" ht="15.75" customHeight="1" x14ac:dyDescent="0.3"/>
    <row r="152" spans="2:13" ht="15.75" customHeight="1" x14ac:dyDescent="0.3"/>
    <row r="153" spans="2:13" ht="15.75" customHeight="1" x14ac:dyDescent="0.3"/>
    <row r="154" spans="2:13" ht="15.75" customHeight="1" x14ac:dyDescent="0.3"/>
    <row r="155" spans="2:13" ht="15.75" customHeight="1" x14ac:dyDescent="0.3"/>
    <row r="156" spans="2:13" ht="15.75" customHeight="1" x14ac:dyDescent="0.3"/>
    <row r="157" spans="2:13" ht="15.75" customHeight="1" x14ac:dyDescent="0.3"/>
    <row r="158" spans="2:13" ht="15.75" customHeight="1" x14ac:dyDescent="0.3"/>
    <row r="159" spans="2:13" ht="15.75" customHeight="1" x14ac:dyDescent="0.3"/>
    <row r="160" spans="2:13" ht="15.75" customHeight="1" x14ac:dyDescent="0.3"/>
    <row r="161" spans="1:41" ht="15.75" customHeight="1" x14ac:dyDescent="0.3"/>
    <row r="162" spans="1:41" ht="15.75" customHeight="1" x14ac:dyDescent="0.3"/>
    <row r="163" spans="1:41" ht="15.75" customHeight="1" x14ac:dyDescent="0.3"/>
    <row r="164" spans="1:41" ht="15.75" customHeight="1" x14ac:dyDescent="0.3"/>
    <row r="165" spans="1:41" ht="15.75" customHeight="1" x14ac:dyDescent="0.3">
      <c r="A165" s="85" t="s">
        <v>173</v>
      </c>
    </row>
    <row r="166" spans="1:41" ht="15.75" customHeight="1" x14ac:dyDescent="0.3"/>
    <row r="167" spans="1:41" ht="15.75" customHeight="1" x14ac:dyDescent="0.3">
      <c r="A167" s="76" t="s">
        <v>174</v>
      </c>
      <c r="B167" s="76" t="s">
        <v>4</v>
      </c>
      <c r="C167" s="76" t="s">
        <v>175</v>
      </c>
      <c r="D167" s="76" t="s">
        <v>153</v>
      </c>
      <c r="E167" s="76" t="s">
        <v>176</v>
      </c>
      <c r="F167" s="76" t="s">
        <v>177</v>
      </c>
      <c r="G167" s="76" t="s">
        <v>178</v>
      </c>
      <c r="H167" s="76" t="s">
        <v>179</v>
      </c>
      <c r="I167" s="76" t="s">
        <v>10</v>
      </c>
      <c r="J167" s="76" t="s">
        <v>180</v>
      </c>
      <c r="K167" s="76" t="s">
        <v>12</v>
      </c>
      <c r="L167" s="76" t="s">
        <v>181</v>
      </c>
      <c r="M167" s="76" t="s">
        <v>14</v>
      </c>
      <c r="N167" s="76" t="s">
        <v>9</v>
      </c>
      <c r="O167" s="76" t="s">
        <v>182</v>
      </c>
      <c r="P167" s="76" t="s">
        <v>183</v>
      </c>
      <c r="Q167" s="76" t="s">
        <v>154</v>
      </c>
      <c r="R167" s="76" t="s">
        <v>155</v>
      </c>
      <c r="S167" s="76" t="s">
        <v>184</v>
      </c>
      <c r="T167" s="76" t="s">
        <v>185</v>
      </c>
      <c r="U167" s="76" t="s">
        <v>186</v>
      </c>
      <c r="V167" s="76" t="s">
        <v>187</v>
      </c>
      <c r="W167" s="116" t="s">
        <v>99</v>
      </c>
      <c r="X167" s="76" t="s">
        <v>188</v>
      </c>
      <c r="Y167" s="117" t="s">
        <v>166</v>
      </c>
      <c r="Z167" s="106" t="s">
        <v>189</v>
      </c>
      <c r="AA167" s="117" t="s">
        <v>165</v>
      </c>
      <c r="AB167" s="117" t="s">
        <v>169</v>
      </c>
      <c r="AC167" s="117" t="s">
        <v>170</v>
      </c>
      <c r="AD167" s="118" t="s">
        <v>38</v>
      </c>
      <c r="AE167" s="106" t="s">
        <v>172</v>
      </c>
      <c r="AF167" s="118" t="s">
        <v>171</v>
      </c>
      <c r="AG167" s="119" t="s">
        <v>36</v>
      </c>
      <c r="AH167" s="117" t="s">
        <v>37</v>
      </c>
      <c r="AI167" s="117" t="s">
        <v>39</v>
      </c>
      <c r="AJ167" s="117" t="s">
        <v>40</v>
      </c>
      <c r="AK167" s="117" t="s">
        <v>41</v>
      </c>
      <c r="AL167" s="117" t="s">
        <v>42</v>
      </c>
      <c r="AM167" s="117" t="s">
        <v>43</v>
      </c>
      <c r="AN167" s="117" t="s">
        <v>44</v>
      </c>
      <c r="AO167" s="117" t="s">
        <v>45</v>
      </c>
    </row>
    <row r="168" spans="1:41" ht="15.75" customHeight="1" x14ac:dyDescent="0.3">
      <c r="A168" s="120">
        <v>543426</v>
      </c>
      <c r="B168" s="121" t="s">
        <v>156</v>
      </c>
      <c r="C168" s="3">
        <f ca="1">IFERROR(__xludf.DUMMYFUNCTION("GOOGLEFINANCE(""bom:""&amp;A168,""price"")"),1140)</f>
        <v>1140</v>
      </c>
      <c r="D168" s="54">
        <f ca="1">IFERROR(__xludf.DUMMYFUNCTION("GOOGLEFINANCE(""bom:""&amp;A168,""marketcap"")/10000000"),31260.6750853)</f>
        <v>31260.675085300001</v>
      </c>
      <c r="E168" s="3">
        <v>1603.73</v>
      </c>
      <c r="F168" s="3">
        <v>534.48</v>
      </c>
      <c r="G168" s="3">
        <v>3163.99</v>
      </c>
      <c r="H168" s="3">
        <v>1462.41</v>
      </c>
      <c r="I168" s="3">
        <v>135.87</v>
      </c>
      <c r="J168" s="3">
        <v>1701.58</v>
      </c>
      <c r="K168" s="3">
        <v>1060</v>
      </c>
      <c r="L168" s="3">
        <v>130.43</v>
      </c>
      <c r="M168" s="3">
        <v>5</v>
      </c>
      <c r="N168" s="54">
        <v>12</v>
      </c>
      <c r="O168" s="49">
        <v>0.35070000000000001</v>
      </c>
      <c r="P168" s="3">
        <v>1085</v>
      </c>
      <c r="Q168" s="3">
        <v>2127</v>
      </c>
      <c r="R168" s="3">
        <v>365</v>
      </c>
      <c r="S168" s="3">
        <v>1774</v>
      </c>
      <c r="T168" s="3">
        <v>1583</v>
      </c>
      <c r="U168" s="3">
        <v>260</v>
      </c>
      <c r="V168" s="3">
        <v>297</v>
      </c>
      <c r="W168" s="3">
        <v>63</v>
      </c>
      <c r="X168" s="3">
        <v>1692</v>
      </c>
      <c r="Y168" s="49">
        <f t="shared" ref="Y168:Y172" si="0">(S168/T168)-1</f>
        <v>0.12065698041692996</v>
      </c>
      <c r="Z168" s="49">
        <f t="shared" ref="Z168:Z172" si="1">(U168/V168)-1</f>
        <v>-0.12457912457912457</v>
      </c>
      <c r="AA168" s="49">
        <f t="shared" ref="AA168:AA176" si="2">(Q168/P168)^(1/5)-1</f>
        <v>0.14410939094906117</v>
      </c>
      <c r="AB168" s="49">
        <f t="shared" ref="AB168:AB176" si="3">R168/Q168</f>
        <v>0.17160319699106724</v>
      </c>
      <c r="AC168" s="49">
        <f t="shared" ref="AC168:AC172" si="4">U168/S168</f>
        <v>0.14656144306651633</v>
      </c>
      <c r="AD168" s="54">
        <f t="shared" ref="AD168:AD176" si="5">(Q168-X168+W168)/W168</f>
        <v>7.9047619047619051</v>
      </c>
      <c r="AE168" s="122">
        <f t="shared" ref="AE168:AE172" si="6">E168/F168</f>
        <v>3.0005425834455921</v>
      </c>
      <c r="AF168" s="54">
        <f t="shared" ref="AF168:AF176" si="7">(L168/Q168)*365</f>
        <v>22.382204983544902</v>
      </c>
      <c r="AG168" s="122">
        <f t="shared" ref="AG168:AG176" si="8">K168/J168</f>
        <v>0.62295043430223673</v>
      </c>
      <c r="AH168" s="122">
        <f t="shared" ref="AH168:AH176" si="9">H168/G168</f>
        <v>0.46220436853466673</v>
      </c>
      <c r="AI168" s="49">
        <f t="shared" ref="AI168:AI176" si="10">R168/J168</f>
        <v>0.21450651747199662</v>
      </c>
      <c r="AJ168" s="122">
        <f t="shared" ref="AJ168:AJ176" si="11">R168/I168</f>
        <v>2.6863914035475087</v>
      </c>
      <c r="AK168" s="49">
        <f t="shared" ref="AK168:AK176" si="12">R168/G168</f>
        <v>0.11536066801728198</v>
      </c>
      <c r="AL168" s="54">
        <f t="shared" ref="AL168:AL176" ca="1" si="13">C168/N168</f>
        <v>95</v>
      </c>
      <c r="AM168" s="49">
        <f t="shared" ref="AM168:AM176" ca="1" si="14">N168/C168</f>
        <v>1.0526315789473684E-2</v>
      </c>
      <c r="AN168" s="54">
        <f t="shared" ref="AN168:AN176" si="15">(I168+J168)/(I168/M168)</f>
        <v>67.617943622580398</v>
      </c>
      <c r="AO168" s="54">
        <f t="shared" ref="AO168:AO176" ca="1" si="16">C168/AN168</f>
        <v>16.859430188576564</v>
      </c>
    </row>
    <row r="169" spans="1:41" ht="15.75" customHeight="1" x14ac:dyDescent="0.3">
      <c r="A169" s="120">
        <v>530517</v>
      </c>
      <c r="B169" s="121" t="s">
        <v>24</v>
      </c>
      <c r="C169" s="3">
        <f ca="1">IFERROR(__xludf.DUMMYFUNCTION("GOOGLEFINANCE(""bom:""&amp;A169,""price"")"),836.85)</f>
        <v>836.85</v>
      </c>
      <c r="D169" s="54">
        <f ca="1">IFERROR(__xludf.DUMMYFUNCTION("GOOGLEFINANCE(""bom:""&amp;A169,""marketcap"")/10000000"),20861.05468)</f>
        <v>20861.054680000001</v>
      </c>
      <c r="E169" s="3">
        <v>1216.56</v>
      </c>
      <c r="F169" s="3">
        <v>537.48</v>
      </c>
      <c r="G169" s="3">
        <v>2623.56</v>
      </c>
      <c r="H169" s="3">
        <v>725.92</v>
      </c>
      <c r="I169" s="3">
        <v>24.89</v>
      </c>
      <c r="J169" s="3">
        <v>1897.64</v>
      </c>
      <c r="K169" s="3">
        <v>225</v>
      </c>
      <c r="L169" s="3">
        <v>318.74</v>
      </c>
      <c r="M169" s="3">
        <v>1</v>
      </c>
      <c r="N169" s="54">
        <v>8</v>
      </c>
      <c r="O169" s="49">
        <v>0.23910000000000001</v>
      </c>
      <c r="P169" s="3">
        <v>1964</v>
      </c>
      <c r="Q169" s="3">
        <v>2783</v>
      </c>
      <c r="R169" s="3">
        <v>154</v>
      </c>
      <c r="S169" s="3">
        <v>2167</v>
      </c>
      <c r="T169" s="3">
        <v>2018</v>
      </c>
      <c r="U169" s="3">
        <v>139</v>
      </c>
      <c r="V169" s="3">
        <v>91</v>
      </c>
      <c r="W169" s="3">
        <v>19</v>
      </c>
      <c r="X169" s="3">
        <v>2591</v>
      </c>
      <c r="Y169" s="49">
        <f t="shared" si="0"/>
        <v>7.3835480673934528E-2</v>
      </c>
      <c r="Z169" s="49">
        <f t="shared" si="1"/>
        <v>0.52747252747252737</v>
      </c>
      <c r="AA169" s="49">
        <f t="shared" si="2"/>
        <v>7.2196399677454171E-2</v>
      </c>
      <c r="AB169" s="49">
        <f t="shared" si="3"/>
        <v>5.533596837944664E-2</v>
      </c>
      <c r="AC169" s="49">
        <f t="shared" si="4"/>
        <v>6.4143977849561606E-2</v>
      </c>
      <c r="AD169" s="54">
        <f t="shared" si="5"/>
        <v>11.105263157894736</v>
      </c>
      <c r="AE169" s="122">
        <f t="shared" si="6"/>
        <v>2.2634516633177046</v>
      </c>
      <c r="AF169" s="54">
        <f t="shared" si="7"/>
        <v>41.803844771828963</v>
      </c>
      <c r="AG169" s="122">
        <f t="shared" si="8"/>
        <v>0.11856832697455787</v>
      </c>
      <c r="AH169" s="122">
        <f t="shared" si="9"/>
        <v>0.27669273811157358</v>
      </c>
      <c r="AI169" s="49">
        <f t="shared" si="10"/>
        <v>8.1153432684808499E-2</v>
      </c>
      <c r="AJ169" s="122">
        <f t="shared" si="11"/>
        <v>6.1872237846524705</v>
      </c>
      <c r="AK169" s="49">
        <f t="shared" si="12"/>
        <v>5.8698867188095569E-2</v>
      </c>
      <c r="AL169" s="54">
        <f t="shared" ca="1" si="13"/>
        <v>104.60625</v>
      </c>
      <c r="AM169" s="49">
        <f t="shared" ca="1" si="14"/>
        <v>9.5596582422178399E-3</v>
      </c>
      <c r="AN169" s="54">
        <f t="shared" si="15"/>
        <v>77.241060666934516</v>
      </c>
      <c r="AO169" s="54">
        <f t="shared" ca="1" si="16"/>
        <v>10.834263444523621</v>
      </c>
    </row>
    <row r="170" spans="1:41" ht="15.75" customHeight="1" x14ac:dyDescent="0.3">
      <c r="A170" s="120">
        <v>500043</v>
      </c>
      <c r="B170" s="121" t="s">
        <v>157</v>
      </c>
      <c r="C170" s="3">
        <f ca="1">IFERROR(__xludf.DUMMYFUNCTION("GOOGLEFINANCE(""bom:""&amp;A170,""price"")"),1437.45)</f>
        <v>1437.45</v>
      </c>
      <c r="D170" s="54">
        <f ca="1">IFERROR(__xludf.DUMMYFUNCTION("GOOGLEFINANCE(""bom:""&amp;A170,""marketcap"")/10000000"),18482.2545)</f>
        <v>18482.254499999999</v>
      </c>
      <c r="E170" s="3">
        <v>1549</v>
      </c>
      <c r="F170" s="3">
        <v>869</v>
      </c>
      <c r="G170" s="3">
        <v>3236</v>
      </c>
      <c r="H170" s="3">
        <v>1833</v>
      </c>
      <c r="I170" s="3">
        <v>64</v>
      </c>
      <c r="J170" s="3">
        <v>1403</v>
      </c>
      <c r="K170" s="3">
        <v>1263</v>
      </c>
      <c r="L170" s="3">
        <v>100</v>
      </c>
      <c r="M170" s="3">
        <v>5</v>
      </c>
      <c r="N170" s="54">
        <v>21</v>
      </c>
      <c r="O170" s="49">
        <v>0.20649999999999999</v>
      </c>
      <c r="P170" s="3">
        <v>2641</v>
      </c>
      <c r="Q170" s="3">
        <v>3452</v>
      </c>
      <c r="R170" s="3">
        <v>323</v>
      </c>
      <c r="S170" s="3">
        <v>2680</v>
      </c>
      <c r="T170" s="3">
        <v>2673</v>
      </c>
      <c r="U170" s="3">
        <v>198</v>
      </c>
      <c r="V170" s="3">
        <v>257</v>
      </c>
      <c r="W170" s="3">
        <v>108</v>
      </c>
      <c r="X170" s="3">
        <v>3060</v>
      </c>
      <c r="Y170" s="49">
        <f t="shared" si="0"/>
        <v>2.6187803965582734E-3</v>
      </c>
      <c r="Z170" s="49">
        <f t="shared" si="1"/>
        <v>-0.22957198443579763</v>
      </c>
      <c r="AA170" s="49">
        <f t="shared" si="2"/>
        <v>5.5019476590912442E-2</v>
      </c>
      <c r="AB170" s="49">
        <f t="shared" si="3"/>
        <v>9.3568945538818074E-2</v>
      </c>
      <c r="AC170" s="49">
        <f t="shared" si="4"/>
        <v>7.3880597014925373E-2</v>
      </c>
      <c r="AD170" s="54">
        <f t="shared" si="5"/>
        <v>4.6296296296296298</v>
      </c>
      <c r="AE170" s="122">
        <f t="shared" si="6"/>
        <v>1.7825086306098965</v>
      </c>
      <c r="AF170" s="54">
        <f t="shared" si="7"/>
        <v>10.573580533024334</v>
      </c>
      <c r="AG170" s="122">
        <f t="shared" si="8"/>
        <v>0.90021382751247325</v>
      </c>
      <c r="AH170" s="122">
        <f t="shared" si="9"/>
        <v>0.5664400494437577</v>
      </c>
      <c r="AI170" s="49">
        <f t="shared" si="10"/>
        <v>0.23022095509622237</v>
      </c>
      <c r="AJ170" s="122">
        <f t="shared" si="11"/>
        <v>5.046875</v>
      </c>
      <c r="AK170" s="49">
        <f t="shared" si="12"/>
        <v>9.9814585908529055E-2</v>
      </c>
      <c r="AL170" s="54">
        <f t="shared" ca="1" si="13"/>
        <v>68.45</v>
      </c>
      <c r="AM170" s="49">
        <f t="shared" ca="1" si="14"/>
        <v>1.4609203798392987E-2</v>
      </c>
      <c r="AN170" s="54">
        <f t="shared" si="15"/>
        <v>114.609375</v>
      </c>
      <c r="AO170" s="54">
        <f t="shared" ca="1" si="16"/>
        <v>12.542167689161555</v>
      </c>
    </row>
    <row r="171" spans="1:41" ht="15.75" customHeight="1" x14ac:dyDescent="0.3">
      <c r="A171" s="120">
        <v>543957</v>
      </c>
      <c r="B171" s="121" t="s">
        <v>158</v>
      </c>
      <c r="C171" s="3">
        <f ca="1">IFERROR(__xludf.DUMMYFUNCTION("GOOGLEFINANCE(""bom:""&amp;A171,""price"")"),612)</f>
        <v>612</v>
      </c>
      <c r="D171" s="54">
        <f ca="1">IFERROR(__xludf.DUMMYFUNCTION("GOOGLEFINANCE(""bom:""&amp;A171,""marketcap"")/10000000"),8460.72864)</f>
        <v>8460.7286399999994</v>
      </c>
      <c r="E171" s="3">
        <v>920</v>
      </c>
      <c r="F171" s="3">
        <v>647</v>
      </c>
      <c r="G171" s="3">
        <v>1479</v>
      </c>
      <c r="H171" s="3">
        <v>924</v>
      </c>
      <c r="I171" s="3">
        <v>28</v>
      </c>
      <c r="J171" s="3">
        <v>512</v>
      </c>
      <c r="K171" s="3">
        <v>471</v>
      </c>
      <c r="L171" s="3">
        <v>60</v>
      </c>
      <c r="M171" s="3">
        <v>2</v>
      </c>
      <c r="N171" s="54">
        <v>8</v>
      </c>
      <c r="O171" s="49">
        <v>9.5100000000000004E-2</v>
      </c>
      <c r="P171" s="3"/>
      <c r="Q171" s="3">
        <v>1468</v>
      </c>
      <c r="R171" s="3">
        <v>142</v>
      </c>
      <c r="S171" s="3">
        <v>1336</v>
      </c>
      <c r="T171" s="3">
        <v>1089</v>
      </c>
      <c r="U171" s="3">
        <v>135</v>
      </c>
      <c r="V171" s="3">
        <v>108</v>
      </c>
      <c r="W171" s="3">
        <v>17</v>
      </c>
      <c r="X171" s="3">
        <v>1285</v>
      </c>
      <c r="Y171" s="49">
        <f t="shared" si="0"/>
        <v>0.22681359044995419</v>
      </c>
      <c r="Z171" s="49">
        <f t="shared" si="1"/>
        <v>0.25</v>
      </c>
      <c r="AA171" s="49" t="e">
        <f t="shared" si="2"/>
        <v>#DIV/0!</v>
      </c>
      <c r="AB171" s="49">
        <f t="shared" si="3"/>
        <v>9.6730245231607628E-2</v>
      </c>
      <c r="AC171" s="49">
        <f t="shared" si="4"/>
        <v>0.10104790419161677</v>
      </c>
      <c r="AD171" s="54">
        <f t="shared" si="5"/>
        <v>11.764705882352942</v>
      </c>
      <c r="AE171" s="122">
        <f t="shared" si="6"/>
        <v>1.4219474497681608</v>
      </c>
      <c r="AF171" s="54">
        <f t="shared" si="7"/>
        <v>14.918256130790191</v>
      </c>
      <c r="AG171" s="122">
        <f t="shared" si="8"/>
        <v>0.919921875</v>
      </c>
      <c r="AH171" s="122">
        <f t="shared" si="9"/>
        <v>0.62474645030425968</v>
      </c>
      <c r="AI171" s="49">
        <f t="shared" si="10"/>
        <v>0.27734375</v>
      </c>
      <c r="AJ171" s="122">
        <f t="shared" si="11"/>
        <v>5.0714285714285712</v>
      </c>
      <c r="AK171" s="49">
        <f t="shared" si="12"/>
        <v>9.6010818120351588E-2</v>
      </c>
      <c r="AL171" s="54">
        <f t="shared" ca="1" si="13"/>
        <v>76.5</v>
      </c>
      <c r="AM171" s="49">
        <f t="shared" ca="1" si="14"/>
        <v>1.3071895424836602E-2</v>
      </c>
      <c r="AN171" s="54">
        <f t="shared" si="15"/>
        <v>38.571428571428569</v>
      </c>
      <c r="AO171" s="54">
        <f t="shared" ca="1" si="16"/>
        <v>15.866666666666667</v>
      </c>
    </row>
    <row r="172" spans="1:41" ht="15.75" customHeight="1" x14ac:dyDescent="0.3">
      <c r="A172" s="120">
        <v>543523</v>
      </c>
      <c r="B172" s="121" t="s">
        <v>159</v>
      </c>
      <c r="C172" s="3">
        <f ca="1">IFERROR(__xludf.DUMMYFUNCTION("GOOGLEFINANCE(""bom:""&amp;A172,""price"")"),245)</f>
        <v>245</v>
      </c>
      <c r="D172" s="54">
        <f ca="1">IFERROR(__xludf.DUMMYFUNCTION("GOOGLEFINANCE(""bom:""&amp;A172,""marketcap"")/10000000"),7480.30325)</f>
        <v>7480.3032499999999</v>
      </c>
      <c r="E172" s="3">
        <v>726.59</v>
      </c>
      <c r="F172" s="3">
        <v>404.99</v>
      </c>
      <c r="G172" s="3">
        <v>1170.8399999999999</v>
      </c>
      <c r="H172" s="3">
        <v>578.41999999999996</v>
      </c>
      <c r="I172" s="3">
        <v>152.61000000000001</v>
      </c>
      <c r="J172" s="3">
        <v>592.41999999999996</v>
      </c>
      <c r="K172" s="3">
        <v>327</v>
      </c>
      <c r="L172" s="3">
        <v>141.74</v>
      </c>
      <c r="M172" s="3">
        <v>5</v>
      </c>
      <c r="N172" s="54">
        <v>3</v>
      </c>
      <c r="O172" s="49">
        <v>8.5199999999999998E-2</v>
      </c>
      <c r="P172" s="3">
        <v>410</v>
      </c>
      <c r="Q172" s="3">
        <v>1484</v>
      </c>
      <c r="R172" s="3">
        <v>117</v>
      </c>
      <c r="S172" s="3">
        <v>1084</v>
      </c>
      <c r="T172" s="3">
        <v>1136</v>
      </c>
      <c r="U172" s="3">
        <v>56</v>
      </c>
      <c r="V172" s="3">
        <v>94</v>
      </c>
      <c r="W172" s="3">
        <v>29</v>
      </c>
      <c r="X172" s="3">
        <v>1330</v>
      </c>
      <c r="Y172" s="49">
        <f t="shared" si="0"/>
        <v>-4.5774647887323994E-2</v>
      </c>
      <c r="Z172" s="49">
        <f t="shared" si="1"/>
        <v>-0.4042553191489362</v>
      </c>
      <c r="AA172" s="49">
        <f t="shared" si="2"/>
        <v>0.29339151891355919</v>
      </c>
      <c r="AB172" s="49">
        <f t="shared" si="3"/>
        <v>7.8840970350404313E-2</v>
      </c>
      <c r="AC172" s="49">
        <f t="shared" si="4"/>
        <v>5.1660516605166053E-2</v>
      </c>
      <c r="AD172" s="54">
        <f t="shared" si="5"/>
        <v>6.3103448275862073</v>
      </c>
      <c r="AE172" s="122">
        <f t="shared" si="6"/>
        <v>1.7940936813254649</v>
      </c>
      <c r="AF172" s="54">
        <f t="shared" si="7"/>
        <v>34.861927223719682</v>
      </c>
      <c r="AG172" s="122">
        <f t="shared" si="8"/>
        <v>0.55197326221261944</v>
      </c>
      <c r="AH172" s="122">
        <f t="shared" si="9"/>
        <v>0.49402138635509546</v>
      </c>
      <c r="AI172" s="49">
        <f t="shared" si="10"/>
        <v>0.19749502042469871</v>
      </c>
      <c r="AJ172" s="122">
        <f t="shared" si="11"/>
        <v>0.76666011401611944</v>
      </c>
      <c r="AK172" s="49">
        <f t="shared" si="12"/>
        <v>9.9928256636261148E-2</v>
      </c>
      <c r="AL172" s="54">
        <f t="shared" ca="1" si="13"/>
        <v>81.666666666666671</v>
      </c>
      <c r="AM172" s="49">
        <f t="shared" ca="1" si="14"/>
        <v>1.2244897959183673E-2</v>
      </c>
      <c r="AN172" s="54">
        <f t="shared" si="15"/>
        <v>24.409606185702113</v>
      </c>
      <c r="AO172" s="54">
        <f t="shared" ca="1" si="16"/>
        <v>10.037032065822855</v>
      </c>
    </row>
    <row r="173" spans="1:41" ht="15.75" customHeight="1" x14ac:dyDescent="0.3">
      <c r="A173" s="120">
        <v>535601</v>
      </c>
      <c r="B173" s="121" t="s">
        <v>160</v>
      </c>
      <c r="C173" s="3">
        <f ca="1">IFERROR(__xludf.DUMMYFUNCTION("GOOGLEFINANCE(""bom:""&amp;A173,""price"")"),309.9)</f>
        <v>309.89999999999998</v>
      </c>
      <c r="D173" s="54">
        <f ca="1">IFERROR(__xludf.DUMMYFUNCTION("GOOGLEFINANCE(""bom:""&amp;A173,""marketcap"")/10000000"),719.4261889)</f>
        <v>719.42618890000006</v>
      </c>
      <c r="G173" s="3">
        <v>421</v>
      </c>
      <c r="H173" s="3">
        <v>24</v>
      </c>
      <c r="I173" s="3">
        <v>23</v>
      </c>
      <c r="J173" s="3">
        <v>374</v>
      </c>
      <c r="L173" s="3">
        <v>0.5</v>
      </c>
      <c r="M173" s="3">
        <v>10</v>
      </c>
      <c r="N173" s="54">
        <v>12</v>
      </c>
      <c r="O173" s="49">
        <v>8.0999999999999996E-3</v>
      </c>
      <c r="P173" s="3">
        <v>141</v>
      </c>
      <c r="Q173" s="3">
        <v>200</v>
      </c>
      <c r="R173" s="3">
        <v>26</v>
      </c>
      <c r="W173" s="3">
        <v>1</v>
      </c>
      <c r="X173" s="3">
        <v>164</v>
      </c>
      <c r="Y173" s="109">
        <f>(216/Q173)-1</f>
        <v>8.0000000000000071E-2</v>
      </c>
      <c r="Z173" s="109">
        <f>(29/R173)-1</f>
        <v>0.11538461538461542</v>
      </c>
      <c r="AA173" s="49">
        <f t="shared" si="2"/>
        <v>7.2413263368977798E-2</v>
      </c>
      <c r="AB173" s="49">
        <f t="shared" si="3"/>
        <v>0.13</v>
      </c>
      <c r="AC173" s="109">
        <f>29/216</f>
        <v>0.13425925925925927</v>
      </c>
      <c r="AD173" s="54">
        <f t="shared" si="5"/>
        <v>37</v>
      </c>
      <c r="AE173" s="122"/>
      <c r="AF173" s="54">
        <f t="shared" si="7"/>
        <v>0.91249999999999998</v>
      </c>
      <c r="AG173" s="122">
        <f t="shared" si="8"/>
        <v>0</v>
      </c>
      <c r="AH173" s="122">
        <f t="shared" si="9"/>
        <v>5.7007125890736345E-2</v>
      </c>
      <c r="AI173" s="49">
        <f t="shared" si="10"/>
        <v>6.9518716577540107E-2</v>
      </c>
      <c r="AJ173" s="122">
        <f t="shared" si="11"/>
        <v>1.1304347826086956</v>
      </c>
      <c r="AK173" s="49">
        <f t="shared" si="12"/>
        <v>6.1757719714964368E-2</v>
      </c>
      <c r="AL173" s="54">
        <f t="shared" ca="1" si="13"/>
        <v>25.824999999999999</v>
      </c>
      <c r="AM173" s="49">
        <f t="shared" ca="1" si="14"/>
        <v>3.8722168441432725E-2</v>
      </c>
      <c r="AN173" s="54">
        <f t="shared" si="15"/>
        <v>172.60869565217394</v>
      </c>
      <c r="AO173" s="54">
        <f t="shared" ca="1" si="16"/>
        <v>1.7953904282115865</v>
      </c>
    </row>
    <row r="174" spans="1:41" ht="15.75" customHeight="1" x14ac:dyDescent="0.3">
      <c r="A174" s="120">
        <v>540775</v>
      </c>
      <c r="B174" s="121" t="s">
        <v>161</v>
      </c>
      <c r="C174" s="3">
        <f ca="1">IFERROR(__xludf.DUMMYFUNCTION("GOOGLEFINANCE(""bom:""&amp;A174,""price"")"),354.8)</f>
        <v>354.8</v>
      </c>
      <c r="D174" s="54">
        <f ca="1">IFERROR(__xludf.DUMMYFUNCTION("GOOGLEFINANCE(""bom:""&amp;A174,""marketcap"")/10000000"),635.4999981)</f>
        <v>635.49999809999997</v>
      </c>
      <c r="G174" s="3">
        <v>784</v>
      </c>
      <c r="H174" s="3">
        <v>555</v>
      </c>
      <c r="I174" s="3">
        <v>18</v>
      </c>
      <c r="J174" s="3">
        <v>211</v>
      </c>
      <c r="K174" s="3">
        <v>325</v>
      </c>
      <c r="L174" s="3">
        <v>193</v>
      </c>
      <c r="M174" s="3">
        <v>10</v>
      </c>
      <c r="N174" s="54">
        <v>5</v>
      </c>
      <c r="O174" s="49">
        <v>7.4000000000000003E-3</v>
      </c>
      <c r="P174" s="3">
        <v>749</v>
      </c>
      <c r="Q174" s="3">
        <v>660</v>
      </c>
      <c r="R174" s="3">
        <v>18</v>
      </c>
      <c r="W174" s="3">
        <v>31</v>
      </c>
      <c r="X174" s="3">
        <v>586</v>
      </c>
      <c r="Y174" s="109">
        <f>(630/Q174)-1</f>
        <v>-4.5454545454545414E-2</v>
      </c>
      <c r="Z174" s="109">
        <f>(10/18)-1</f>
        <v>-0.44444444444444442</v>
      </c>
      <c r="AA174" s="49">
        <f t="shared" si="2"/>
        <v>-2.498247101461315E-2</v>
      </c>
      <c r="AB174" s="49">
        <f t="shared" si="3"/>
        <v>2.7272727272727271E-2</v>
      </c>
      <c r="AC174" s="49">
        <f t="shared" ref="AC174:AC176" si="17">10/630</f>
        <v>1.5873015873015872E-2</v>
      </c>
      <c r="AD174" s="54">
        <f t="shared" si="5"/>
        <v>3.3870967741935485</v>
      </c>
      <c r="AE174" s="122"/>
      <c r="AF174" s="54">
        <f t="shared" si="7"/>
        <v>106.73484848484848</v>
      </c>
      <c r="AG174" s="122">
        <f t="shared" si="8"/>
        <v>1.5402843601895735</v>
      </c>
      <c r="AH174" s="122">
        <f t="shared" si="9"/>
        <v>0.70790816326530615</v>
      </c>
      <c r="AI174" s="49">
        <f t="shared" si="10"/>
        <v>8.5308056872037921E-2</v>
      </c>
      <c r="AJ174" s="122">
        <f t="shared" si="11"/>
        <v>1</v>
      </c>
      <c r="AK174" s="49">
        <f t="shared" si="12"/>
        <v>2.2959183673469389E-2</v>
      </c>
      <c r="AL174" s="54">
        <f t="shared" ca="1" si="13"/>
        <v>70.960000000000008</v>
      </c>
      <c r="AM174" s="49">
        <f t="shared" ca="1" si="14"/>
        <v>1.4092446448703494E-2</v>
      </c>
      <c r="AN174" s="54">
        <f t="shared" si="15"/>
        <v>127.22222222222221</v>
      </c>
      <c r="AO174" s="54">
        <f t="shared" ca="1" si="16"/>
        <v>2.7888209606986902</v>
      </c>
    </row>
    <row r="175" spans="1:41" ht="15.75" customHeight="1" x14ac:dyDescent="0.3">
      <c r="A175" s="120">
        <v>526596</v>
      </c>
      <c r="B175" s="121" t="s">
        <v>162</v>
      </c>
      <c r="C175" s="3">
        <f ca="1">IFERROR(__xludf.DUMMYFUNCTION("GOOGLEFINANCE(""bom:""&amp;A175,""price"")"),298.45)</f>
        <v>298.45</v>
      </c>
      <c r="D175" s="54">
        <f ca="1">IFERROR(__xludf.DUMMYFUNCTION("GOOGLEFINANCE(""bom:""&amp;A175,""marketcap"")/10000000"),504.5530247)</f>
        <v>504.55302469999998</v>
      </c>
      <c r="G175" s="3">
        <v>461</v>
      </c>
      <c r="H175" s="3">
        <v>257</v>
      </c>
      <c r="I175" s="3">
        <v>17</v>
      </c>
      <c r="J175" s="3">
        <v>187</v>
      </c>
      <c r="K175" s="3">
        <v>138</v>
      </c>
      <c r="L175" s="3">
        <v>109</v>
      </c>
      <c r="M175" s="3">
        <v>10</v>
      </c>
      <c r="N175" s="54">
        <v>3</v>
      </c>
      <c r="O175" s="49">
        <v>5.4999999999999997E-3</v>
      </c>
      <c r="P175" s="3">
        <v>546</v>
      </c>
      <c r="Q175" s="3">
        <v>654</v>
      </c>
      <c r="R175" s="3">
        <v>13</v>
      </c>
      <c r="W175" s="3">
        <v>12</v>
      </c>
      <c r="X175" s="3">
        <v>593</v>
      </c>
      <c r="Y175" s="109">
        <f>(633/Q175)-1</f>
        <v>-3.2110091743119296E-2</v>
      </c>
      <c r="Z175" s="109">
        <f>6/633</f>
        <v>9.4786729857819912E-3</v>
      </c>
      <c r="AA175" s="49">
        <f t="shared" si="2"/>
        <v>3.6757106943644535E-2</v>
      </c>
      <c r="AB175" s="49">
        <f t="shared" si="3"/>
        <v>1.9877675840978593E-2</v>
      </c>
      <c r="AC175" s="49">
        <f t="shared" si="17"/>
        <v>1.5873015873015872E-2</v>
      </c>
      <c r="AD175" s="54">
        <f t="shared" si="5"/>
        <v>6.083333333333333</v>
      </c>
      <c r="AE175" s="122"/>
      <c r="AF175" s="54">
        <f t="shared" si="7"/>
        <v>60.833333333333329</v>
      </c>
      <c r="AG175" s="122">
        <f t="shared" si="8"/>
        <v>0.73796791443850263</v>
      </c>
      <c r="AH175" s="122">
        <f t="shared" si="9"/>
        <v>0.55748373101952275</v>
      </c>
      <c r="AI175" s="49">
        <f t="shared" si="10"/>
        <v>6.9518716577540107E-2</v>
      </c>
      <c r="AJ175" s="122">
        <f t="shared" si="11"/>
        <v>0.76470588235294112</v>
      </c>
      <c r="AK175" s="49">
        <f t="shared" si="12"/>
        <v>2.8199566160520606E-2</v>
      </c>
      <c r="AL175" s="54">
        <f t="shared" ca="1" si="13"/>
        <v>99.483333333333334</v>
      </c>
      <c r="AM175" s="49">
        <f t="shared" ca="1" si="14"/>
        <v>1.0051934997487017E-2</v>
      </c>
      <c r="AN175" s="54">
        <f t="shared" si="15"/>
        <v>120</v>
      </c>
      <c r="AO175" s="54">
        <f t="shared" ca="1" si="16"/>
        <v>2.4870833333333331</v>
      </c>
    </row>
    <row r="176" spans="1:41" ht="15.75" customHeight="1" thickBot="1" x14ac:dyDescent="0.35">
      <c r="A176" s="123">
        <v>532829</v>
      </c>
      <c r="B176" s="124" t="s">
        <v>163</v>
      </c>
      <c r="C176" s="98">
        <f ca="1">IFERROR(__xludf.DUMMYFUNCTION("GOOGLEFINANCE(""bom:""&amp;A176,""price"")"),134.55)</f>
        <v>134.55000000000001</v>
      </c>
      <c r="D176" s="125">
        <f ca="1">IFERROR(__xludf.DUMMYFUNCTION("GOOGLEFINANCE(""bom:""&amp;A176,""marketcap"")/10000000"),226.263187)</f>
        <v>226.26318699999999</v>
      </c>
      <c r="E176" s="84"/>
      <c r="F176" s="84"/>
      <c r="G176" s="98">
        <v>230</v>
      </c>
      <c r="H176" s="98">
        <v>135</v>
      </c>
      <c r="I176" s="98">
        <v>16</v>
      </c>
      <c r="J176" s="98">
        <v>79</v>
      </c>
      <c r="K176" s="98">
        <v>60</v>
      </c>
      <c r="L176" s="98">
        <v>80</v>
      </c>
      <c r="M176" s="98">
        <v>10</v>
      </c>
      <c r="N176" s="125">
        <v>5</v>
      </c>
      <c r="O176" s="126">
        <v>2.5999999999999999E-3</v>
      </c>
      <c r="P176" s="98">
        <v>75</v>
      </c>
      <c r="Q176" s="98">
        <v>202</v>
      </c>
      <c r="R176" s="98">
        <v>5</v>
      </c>
      <c r="S176" s="84"/>
      <c r="T176" s="84"/>
      <c r="U176" s="84"/>
      <c r="V176" s="84"/>
      <c r="W176" s="98">
        <v>5</v>
      </c>
      <c r="X176" s="98">
        <v>188</v>
      </c>
      <c r="Y176" s="127">
        <f>(206/Q176)-1</f>
        <v>1.980198019801982E-2</v>
      </c>
      <c r="Z176" s="127">
        <f>(7/206)</f>
        <v>3.3980582524271843E-2</v>
      </c>
      <c r="AA176" s="126">
        <f t="shared" si="2"/>
        <v>0.21915246532175248</v>
      </c>
      <c r="AB176" s="126">
        <f t="shared" si="3"/>
        <v>2.4752475247524754E-2</v>
      </c>
      <c r="AC176" s="126">
        <f t="shared" si="17"/>
        <v>1.5873015873015872E-2</v>
      </c>
      <c r="AD176" s="125">
        <f t="shared" si="5"/>
        <v>3.8</v>
      </c>
      <c r="AE176" s="128"/>
      <c r="AF176" s="125">
        <f t="shared" si="7"/>
        <v>144.55445544554456</v>
      </c>
      <c r="AG176" s="128">
        <f t="shared" si="8"/>
        <v>0.759493670886076</v>
      </c>
      <c r="AH176" s="128">
        <f t="shared" si="9"/>
        <v>0.58695652173913049</v>
      </c>
      <c r="AI176" s="126">
        <f t="shared" si="10"/>
        <v>6.3291139240506333E-2</v>
      </c>
      <c r="AJ176" s="128">
        <f t="shared" si="11"/>
        <v>0.3125</v>
      </c>
      <c r="AK176" s="126">
        <f t="shared" si="12"/>
        <v>2.1739130434782608E-2</v>
      </c>
      <c r="AL176" s="125">
        <f t="shared" ca="1" si="13"/>
        <v>26.910000000000004</v>
      </c>
      <c r="AM176" s="126">
        <f t="shared" ca="1" si="14"/>
        <v>3.7160906726124113E-2</v>
      </c>
      <c r="AN176" s="125">
        <f t="shared" si="15"/>
        <v>59.375</v>
      </c>
      <c r="AO176" s="125">
        <f t="shared" ca="1" si="16"/>
        <v>2.2661052631578951</v>
      </c>
    </row>
    <row r="177" spans="1:41" ht="15.75" customHeight="1" thickTop="1" thickBot="1" x14ac:dyDescent="0.35"/>
    <row r="178" spans="1:41" ht="15.75" customHeight="1" thickTop="1" x14ac:dyDescent="0.3">
      <c r="A178" s="93"/>
      <c r="B178" s="93" t="s">
        <v>164</v>
      </c>
      <c r="C178" s="93"/>
      <c r="D178" s="129">
        <f ca="1">SUM(D168:D176)</f>
        <v>88630.758554</v>
      </c>
      <c r="E178" s="93">
        <v>6015.88</v>
      </c>
      <c r="F178" s="93">
        <v>2992.95</v>
      </c>
      <c r="G178" s="93">
        <v>13569.39</v>
      </c>
      <c r="H178" s="93">
        <v>6494.75</v>
      </c>
      <c r="I178" s="93">
        <v>479.37</v>
      </c>
      <c r="J178" s="93">
        <v>6957.64</v>
      </c>
      <c r="K178" s="93">
        <v>3869</v>
      </c>
      <c r="L178" s="93">
        <v>1133.4100000000001</v>
      </c>
      <c r="M178" s="93">
        <v>5</v>
      </c>
      <c r="N178" s="93">
        <v>78</v>
      </c>
      <c r="O178" s="130">
        <v>1</v>
      </c>
      <c r="P178" s="93">
        <v>7611</v>
      </c>
      <c r="Q178" s="93">
        <v>13030</v>
      </c>
      <c r="R178" s="93">
        <v>1163</v>
      </c>
      <c r="S178" s="93">
        <v>9041</v>
      </c>
      <c r="T178" s="93">
        <v>8499</v>
      </c>
      <c r="U178" s="93">
        <v>788</v>
      </c>
      <c r="V178" s="93">
        <v>847</v>
      </c>
      <c r="W178" s="93">
        <v>285</v>
      </c>
      <c r="X178" s="93">
        <v>11489</v>
      </c>
      <c r="Y178" s="130">
        <f>(S178/T178)-1</f>
        <v>6.3772208495117111E-2</v>
      </c>
      <c r="Z178" s="130">
        <f>(U178/V178)-1</f>
        <v>-6.965761511216062E-2</v>
      </c>
      <c r="AA178" s="130">
        <f>(Q178/P178)^(1/5)-1</f>
        <v>0.113526453349579</v>
      </c>
      <c r="AB178" s="130">
        <f t="shared" ref="AB178:AC178" si="18">MEDIAN(AB168:AB176)</f>
        <v>7.8840970350404313E-2</v>
      </c>
      <c r="AC178" s="130">
        <f t="shared" si="18"/>
        <v>6.4143977849561606E-2</v>
      </c>
      <c r="AD178" s="129">
        <f>(Q178-X178+W178)/W178</f>
        <v>6.4070175438596495</v>
      </c>
      <c r="AE178" s="131">
        <f>E178/F178</f>
        <v>2.0100168729848478</v>
      </c>
      <c r="AF178" s="132">
        <f>(L178/Q178)*365</f>
        <v>31.749397544128936</v>
      </c>
      <c r="AG178" s="131">
        <f>K178/J178</f>
        <v>0.55607936024284099</v>
      </c>
      <c r="AH178" s="131">
        <f>H178/G178</f>
        <v>0.47863242194380146</v>
      </c>
      <c r="AI178" s="130">
        <f>R178/J178</f>
        <v>0.16715437993342569</v>
      </c>
      <c r="AJ178" s="131">
        <f>R178/I178</f>
        <v>2.4261009241295866</v>
      </c>
      <c r="AK178" s="130">
        <f>R178/G178</f>
        <v>8.5707611027466976E-2</v>
      </c>
      <c r="AL178" s="129">
        <f t="shared" ref="AL178:AM178" ca="1" si="19">MEDIAN(AL168:AL172)</f>
        <v>81.666666666666671</v>
      </c>
      <c r="AM178" s="130">
        <f t="shared" ca="1" si="19"/>
        <v>1.2244897959183673E-2</v>
      </c>
      <c r="AN178" s="129">
        <f>(I178+J178)/(I178/M178)</f>
        <v>77.57066566535245</v>
      </c>
      <c r="AO178" s="129">
        <f ca="1">MEDIAN(AO168:AO172)</f>
        <v>12.542167689161555</v>
      </c>
    </row>
    <row r="179" spans="1:41" ht="15.75" customHeight="1" x14ac:dyDescent="0.3"/>
    <row r="180" spans="1:41" ht="15.75" customHeight="1" x14ac:dyDescent="0.3">
      <c r="B180" s="133" t="s">
        <v>190</v>
      </c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2"/>
    </row>
    <row r="181" spans="1:41" ht="15.75" customHeight="1" x14ac:dyDescent="0.3">
      <c r="B181" s="73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5"/>
    </row>
    <row r="182" spans="1:41" ht="15.75" customHeight="1" x14ac:dyDescent="0.3"/>
    <row r="183" spans="1:41" ht="15.75" customHeight="1" x14ac:dyDescent="0.3"/>
    <row r="184" spans="1:41" ht="15.75" customHeight="1" x14ac:dyDescent="0.3"/>
    <row r="185" spans="1:41" ht="15.75" customHeight="1" x14ac:dyDescent="0.3"/>
    <row r="186" spans="1:41" ht="15.75" customHeight="1" x14ac:dyDescent="0.3"/>
    <row r="187" spans="1:41" ht="15.75" customHeight="1" x14ac:dyDescent="0.3"/>
    <row r="188" spans="1:41" ht="15.75" customHeight="1" x14ac:dyDescent="0.3"/>
    <row r="189" spans="1:41" ht="15.75" customHeight="1" x14ac:dyDescent="0.3"/>
    <row r="190" spans="1:41" ht="15.75" customHeight="1" x14ac:dyDescent="0.3"/>
    <row r="191" spans="1:41" ht="15.75" customHeight="1" x14ac:dyDescent="0.3"/>
    <row r="192" spans="1:41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  <row r="1035" ht="15.75" customHeight="1" x14ac:dyDescent="0.3"/>
    <row r="1036" ht="15.75" customHeight="1" x14ac:dyDescent="0.3"/>
    <row r="1037" ht="15.75" customHeight="1" x14ac:dyDescent="0.3"/>
    <row r="1038" ht="15.75" customHeight="1" x14ac:dyDescent="0.3"/>
    <row r="1039" ht="15.75" customHeight="1" x14ac:dyDescent="0.3"/>
    <row r="1040" ht="15.75" customHeight="1" x14ac:dyDescent="0.3"/>
    <row r="1041" ht="15.75" customHeight="1" x14ac:dyDescent="0.3"/>
    <row r="1042" ht="15.75" customHeight="1" x14ac:dyDescent="0.3"/>
    <row r="1043" ht="15.75" customHeight="1" x14ac:dyDescent="0.3"/>
    <row r="1044" ht="15.75" customHeight="1" x14ac:dyDescent="0.3"/>
    <row r="1045" ht="15.75" customHeight="1" x14ac:dyDescent="0.3"/>
    <row r="1046" ht="15.75" customHeight="1" x14ac:dyDescent="0.3"/>
    <row r="1047" ht="15.75" customHeight="1" x14ac:dyDescent="0.3"/>
    <row r="1048" ht="15.75" customHeight="1" x14ac:dyDescent="0.3"/>
    <row r="1049" ht="15.75" customHeight="1" x14ac:dyDescent="0.3"/>
    <row r="1050" ht="15.75" customHeight="1" x14ac:dyDescent="0.3"/>
    <row r="1051" ht="15.75" customHeight="1" x14ac:dyDescent="0.3"/>
    <row r="1052" ht="15.75" customHeight="1" x14ac:dyDescent="0.3"/>
    <row r="1053" ht="15.75" customHeight="1" x14ac:dyDescent="0.3"/>
    <row r="1054" ht="15.75" customHeight="1" x14ac:dyDescent="0.3"/>
    <row r="1055" ht="15.75" customHeight="1" x14ac:dyDescent="0.3"/>
    <row r="1056" ht="15.75" customHeight="1" x14ac:dyDescent="0.3"/>
    <row r="1057" ht="15.75" customHeight="1" x14ac:dyDescent="0.3"/>
    <row r="1058" ht="15.75" customHeight="1" x14ac:dyDescent="0.3"/>
    <row r="1059" ht="15.75" customHeight="1" x14ac:dyDescent="0.3"/>
    <row r="1060" ht="15.75" customHeight="1" x14ac:dyDescent="0.3"/>
    <row r="1061" ht="15.75" customHeight="1" x14ac:dyDescent="0.3"/>
    <row r="1062" ht="15.75" customHeight="1" x14ac:dyDescent="0.3"/>
    <row r="1063" ht="15.75" customHeight="1" x14ac:dyDescent="0.3"/>
    <row r="1064" ht="15.75" customHeight="1" x14ac:dyDescent="0.3"/>
    <row r="1065" ht="15.75" customHeight="1" x14ac:dyDescent="0.3"/>
    <row r="1066" ht="15.75" customHeight="1" x14ac:dyDescent="0.3"/>
    <row r="1067" ht="15.75" customHeight="1" x14ac:dyDescent="0.3"/>
    <row r="1068" ht="15.75" customHeight="1" x14ac:dyDescent="0.3"/>
    <row r="1069" ht="15.75" customHeight="1" x14ac:dyDescent="0.3"/>
    <row r="1070" ht="15.75" customHeight="1" x14ac:dyDescent="0.3"/>
    <row r="1071" ht="15.75" customHeight="1" x14ac:dyDescent="0.3"/>
    <row r="1072" ht="15.75" customHeight="1" x14ac:dyDescent="0.3"/>
    <row r="1073" ht="15.75" customHeight="1" x14ac:dyDescent="0.3"/>
    <row r="1074" ht="15.75" customHeight="1" x14ac:dyDescent="0.3"/>
    <row r="1075" ht="15.75" customHeight="1" x14ac:dyDescent="0.3"/>
    <row r="1076" ht="15.75" customHeight="1" x14ac:dyDescent="0.3"/>
    <row r="1077" ht="15.75" customHeight="1" x14ac:dyDescent="0.3"/>
    <row r="1078" ht="15.75" customHeight="1" x14ac:dyDescent="0.3"/>
    <row r="1079" ht="15.75" customHeight="1" x14ac:dyDescent="0.3"/>
    <row r="1080" ht="15.75" customHeight="1" x14ac:dyDescent="0.3"/>
    <row r="1081" ht="15.75" customHeight="1" x14ac:dyDescent="0.3"/>
    <row r="1082" ht="15.75" customHeight="1" x14ac:dyDescent="0.3"/>
    <row r="1083" ht="15.75" customHeight="1" x14ac:dyDescent="0.3"/>
    <row r="1084" ht="15.75" customHeight="1" x14ac:dyDescent="0.3"/>
    <row r="1085" ht="15.75" customHeight="1" x14ac:dyDescent="0.3"/>
    <row r="1086" ht="15.75" customHeight="1" x14ac:dyDescent="0.3"/>
    <row r="1087" ht="15.75" customHeight="1" x14ac:dyDescent="0.3"/>
    <row r="1088" ht="15.75" customHeight="1" x14ac:dyDescent="0.3"/>
    <row r="1089" ht="15.75" customHeight="1" x14ac:dyDescent="0.3"/>
    <row r="1090" ht="15.75" customHeight="1" x14ac:dyDescent="0.3"/>
    <row r="1091" ht="15.75" customHeight="1" x14ac:dyDescent="0.3"/>
    <row r="1092" ht="15.75" customHeight="1" x14ac:dyDescent="0.3"/>
    <row r="1093" ht="15.75" customHeight="1" x14ac:dyDescent="0.3"/>
    <row r="1094" ht="15.75" customHeight="1" x14ac:dyDescent="0.3"/>
    <row r="1095" ht="15.75" customHeight="1" x14ac:dyDescent="0.3"/>
    <row r="1096" ht="15.75" customHeight="1" x14ac:dyDescent="0.3"/>
    <row r="1097" ht="15.75" customHeight="1" x14ac:dyDescent="0.3"/>
    <row r="1098" ht="15.75" customHeight="1" x14ac:dyDescent="0.3"/>
    <row r="1099" ht="15.75" customHeight="1" x14ac:dyDescent="0.3"/>
    <row r="1100" ht="15.75" customHeight="1" x14ac:dyDescent="0.3"/>
    <row r="1101" ht="15.75" customHeight="1" x14ac:dyDescent="0.3"/>
    <row r="1102" ht="15.75" customHeight="1" x14ac:dyDescent="0.3"/>
    <row r="1103" ht="15.75" customHeight="1" x14ac:dyDescent="0.3"/>
    <row r="1104" ht="15.75" customHeight="1" x14ac:dyDescent="0.3"/>
    <row r="1105" ht="15.75" customHeight="1" x14ac:dyDescent="0.3"/>
    <row r="1106" ht="15.75" customHeight="1" x14ac:dyDescent="0.3"/>
    <row r="1107" ht="15.75" customHeight="1" x14ac:dyDescent="0.3"/>
    <row r="1108" ht="15.75" customHeight="1" x14ac:dyDescent="0.3"/>
    <row r="1109" ht="15.75" customHeight="1" x14ac:dyDescent="0.3"/>
    <row r="1110" ht="15.75" customHeight="1" x14ac:dyDescent="0.3"/>
    <row r="1111" ht="15.75" customHeight="1" x14ac:dyDescent="0.3"/>
    <row r="1112" ht="15.75" customHeight="1" x14ac:dyDescent="0.3"/>
    <row r="1113" ht="15.75" customHeight="1" x14ac:dyDescent="0.3"/>
    <row r="1114" ht="15.75" customHeight="1" x14ac:dyDescent="0.3"/>
    <row r="1115" ht="15.75" customHeight="1" x14ac:dyDescent="0.3"/>
    <row r="1116" ht="15.75" customHeight="1" x14ac:dyDescent="0.3"/>
    <row r="1117" ht="15.75" customHeight="1" x14ac:dyDescent="0.3"/>
    <row r="1118" ht="15.75" customHeight="1" x14ac:dyDescent="0.3"/>
    <row r="1119" ht="15.75" customHeight="1" x14ac:dyDescent="0.3"/>
    <row r="1120" ht="15.75" customHeight="1" x14ac:dyDescent="0.3"/>
    <row r="1121" ht="15.75" customHeight="1" x14ac:dyDescent="0.3"/>
    <row r="1122" ht="15.75" customHeight="1" x14ac:dyDescent="0.3"/>
    <row r="1123" ht="15.75" customHeight="1" x14ac:dyDescent="0.3"/>
    <row r="1124" ht="15.75" customHeight="1" x14ac:dyDescent="0.3"/>
    <row r="1125" ht="15.75" customHeight="1" x14ac:dyDescent="0.3"/>
    <row r="1126" ht="15.75" customHeight="1" x14ac:dyDescent="0.3"/>
    <row r="1127" ht="15.75" customHeight="1" x14ac:dyDescent="0.3"/>
    <row r="1128" ht="15.75" customHeight="1" x14ac:dyDescent="0.3"/>
    <row r="1129" ht="15.75" customHeight="1" x14ac:dyDescent="0.3"/>
    <row r="1130" ht="15.75" customHeight="1" x14ac:dyDescent="0.3"/>
    <row r="1131" ht="15.75" customHeight="1" x14ac:dyDescent="0.3"/>
    <row r="1132" ht="15.75" customHeight="1" x14ac:dyDescent="0.3"/>
    <row r="1133" ht="15.75" customHeight="1" x14ac:dyDescent="0.3"/>
    <row r="1134" ht="15.75" customHeight="1" x14ac:dyDescent="0.3"/>
    <row r="1135" ht="15.75" customHeight="1" x14ac:dyDescent="0.3"/>
    <row r="1136" ht="15.75" customHeight="1" x14ac:dyDescent="0.3"/>
    <row r="1137" ht="15.75" customHeight="1" x14ac:dyDescent="0.3"/>
    <row r="1138" ht="15.75" customHeight="1" x14ac:dyDescent="0.3"/>
    <row r="1139" ht="15.75" customHeight="1" x14ac:dyDescent="0.3"/>
    <row r="1140" ht="15.75" customHeight="1" x14ac:dyDescent="0.3"/>
    <row r="1141" ht="15.75" customHeight="1" x14ac:dyDescent="0.3"/>
    <row r="1142" ht="15.75" customHeight="1" x14ac:dyDescent="0.3"/>
    <row r="1143" ht="15.75" customHeight="1" x14ac:dyDescent="0.3"/>
  </sheetData>
  <mergeCells count="2">
    <mergeCell ref="B2:M3"/>
    <mergeCell ref="B180:M181"/>
  </mergeCells>
  <conditionalFormatting sqref="C6:C8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21:C29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50:C58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81:C89">
    <cfRule type="colorScale" priority="4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140:C150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11:D121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40:D150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21:G29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81:G89">
    <cfRule type="colorScale" priority="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G50:H58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11:H119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H140:H148">
    <cfRule type="colorScale" priority="1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I140:I148">
    <cfRule type="colorScale" priority="1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21:K29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81:K89">
    <cfRule type="colorScale" priority="6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M140:M148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180" r:id="rId1" xr:uid="{8C91A2D0-85C4-4348-B7FA-58592E7C5C4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RELAXO</vt:lpstr>
      <vt:lpstr>Footwear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2024-03-01T10:23:21Z</dcterms:created>
  <dcterms:modified xsi:type="dcterms:W3CDTF">2024-03-01T10:23:52Z</dcterms:modified>
</cp:coreProperties>
</file>