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_24\"/>
    </mc:Choice>
  </mc:AlternateContent>
  <xr:revisionPtr revIDLastSave="0" documentId="8_{A3255B74-105A-4D36-8D55-7C307D2844D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ector" sheetId="1" r:id="rId1"/>
    <sheet name="GENERALINSURANCE" sheetId="2" r:id="rId2"/>
    <sheet name="Sheet3" sheetId="3" r:id="rId3"/>
    <sheet name="DASHBOARD" sheetId="4" r:id="rId4"/>
    <sheet name="GICRE" sheetId="5" r:id="rId5"/>
    <sheet name="ICICIGI" sheetId="6" r:id="rId6"/>
    <sheet name="NIACL" sheetId="7" r:id="rId7"/>
  </sheets>
  <definedNames>
    <definedName name="_xlnm._FilterDatabase" localSheetId="5" hidden="1">ICICIGI!$U$40:$Y$47</definedName>
  </definedNames>
  <calcPr calcId="191029"/>
  <extLst>
    <ext uri="GoogleSheetsCustomDataVersion2">
      <go:sheetsCustomData xmlns:go="http://customooxmlschemas.google.com/" r:id="rId12" roundtripDataChecksum="OjAjwonIGiTYqoGuulYgDbELEVjxKnuYJQ6DEs7wADM="/>
    </ext>
  </extLst>
</workbook>
</file>

<file path=xl/calcChain.xml><?xml version="1.0" encoding="utf-8"?>
<calcChain xmlns="http://schemas.openxmlformats.org/spreadsheetml/2006/main">
  <c r="E19" i="7" l="1"/>
  <c r="D18" i="7"/>
  <c r="C18" i="7"/>
  <c r="E18" i="7" s="1"/>
  <c r="E17" i="7"/>
  <c r="E16" i="7"/>
  <c r="H16" i="7" s="1"/>
  <c r="E15" i="7"/>
  <c r="H15" i="7" s="1"/>
  <c r="G12" i="7"/>
  <c r="F12" i="7"/>
  <c r="E12" i="7"/>
  <c r="D12" i="7"/>
  <c r="C12" i="7"/>
  <c r="H7" i="7"/>
  <c r="H6" i="7"/>
  <c r="B3" i="7"/>
  <c r="I51" i="6"/>
  <c r="I50" i="6"/>
  <c r="R49" i="6"/>
  <c r="Q49" i="6"/>
  <c r="P49" i="6"/>
  <c r="S49" i="6" s="1"/>
  <c r="I49" i="6"/>
  <c r="I48" i="6"/>
  <c r="X47" i="6"/>
  <c r="R47" i="6"/>
  <c r="I47" i="6"/>
  <c r="X46" i="6"/>
  <c r="S46" i="6"/>
  <c r="R46" i="6"/>
  <c r="I46" i="6"/>
  <c r="X45" i="6"/>
  <c r="W45" i="6"/>
  <c r="V45" i="6"/>
  <c r="S45" i="6"/>
  <c r="R45" i="6"/>
  <c r="I45" i="6"/>
  <c r="X44" i="6"/>
  <c r="S44" i="6"/>
  <c r="R44" i="6"/>
  <c r="I44" i="6"/>
  <c r="X43" i="6"/>
  <c r="S43" i="6"/>
  <c r="R43" i="6"/>
  <c r="I43" i="6"/>
  <c r="X42" i="6"/>
  <c r="W42" i="6"/>
  <c r="W49" i="6" s="1"/>
  <c r="V42" i="6"/>
  <c r="V49" i="6" s="1"/>
  <c r="S42" i="6"/>
  <c r="R42" i="6"/>
  <c r="I42" i="6"/>
  <c r="X41" i="6"/>
  <c r="S41" i="6"/>
  <c r="R41" i="6"/>
  <c r="I41" i="6"/>
  <c r="I40" i="6"/>
  <c r="I39" i="6"/>
  <c r="X38" i="6"/>
  <c r="R38" i="6"/>
  <c r="I38" i="6"/>
  <c r="X37" i="6"/>
  <c r="W37" i="6"/>
  <c r="V37" i="6"/>
  <c r="Q37" i="6"/>
  <c r="P37" i="6"/>
  <c r="D12" i="6" s="1"/>
  <c r="I37" i="6"/>
  <c r="X36" i="6"/>
  <c r="R36" i="6"/>
  <c r="M36" i="6"/>
  <c r="L36" i="6"/>
  <c r="I36" i="6"/>
  <c r="X35" i="6"/>
  <c r="R35" i="6"/>
  <c r="M35" i="6"/>
  <c r="L35" i="6"/>
  <c r="I35" i="6"/>
  <c r="X34" i="6"/>
  <c r="R34" i="6"/>
  <c r="M34" i="6"/>
  <c r="L34" i="6"/>
  <c r="I34" i="6"/>
  <c r="I27" i="6" s="1"/>
  <c r="X33" i="6"/>
  <c r="R33" i="6"/>
  <c r="M33" i="6"/>
  <c r="L33" i="6"/>
  <c r="I33" i="6"/>
  <c r="X32" i="6"/>
  <c r="R32" i="6"/>
  <c r="M32" i="6"/>
  <c r="M26" i="6" s="1"/>
  <c r="L32" i="6"/>
  <c r="I32" i="6"/>
  <c r="X31" i="6"/>
  <c r="R31" i="6"/>
  <c r="M31" i="6"/>
  <c r="L31" i="6"/>
  <c r="I31" i="6"/>
  <c r="I26" i="6" s="1"/>
  <c r="G29" i="6"/>
  <c r="H28" i="6"/>
  <c r="G28" i="6"/>
  <c r="F28" i="6"/>
  <c r="E28" i="6"/>
  <c r="D28" i="6"/>
  <c r="H27" i="6"/>
  <c r="G27" i="6"/>
  <c r="F27" i="6"/>
  <c r="E27" i="6"/>
  <c r="D27" i="6"/>
  <c r="L26" i="6"/>
  <c r="K26" i="6"/>
  <c r="J26" i="6"/>
  <c r="H26" i="6"/>
  <c r="G26" i="6"/>
  <c r="F26" i="6"/>
  <c r="E26" i="6"/>
  <c r="D26" i="6"/>
  <c r="N25" i="6"/>
  <c r="M25" i="6"/>
  <c r="L25" i="6"/>
  <c r="K25" i="6"/>
  <c r="J25" i="6"/>
  <c r="H25" i="6"/>
  <c r="G25" i="6"/>
  <c r="F25" i="6"/>
  <c r="E25" i="6"/>
  <c r="D25" i="6"/>
  <c r="P22" i="6"/>
  <c r="S20" i="6"/>
  <c r="D20" i="6"/>
  <c r="D16" i="6" s="1"/>
  <c r="M17" i="6"/>
  <c r="F17" i="6"/>
  <c r="G17" i="6" s="1"/>
  <c r="D17" i="6"/>
  <c r="E6" i="6" s="1"/>
  <c r="E8" i="6" s="1"/>
  <c r="O12" i="6"/>
  <c r="I12" i="6"/>
  <c r="B12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V7" i="6"/>
  <c r="G7" i="6"/>
  <c r="F7" i="6"/>
  <c r="E7" i="6"/>
  <c r="D7" i="6"/>
  <c r="V6" i="6"/>
  <c r="V8" i="6" s="1"/>
  <c r="D6" i="6"/>
  <c r="D8" i="6" s="1"/>
  <c r="C6" i="6"/>
  <c r="R22" i="6" s="1"/>
  <c r="F17" i="5"/>
  <c r="E17" i="5"/>
  <c r="D17" i="5"/>
  <c r="F16" i="5"/>
  <c r="F14" i="5"/>
  <c r="F13" i="5"/>
  <c r="F12" i="5"/>
  <c r="N3" i="1" s="1"/>
  <c r="N1" i="1" s="1"/>
  <c r="J9" i="5"/>
  <c r="I9" i="5"/>
  <c r="H9" i="5"/>
  <c r="G9" i="5"/>
  <c r="F9" i="5"/>
  <c r="E9" i="5"/>
  <c r="D9" i="5"/>
  <c r="F7" i="5"/>
  <c r="K5" i="5"/>
  <c r="K4" i="5"/>
  <c r="K3" i="1" s="1"/>
  <c r="K1" i="1" s="1"/>
  <c r="L66" i="4"/>
  <c r="K66" i="4"/>
  <c r="M66" i="4" s="1"/>
  <c r="G66" i="4"/>
  <c r="F66" i="4"/>
  <c r="E66" i="4"/>
  <c r="D66" i="4"/>
  <c r="C66" i="4"/>
  <c r="M65" i="4"/>
  <c r="M64" i="4"/>
  <c r="H64" i="4"/>
  <c r="M63" i="4"/>
  <c r="H63" i="4"/>
  <c r="C60" i="4"/>
  <c r="F106" i="2"/>
  <c r="G99" i="2" s="1"/>
  <c r="G104" i="2"/>
  <c r="G103" i="2"/>
  <c r="G102" i="2"/>
  <c r="G101" i="2"/>
  <c r="G100" i="2"/>
  <c r="G98" i="2"/>
  <c r="G97" i="2"/>
  <c r="G96" i="2"/>
  <c r="G95" i="2"/>
  <c r="G94" i="2"/>
  <c r="G93" i="2"/>
  <c r="G92" i="2"/>
  <c r="G90" i="2"/>
  <c r="G89" i="2"/>
  <c r="G88" i="2"/>
  <c r="G87" i="2"/>
  <c r="G86" i="2"/>
  <c r="G85" i="2"/>
  <c r="G84" i="2"/>
  <c r="G82" i="2"/>
  <c r="G81" i="2"/>
  <c r="G80" i="2"/>
  <c r="G79" i="2"/>
  <c r="G78" i="2"/>
  <c r="G77" i="2"/>
  <c r="G76" i="2"/>
  <c r="G74" i="2"/>
  <c r="R71" i="2"/>
  <c r="K71" i="2"/>
  <c r="R70" i="2"/>
  <c r="K70" i="2"/>
  <c r="R69" i="2"/>
  <c r="K69" i="2"/>
  <c r="R68" i="2"/>
  <c r="K68" i="2"/>
  <c r="E6" i="2"/>
  <c r="E5" i="2"/>
  <c r="E4" i="2"/>
  <c r="AC5" i="1"/>
  <c r="Y5" i="1"/>
  <c r="T5" i="1"/>
  <c r="S5" i="1"/>
  <c r="O5" i="1"/>
  <c r="Q5" i="1" s="1"/>
  <c r="N5" i="1"/>
  <c r="M5" i="1"/>
  <c r="K5" i="1"/>
  <c r="D5" i="1"/>
  <c r="C5" i="1"/>
  <c r="S4" i="1"/>
  <c r="P4" i="1"/>
  <c r="Q4" i="1" s="1"/>
  <c r="O4" i="1"/>
  <c r="N4" i="1"/>
  <c r="M4" i="1"/>
  <c r="K4" i="1"/>
  <c r="G4" i="1"/>
  <c r="T4" i="1" s="1"/>
  <c r="F4" i="1"/>
  <c r="D4" i="1"/>
  <c r="C4" i="1"/>
  <c r="Y3" i="1"/>
  <c r="S3" i="1"/>
  <c r="S1" i="1" s="1"/>
  <c r="Q3" i="1"/>
  <c r="P3" i="1"/>
  <c r="O3" i="1"/>
  <c r="O1" i="1" s="1"/>
  <c r="M3" i="1"/>
  <c r="M1" i="1" s="1"/>
  <c r="G3" i="1"/>
  <c r="T3" i="1" s="1"/>
  <c r="T1" i="1" s="1"/>
  <c r="F3" i="1"/>
  <c r="F1" i="1" s="1"/>
  <c r="F7" i="1" s="1"/>
  <c r="D3" i="1"/>
  <c r="C3" i="1"/>
  <c r="H1" i="1"/>
  <c r="G1" i="1"/>
  <c r="Z3" i="1" l="1"/>
  <c r="C8" i="6"/>
  <c r="N12" i="6"/>
  <c r="Y45" i="6"/>
  <c r="Z5" i="1"/>
  <c r="R5" i="1"/>
  <c r="D15" i="6"/>
  <c r="Y42" i="6"/>
  <c r="Y46" i="6"/>
  <c r="Y49" i="6"/>
  <c r="Y43" i="6"/>
  <c r="X49" i="6"/>
  <c r="Y47" i="6"/>
  <c r="Y44" i="6"/>
  <c r="Y41" i="6"/>
  <c r="Z4" i="1"/>
  <c r="R4" i="1"/>
  <c r="N26" i="6"/>
  <c r="R3" i="1"/>
  <c r="G6" i="6"/>
  <c r="I28" i="6"/>
  <c r="G20" i="6" s="1"/>
  <c r="E16" i="6" s="1"/>
  <c r="S47" i="6"/>
  <c r="Y4" i="1"/>
  <c r="R37" i="6"/>
  <c r="E17" i="6"/>
  <c r="I25" i="6"/>
  <c r="Q22" i="6"/>
  <c r="G75" i="2"/>
  <c r="G83" i="2"/>
  <c r="G91" i="2"/>
  <c r="E15" i="6" l="1"/>
  <c r="F16" i="6"/>
  <c r="F6" i="6"/>
  <c r="E21" i="6"/>
  <c r="K12" i="6"/>
  <c r="G8" i="6"/>
  <c r="L12" i="6"/>
  <c r="R1" i="1"/>
  <c r="J12" i="6" l="1"/>
  <c r="F8" i="6"/>
  <c r="F15" i="6"/>
  <c r="G15" i="6" s="1"/>
  <c r="G16" i="6"/>
</calcChain>
</file>

<file path=xl/sharedStrings.xml><?xml version="1.0" encoding="utf-8"?>
<sst xmlns="http://schemas.openxmlformats.org/spreadsheetml/2006/main" count="577" uniqueCount="333">
  <si>
    <t>Industry</t>
  </si>
  <si>
    <t>General Insurance</t>
  </si>
  <si>
    <t>Security Code</t>
  </si>
  <si>
    <t>Security Name</t>
  </si>
  <si>
    <t>PRICE</t>
  </si>
  <si>
    <t>Marketcap</t>
  </si>
  <si>
    <t>Date</t>
  </si>
  <si>
    <t>Revenue</t>
  </si>
  <si>
    <t>Profit</t>
  </si>
  <si>
    <t>EQUITY</t>
  </si>
  <si>
    <t>FV</t>
  </si>
  <si>
    <t>Rev Gr 2001</t>
  </si>
  <si>
    <t>Rev gr 2010</t>
  </si>
  <si>
    <t>Profit Gr 2001</t>
  </si>
  <si>
    <t>Profit 2010</t>
  </si>
  <si>
    <t>Cy Rev Gr</t>
  </si>
  <si>
    <t>Cy Profit Gr</t>
  </si>
  <si>
    <t>EPS</t>
  </si>
  <si>
    <t>F-EPS</t>
  </si>
  <si>
    <t>F-PE</t>
  </si>
  <si>
    <t>Margin</t>
  </si>
  <si>
    <t>R-O-E</t>
  </si>
  <si>
    <t>Interest Coverage</t>
  </si>
  <si>
    <t>Cagr 2001</t>
  </si>
  <si>
    <t>Cagr 2010</t>
  </si>
  <si>
    <t>Dividend/Investment</t>
  </si>
  <si>
    <t>DIV %</t>
  </si>
  <si>
    <t>ROI</t>
  </si>
  <si>
    <t>Reserve</t>
  </si>
  <si>
    <t>Debt</t>
  </si>
  <si>
    <t>ROE</t>
  </si>
  <si>
    <t>NSE:GICRE</t>
  </si>
  <si>
    <t>NSE:NIACL</t>
  </si>
  <si>
    <t>NSE:ICICIGI</t>
  </si>
  <si>
    <t>18 Years</t>
  </si>
  <si>
    <t>65% population below age 35</t>
  </si>
  <si>
    <t>Irda</t>
  </si>
  <si>
    <t>LifeInsurance</t>
  </si>
  <si>
    <t>Generalinsurance</t>
  </si>
  <si>
    <t>17% growth</t>
  </si>
  <si>
    <t>Cargo</t>
  </si>
  <si>
    <t>travel</t>
  </si>
  <si>
    <t>Health</t>
  </si>
  <si>
    <t>Motor</t>
  </si>
  <si>
    <t>Equipment</t>
  </si>
  <si>
    <t>Homes</t>
  </si>
  <si>
    <t>INDUSTRY</t>
  </si>
  <si>
    <t>TIME</t>
  </si>
  <si>
    <t>GENERAL INS INDUSTRY</t>
  </si>
  <si>
    <t>PREMIUM IN CR</t>
  </si>
  <si>
    <t>GROWTH</t>
  </si>
  <si>
    <t>PVT MSHARE%</t>
  </si>
  <si>
    <t>TARRIF ERA</t>
  </si>
  <si>
    <t>FY_2001</t>
  </si>
  <si>
    <t>FY_2008</t>
  </si>
  <si>
    <t>NON TARIFF</t>
  </si>
  <si>
    <t>FY_2022</t>
  </si>
  <si>
    <t>FY_2023</t>
  </si>
  <si>
    <t>TOTAL</t>
  </si>
  <si>
    <t>RANKING</t>
  </si>
  <si>
    <t>COMPANY</t>
  </si>
  <si>
    <t>PREMIUM_FY23(8M)</t>
  </si>
  <si>
    <t>COMPANIES</t>
  </si>
  <si>
    <t>MSHARE</t>
  </si>
  <si>
    <t>The New India Assurance Company Limited</t>
  </si>
  <si>
    <t>TOP 10</t>
  </si>
  <si>
    <t>ICICI Lombard General Insurance Company Limited</t>
  </si>
  <si>
    <t>BOTTOM 21</t>
  </si>
  <si>
    <t>United India Insurance Company Limited</t>
  </si>
  <si>
    <t>HDFC Ergo General insurance Company Limited</t>
  </si>
  <si>
    <t>National Insurance Company Limited</t>
  </si>
  <si>
    <t>Bajaj Allianz General Insurance Company Limited</t>
  </si>
  <si>
    <t>The Oriental Insurance Company Limited</t>
  </si>
  <si>
    <t>LISTED PVT</t>
  </si>
  <si>
    <t>PREMIUM FY_23</t>
  </si>
  <si>
    <t>TOTAL INCOME_FY_23</t>
  </si>
  <si>
    <t>Agricultural Insurance Company of India Limited</t>
  </si>
  <si>
    <t>ICICIGI</t>
  </si>
  <si>
    <t>Tata AIG General Insurance Company Limited</t>
  </si>
  <si>
    <t>STARHEALTH</t>
  </si>
  <si>
    <t>Star Health &amp; Allied Insurance Company Limited</t>
  </si>
  <si>
    <t>11-33</t>
  </si>
  <si>
    <t>OTHERS</t>
  </si>
  <si>
    <t>QUALITY</t>
  </si>
  <si>
    <t>PROFIT MARGIN</t>
  </si>
  <si>
    <t>EXP. MANG. RATIO</t>
  </si>
  <si>
    <t>CLAIM RATIO</t>
  </si>
  <si>
    <t>COMBINED RATIO</t>
  </si>
  <si>
    <t>LIQUIDITY</t>
  </si>
  <si>
    <t>SOLVENCY RATIO</t>
  </si>
  <si>
    <t>PROFITAILITY</t>
  </si>
  <si>
    <t>YIELD/INV</t>
  </si>
  <si>
    <t>SOLVENCY</t>
  </si>
  <si>
    <t>LISTED SPACE</t>
  </si>
  <si>
    <t>LTP</t>
  </si>
  <si>
    <t>% Chg</t>
  </si>
  <si>
    <t>PROFIT</t>
  </si>
  <si>
    <t>RESERVE</t>
  </si>
  <si>
    <t>GNPA%</t>
  </si>
  <si>
    <t>GICRE</t>
  </si>
  <si>
    <t>NIACL</t>
  </si>
  <si>
    <t>TOTAL GI</t>
  </si>
  <si>
    <t>MARKETSHARE</t>
  </si>
  <si>
    <t>Reliance General Insurance Company Limited</t>
  </si>
  <si>
    <t>SBI General Insurance Company Limited</t>
  </si>
  <si>
    <t>IFFCO Tokio General Insurance Company Limited</t>
  </si>
  <si>
    <t>Go Digit General Insurance Limited</t>
  </si>
  <si>
    <t>Cholamandalam MS General Insurance Company Limited</t>
  </si>
  <si>
    <t>Care Health Insurance Limited</t>
  </si>
  <si>
    <t>Universal Sompo General Insurance Company Limited</t>
  </si>
  <si>
    <t>Future Generali India Insurance Company Limited</t>
  </si>
  <si>
    <t>Niva Bupa Health Insurance Company Limited</t>
  </si>
  <si>
    <t>Royal Sundaram General Insurance Company Limited</t>
  </si>
  <si>
    <t>Aditya Birla Health Insurance Company Limited</t>
  </si>
  <si>
    <t>Magma HDI General Insurance Company Limited</t>
  </si>
  <si>
    <t>Shriram General Insurance Company Limited</t>
  </si>
  <si>
    <t>Liberty General Insurance Limited</t>
  </si>
  <si>
    <t>Acko General Insurance Limited</t>
  </si>
  <si>
    <t>ManipalCigna Health Insurance Company Limited</t>
  </si>
  <si>
    <t>ECGC Limited</t>
  </si>
  <si>
    <t>Kotak Mahindra General Insurance Company Limited</t>
  </si>
  <si>
    <t>Edelweiss General Insurance Company Limited</t>
  </si>
  <si>
    <t>Raheja QBE General Insurance Company Limited</t>
  </si>
  <si>
    <t>NAVI General Insurance Limited</t>
  </si>
  <si>
    <t>TOTAL FY_23 (8M)</t>
  </si>
  <si>
    <t>FY_23</t>
  </si>
  <si>
    <t>General Insurers Total</t>
  </si>
  <si>
    <t>1,40,059</t>
  </si>
  <si>
    <t>1,20,169</t>
  </si>
  <si>
    <t>Stand-alone Pvt Health Insurers</t>
  </si>
  <si>
    <t>Specialized PSU Insurers</t>
  </si>
  <si>
    <t>GRAND TOTAL</t>
  </si>
  <si>
    <t>1,65,360.44</t>
  </si>
  <si>
    <t>1,41,992.01</t>
  </si>
  <si>
    <t>S.No.</t>
  </si>
  <si>
    <t>INSURER</t>
  </si>
  <si>
    <t>For the Month of NOVEMBER</t>
  </si>
  <si>
    <t>Upto the Month of NOVEMBER</t>
  </si>
  <si>
    <t>MARKET SHARE UPTO the Month Of November, 2022 (%)</t>
  </si>
  <si>
    <t>GROWTH OVER THE CORRESPONDING PERIOD OF PREVIOUS YEAR (%)</t>
  </si>
  <si>
    <t>2022-23</t>
  </si>
  <si>
    <t>2021-22</t>
  </si>
  <si>
    <t>MARKET SHARE</t>
  </si>
  <si>
    <t>The New India Assurance</t>
  </si>
  <si>
    <t>ICICI Lombard</t>
  </si>
  <si>
    <t>United India</t>
  </si>
  <si>
    <t>HDFC Ergo</t>
  </si>
  <si>
    <t>National Insurance</t>
  </si>
  <si>
    <t>Bajaj Allianz</t>
  </si>
  <si>
    <t>The Oriental</t>
  </si>
  <si>
    <t>Agricultural Insurance</t>
  </si>
  <si>
    <t>Tata AIG</t>
  </si>
  <si>
    <t>Star Health</t>
  </si>
  <si>
    <t>Reliance General</t>
  </si>
  <si>
    <t>SBI General</t>
  </si>
  <si>
    <t>IFFCO Tokio</t>
  </si>
  <si>
    <t>General Insurance Industry</t>
  </si>
  <si>
    <t xml:space="preserve">Growing by </t>
  </si>
  <si>
    <t>Population Below 35</t>
  </si>
  <si>
    <t>Insurance Industry</t>
  </si>
  <si>
    <t>Non-Life Insurance</t>
  </si>
  <si>
    <t>Life Insurance</t>
  </si>
  <si>
    <t>LIC</t>
  </si>
  <si>
    <t>3.4 Lakh Cr Sales</t>
  </si>
  <si>
    <t>Top 10 Sales Making Companies in India</t>
  </si>
  <si>
    <t>30000 cr Profits</t>
  </si>
  <si>
    <t>TOP 5 Profit Making Companeis in India</t>
  </si>
  <si>
    <t>It would Be biggest IPO of India. India's Saudi Aramco</t>
  </si>
  <si>
    <t>China:</t>
  </si>
  <si>
    <t>2 Companies in World TOP 5</t>
  </si>
  <si>
    <t>11 Lakh cr plus sales</t>
  </si>
  <si>
    <t>Just 32 Years OLd</t>
  </si>
  <si>
    <t>Ping An Insuranxce</t>
  </si>
  <si>
    <t>1 Lakh cr Plus Profit</t>
  </si>
  <si>
    <t>China Life Insurance</t>
  </si>
  <si>
    <t>Listed General Insurance Companeis</t>
  </si>
  <si>
    <t>4th largest</t>
  </si>
  <si>
    <t>Sales Gr 18 Years</t>
  </si>
  <si>
    <t>largest private</t>
  </si>
  <si>
    <t>Figures in Mln</t>
  </si>
  <si>
    <t>2019-20</t>
  </si>
  <si>
    <t>2018-19</t>
  </si>
  <si>
    <t>2017-18</t>
  </si>
  <si>
    <t>2016-17</t>
  </si>
  <si>
    <t>2015-16</t>
  </si>
  <si>
    <t>Growth</t>
  </si>
  <si>
    <t>Q1</t>
  </si>
  <si>
    <t>2020-21</t>
  </si>
  <si>
    <t>eps</t>
  </si>
  <si>
    <t>margin</t>
  </si>
  <si>
    <t>Yieldon Inv</t>
  </si>
  <si>
    <t>2 Types</t>
  </si>
  <si>
    <t>Premium income</t>
  </si>
  <si>
    <t>Investment</t>
  </si>
  <si>
    <t>Price</t>
  </si>
  <si>
    <t>Inv. Yield</t>
  </si>
  <si>
    <t>Quarterly</t>
  </si>
  <si>
    <t>Profits</t>
  </si>
  <si>
    <t>Bookvalue</t>
  </si>
  <si>
    <t>9M</t>
  </si>
  <si>
    <t>revenue</t>
  </si>
  <si>
    <t>claims</t>
  </si>
  <si>
    <t>exp</t>
  </si>
  <si>
    <t>profit</t>
  </si>
  <si>
    <t>div/share</t>
  </si>
  <si>
    <t>npa</t>
  </si>
  <si>
    <t xml:space="preserve">ICICIGI </t>
  </si>
  <si>
    <t>SOURCE</t>
  </si>
  <si>
    <t>FUND</t>
  </si>
  <si>
    <t>APPLIACATION</t>
  </si>
  <si>
    <t>Company</t>
  </si>
  <si>
    <t>Marketcap in Cr</t>
  </si>
  <si>
    <t>PREMIUM_23</t>
  </si>
  <si>
    <t>PROFIT_23</t>
  </si>
  <si>
    <t>EPS_23</t>
  </si>
  <si>
    <t>Equity</t>
  </si>
  <si>
    <t>BORROWING</t>
  </si>
  <si>
    <t>SH. FUND</t>
  </si>
  <si>
    <t>PH. FUND</t>
  </si>
  <si>
    <t>TOTAL ASSETS</t>
  </si>
  <si>
    <t>CUR LIABILITIES</t>
  </si>
  <si>
    <t>SH. INVSTM.</t>
  </si>
  <si>
    <t>PH. INVST.</t>
  </si>
  <si>
    <t>FIXED ASSETS</t>
  </si>
  <si>
    <t>DIF. TAX</t>
  </si>
  <si>
    <t>CUR. LIABILITIES</t>
  </si>
  <si>
    <t>CUR. ASSETS</t>
  </si>
  <si>
    <t>NETWORTH</t>
  </si>
  <si>
    <t>PRV. YEAR</t>
  </si>
  <si>
    <t>PROFITABILITY</t>
  </si>
  <si>
    <t>VALUATIONS</t>
  </si>
  <si>
    <t>PREM. GROWTH</t>
  </si>
  <si>
    <t>P-MARGIN</t>
  </si>
  <si>
    <t>EXPENSE RATIO</t>
  </si>
  <si>
    <t>ICR</t>
  </si>
  <si>
    <t>ROAE</t>
  </si>
  <si>
    <t>TRAIL_PE</t>
  </si>
  <si>
    <t>YIELD_23</t>
  </si>
  <si>
    <t>BOOKVALUE</t>
  </si>
  <si>
    <t>PBV</t>
  </si>
  <si>
    <t>PEG</t>
  </si>
  <si>
    <t>2.53X</t>
  </si>
  <si>
    <t>Estimate</t>
  </si>
  <si>
    <t>Year</t>
  </si>
  <si>
    <t>Premium</t>
  </si>
  <si>
    <t>FAIRVALUE</t>
  </si>
  <si>
    <t>FY_2035</t>
  </si>
  <si>
    <t>FY_2030</t>
  </si>
  <si>
    <t>Q2_FY23</t>
  </si>
  <si>
    <t>Q3_FY23</t>
  </si>
  <si>
    <t>Q4_FY23</t>
  </si>
  <si>
    <t>TRAILEPS</t>
  </si>
  <si>
    <t>FY_2024</t>
  </si>
  <si>
    <t>Expectation</t>
  </si>
  <si>
    <t>MARGIN</t>
  </si>
  <si>
    <t>TREND</t>
  </si>
  <si>
    <t>H1_FY_23</t>
  </si>
  <si>
    <t>9M_FY_23</t>
  </si>
  <si>
    <t>Q1_FY_24</t>
  </si>
  <si>
    <t>EST_24</t>
  </si>
  <si>
    <t>TRAIL_EPS</t>
  </si>
  <si>
    <t>F_EPS_24</t>
  </si>
  <si>
    <t>LongTerm</t>
  </si>
  <si>
    <t>PE_22</t>
  </si>
  <si>
    <t>PE_23</t>
  </si>
  <si>
    <t>PE_24</t>
  </si>
  <si>
    <t>High Price</t>
  </si>
  <si>
    <t>Low Price</t>
  </si>
  <si>
    <t>High P/E</t>
  </si>
  <si>
    <t>Low P/E</t>
  </si>
  <si>
    <t>INT PE</t>
  </si>
  <si>
    <t>C YEAR</t>
  </si>
  <si>
    <t>5 Year</t>
  </si>
  <si>
    <t>10 Year</t>
  </si>
  <si>
    <t>15 Year</t>
  </si>
  <si>
    <t>Actual</t>
  </si>
  <si>
    <t>Q1_FY_23</t>
  </si>
  <si>
    <t>Q4_FY23_RESULT</t>
  </si>
  <si>
    <t>Q4_FY22</t>
  </si>
  <si>
    <t>GROSSPREMIUM</t>
  </si>
  <si>
    <t>INV INCOME</t>
  </si>
  <si>
    <t>FY_2021</t>
  </si>
  <si>
    <t>TOTAL INCOME</t>
  </si>
  <si>
    <t>FY_2020</t>
  </si>
  <si>
    <t>Expenses</t>
  </si>
  <si>
    <t>FY_2019</t>
  </si>
  <si>
    <t>IPO</t>
  </si>
  <si>
    <t>FY_2018</t>
  </si>
  <si>
    <t>FY_2017</t>
  </si>
  <si>
    <t>FY_2016</t>
  </si>
  <si>
    <t>FY_2015</t>
  </si>
  <si>
    <t>FY_2014</t>
  </si>
  <si>
    <t>MAJORCOST_FY24</t>
  </si>
  <si>
    <t>SHARE</t>
  </si>
  <si>
    <t>SEGMENT_FY24</t>
  </si>
  <si>
    <t>FY_2013</t>
  </si>
  <si>
    <t>CLAIMSPAID</t>
  </si>
  <si>
    <t>MOTOR</t>
  </si>
  <si>
    <t>FY_2012</t>
  </si>
  <si>
    <t>CLAIMS OUTSTANDING</t>
  </si>
  <si>
    <t>HEALTH</t>
  </si>
  <si>
    <t>FY_2011</t>
  </si>
  <si>
    <t>PROMOTION</t>
  </si>
  <si>
    <t>FIRE</t>
  </si>
  <si>
    <t>FY_2010</t>
  </si>
  <si>
    <t>EMPLOYEE</t>
  </si>
  <si>
    <t>MARINE</t>
  </si>
  <si>
    <t>FY_2009</t>
  </si>
  <si>
    <t>OTHER EXP</t>
  </si>
  <si>
    <t>Miscellaneous</t>
  </si>
  <si>
    <t>COMMISIONS</t>
  </si>
  <si>
    <t>CROP</t>
  </si>
  <si>
    <t>FY_2007</t>
  </si>
  <si>
    <t>ADVERTISE</t>
  </si>
  <si>
    <t>INVEST INCOME</t>
  </si>
  <si>
    <t>FY_2006</t>
  </si>
  <si>
    <t>FY_2005</t>
  </si>
  <si>
    <t>TOTAL COST</t>
  </si>
  <si>
    <t>SEGMENT INCOME</t>
  </si>
  <si>
    <t>FY_2004</t>
  </si>
  <si>
    <t>FY_2003</t>
  </si>
  <si>
    <t>WWW.PROFITFROMTI.IN</t>
  </si>
  <si>
    <t>NO#1</t>
  </si>
  <si>
    <t>3 CR POLICIES</t>
  </si>
  <si>
    <t>FOUNDED</t>
  </si>
  <si>
    <t>100 YEARS</t>
  </si>
  <si>
    <t>SIR DORABJI TATA</t>
  </si>
  <si>
    <t>2014-15</t>
  </si>
  <si>
    <t>div y</t>
  </si>
  <si>
    <t>equity</t>
  </si>
  <si>
    <t>9Months</t>
  </si>
  <si>
    <t>NPA</t>
  </si>
  <si>
    <t>www.profitfromit.in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</si>
</sst>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/m/yyyy"/>
    <numFmt numFmtId="165" formatCode="0.0"/>
    <numFmt numFmtId="166" formatCode="0.0%"/>
  </numFmts>
  <fonts count="33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rgb="FF1F497D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Arial"/>
    </font>
    <font>
      <sz val="12"/>
      <color theme="1"/>
      <name val="Helvetica Neue"/>
    </font>
    <font>
      <sz val="11"/>
      <color rgb="FF000000"/>
      <name val="Calibri"/>
      <scheme val="minor"/>
    </font>
    <font>
      <sz val="11"/>
      <color rgb="FFFFFFFF"/>
      <name val="Calibri"/>
    </font>
    <font>
      <sz val="11"/>
      <name val="Calibri"/>
    </font>
    <font>
      <sz val="11"/>
      <color theme="1"/>
      <name val="Calibri"/>
    </font>
    <font>
      <sz val="11"/>
      <color rgb="FF000000"/>
      <name val="Calibri"/>
    </font>
    <font>
      <b/>
      <i/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5"/>
      <color theme="1"/>
      <name val="Arial"/>
    </font>
    <font>
      <b/>
      <sz val="16"/>
      <color theme="1"/>
      <name val="Arial"/>
    </font>
    <font>
      <b/>
      <sz val="14"/>
      <color theme="1"/>
      <name val="Arial"/>
    </font>
    <font>
      <sz val="16"/>
      <color theme="1"/>
      <name val="Arial"/>
    </font>
    <font>
      <sz val="15"/>
      <color theme="1"/>
      <name val="Arial"/>
    </font>
    <font>
      <sz val="16"/>
      <color rgb="FF000000"/>
      <name val="Arial"/>
    </font>
    <font>
      <b/>
      <sz val="24"/>
      <color rgb="FF1F497D"/>
      <name val="Calibri"/>
      <scheme val="minor"/>
    </font>
    <font>
      <sz val="36"/>
      <color theme="0"/>
      <name val="Calibri"/>
      <scheme val="minor"/>
    </font>
    <font>
      <sz val="11"/>
      <color rgb="FFFFFFFF"/>
      <name val="Calibri"/>
      <scheme val="minor"/>
    </font>
    <font>
      <sz val="31"/>
      <color theme="1"/>
      <name val="Calibri"/>
      <scheme val="minor"/>
    </font>
    <font>
      <b/>
      <i/>
      <u/>
      <sz val="11"/>
      <color theme="1"/>
      <name val="Calibri"/>
      <scheme val="minor"/>
    </font>
    <font>
      <b/>
      <i/>
      <u/>
      <sz val="11"/>
      <color theme="1"/>
      <name val="Calibri"/>
      <scheme val="minor"/>
    </font>
    <font>
      <b/>
      <i/>
      <u/>
      <sz val="11"/>
      <color theme="1"/>
      <name val="Calibri"/>
      <scheme val="minor"/>
    </font>
    <font>
      <b/>
      <i/>
      <u/>
      <sz val="11"/>
      <color theme="1"/>
      <name val="Calibri"/>
      <scheme val="minor"/>
    </font>
    <font>
      <u/>
      <sz val="36"/>
      <color rgb="FFFFFFFF"/>
      <name val="Calibri"/>
    </font>
    <font>
      <sz val="12"/>
      <color rgb="FF000000"/>
      <name val="Arial"/>
    </font>
    <font>
      <u/>
      <sz val="11"/>
      <color theme="10"/>
      <name val="Calibri"/>
      <scheme val="minor"/>
    </font>
    <font>
      <u/>
      <sz val="28"/>
      <color theme="0"/>
      <name val="Calibri"/>
      <family val="2"/>
      <scheme val="minor"/>
    </font>
    <font>
      <sz val="28"/>
      <color theme="0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F3C3BF"/>
        <bgColor rgb="FFF3C3BF"/>
      </patternFill>
    </fill>
    <fill>
      <patternFill patternType="solid">
        <fgColor rgb="FFEFAFA9"/>
        <bgColor rgb="FFEFAFA9"/>
      </patternFill>
    </fill>
    <fill>
      <patternFill patternType="solid">
        <fgColor rgb="FFE67C73"/>
        <bgColor rgb="FFE67C73"/>
      </patternFill>
    </fill>
    <fill>
      <patternFill patternType="solid">
        <fgColor rgb="FFE7F6EF"/>
        <bgColor rgb="FFE7F6EF"/>
      </patternFill>
    </fill>
    <fill>
      <patternFill patternType="solid">
        <fgColor rgb="FF63C092"/>
        <bgColor rgb="FF63C092"/>
      </patternFill>
    </fill>
    <fill>
      <patternFill patternType="solid">
        <fgColor rgb="FFA0C67B"/>
        <bgColor rgb="FFA0C67B"/>
      </patternFill>
    </fill>
    <fill>
      <patternFill patternType="solid">
        <fgColor rgb="FFDCD06E"/>
        <bgColor rgb="FFDCD06E"/>
      </patternFill>
    </fill>
    <fill>
      <patternFill patternType="solid">
        <fgColor rgb="FFF4C6C2"/>
        <bgColor rgb="FFF4C6C2"/>
      </patternFill>
    </fill>
    <fill>
      <patternFill patternType="solid">
        <fgColor rgb="FF57BB8A"/>
        <bgColor rgb="FF57BB8A"/>
      </patternFill>
    </fill>
    <fill>
      <patternFill patternType="solid">
        <fgColor rgb="FF92D3B4"/>
        <bgColor rgb="FF92D3B4"/>
      </patternFill>
    </fill>
    <fill>
      <patternFill patternType="solid">
        <fgColor rgb="FFBEE5D2"/>
        <bgColor rgb="FFBEE5D2"/>
      </patternFill>
    </fill>
    <fill>
      <patternFill patternType="solid">
        <fgColor rgb="FFF3C4C0"/>
        <bgColor rgb="FFF3C4C0"/>
      </patternFill>
    </fill>
    <fill>
      <patternFill patternType="solid">
        <fgColor rgb="FF76C8A0"/>
        <bgColor rgb="FF76C8A0"/>
      </patternFill>
    </fill>
    <fill>
      <patternFill patternType="solid">
        <fgColor rgb="FFF7D8D5"/>
        <bgColor rgb="FFF7D8D5"/>
      </patternFill>
    </fill>
    <fill>
      <patternFill patternType="solid">
        <fgColor rgb="FF92D050"/>
        <bgColor rgb="FF92D050"/>
      </patternFill>
    </fill>
    <fill>
      <patternFill patternType="solid">
        <fgColor rgb="FF16D6EA"/>
        <bgColor rgb="FF16D6EA"/>
      </patternFill>
    </fill>
    <fill>
      <patternFill patternType="solid">
        <fgColor rgb="FF63BE7B"/>
        <bgColor rgb="FF63BE7B"/>
      </patternFill>
    </fill>
    <fill>
      <patternFill patternType="solid">
        <fgColor rgb="FFAAD380"/>
        <bgColor rgb="FFAAD380"/>
      </patternFill>
    </fill>
    <fill>
      <patternFill patternType="solid">
        <fgColor rgb="FFA5D17F"/>
        <bgColor rgb="FFA5D17F"/>
      </patternFill>
    </fill>
    <fill>
      <patternFill patternType="solid">
        <fgColor rgb="FFE3E383"/>
        <bgColor rgb="FFE3E383"/>
      </patternFill>
    </fill>
    <fill>
      <patternFill patternType="solid">
        <fgColor rgb="FFBCD881"/>
        <bgColor rgb="FFBCD881"/>
      </patternFill>
    </fill>
    <fill>
      <patternFill patternType="solid">
        <fgColor rgb="FFF7E984"/>
        <bgColor rgb="FFF7E984"/>
      </patternFill>
    </fill>
    <fill>
      <patternFill patternType="solid">
        <fgColor rgb="FFC5DB81"/>
        <bgColor rgb="FFC5DB81"/>
      </patternFill>
    </fill>
    <fill>
      <patternFill patternType="solid">
        <fgColor rgb="FFFFEB84"/>
        <bgColor rgb="FFFFEB84"/>
      </patternFill>
    </fill>
    <fill>
      <patternFill patternType="solid">
        <fgColor rgb="FFC7DB81"/>
        <bgColor rgb="FFC7DB81"/>
      </patternFill>
    </fill>
    <fill>
      <patternFill patternType="solid">
        <fgColor rgb="FFFEE883"/>
        <bgColor rgb="FFFEE883"/>
      </patternFill>
    </fill>
    <fill>
      <patternFill patternType="solid">
        <fgColor rgb="FFD1DE82"/>
        <bgColor rgb="FFD1DE82"/>
      </patternFill>
    </fill>
    <fill>
      <patternFill patternType="solid">
        <fgColor rgb="FFFCBF7B"/>
        <bgColor rgb="FFFCBF7B"/>
      </patternFill>
    </fill>
    <fill>
      <patternFill patternType="solid">
        <fgColor rgb="FFD7E082"/>
        <bgColor rgb="FFD7E082"/>
      </patternFill>
    </fill>
    <fill>
      <patternFill patternType="solid">
        <fgColor rgb="FFFBA877"/>
        <bgColor rgb="FFFBA877"/>
      </patternFill>
    </fill>
    <fill>
      <patternFill patternType="solid">
        <fgColor rgb="FFDCE182"/>
        <bgColor rgb="FFDCE182"/>
      </patternFill>
    </fill>
    <fill>
      <patternFill patternType="solid">
        <fgColor rgb="FFFA9573"/>
        <bgColor rgb="FFFA9573"/>
      </patternFill>
    </fill>
    <fill>
      <patternFill patternType="solid">
        <fgColor rgb="FFDFE283"/>
        <bgColor rgb="FFDFE283"/>
      </patternFill>
    </fill>
    <fill>
      <patternFill patternType="solid">
        <fgColor rgb="FFF98A71"/>
        <bgColor rgb="FFF98A71"/>
      </patternFill>
    </fill>
    <fill>
      <patternFill patternType="solid">
        <fgColor rgb="FFE7E483"/>
        <bgColor rgb="FFE7E483"/>
      </patternFill>
    </fill>
    <fill>
      <patternFill patternType="solid">
        <fgColor rgb="FFF86B6B"/>
        <bgColor rgb="FFF86B6B"/>
      </patternFill>
    </fill>
    <fill>
      <patternFill patternType="solid">
        <fgColor rgb="FFE8E583"/>
        <bgColor rgb="FFE8E583"/>
      </patternFill>
    </fill>
    <fill>
      <patternFill patternType="solid">
        <fgColor rgb="FFF8696B"/>
        <bgColor rgb="FFF8696B"/>
      </patternFill>
    </fill>
    <fill>
      <patternFill patternType="solid">
        <fgColor rgb="FFF9EA84"/>
        <bgColor rgb="FFF9EA84"/>
      </patternFill>
    </fill>
    <fill>
      <patternFill patternType="solid">
        <fgColor rgb="FFFAEA84"/>
        <bgColor rgb="FFFAEA84"/>
      </patternFill>
    </fill>
    <fill>
      <patternFill patternType="solid">
        <fgColor rgb="FFFED980"/>
        <bgColor rgb="FFFED980"/>
      </patternFill>
    </fill>
    <fill>
      <patternFill patternType="solid">
        <fgColor rgb="FFFED880"/>
        <bgColor rgb="FFFED880"/>
      </patternFill>
    </fill>
    <fill>
      <patternFill patternType="solid">
        <fgColor rgb="FFFDC77D"/>
        <bgColor rgb="FFFDC77D"/>
      </patternFill>
    </fill>
    <fill>
      <patternFill patternType="solid">
        <fgColor rgb="FFFBAC77"/>
        <bgColor rgb="FFFBAC77"/>
      </patternFill>
    </fill>
    <fill>
      <patternFill patternType="solid">
        <fgColor rgb="FFFBA977"/>
        <bgColor rgb="FFFBA977"/>
      </patternFill>
    </fill>
    <fill>
      <patternFill patternType="solid">
        <fgColor rgb="FFFAA075"/>
        <bgColor rgb="FFFAA075"/>
      </patternFill>
    </fill>
    <fill>
      <patternFill patternType="solid">
        <fgColor rgb="FFFA9B74"/>
        <bgColor rgb="FFFA9B74"/>
      </patternFill>
    </fill>
    <fill>
      <patternFill patternType="solid">
        <fgColor rgb="FFFA8E72"/>
        <bgColor rgb="FFFA8E72"/>
      </patternFill>
    </fill>
    <fill>
      <patternFill patternType="solid">
        <fgColor rgb="FFF98971"/>
        <bgColor rgb="FFF98971"/>
      </patternFill>
    </fill>
    <fill>
      <patternFill patternType="solid">
        <fgColor rgb="FFF98470"/>
        <bgColor rgb="FFF98470"/>
      </patternFill>
    </fill>
    <fill>
      <patternFill patternType="solid">
        <fgColor rgb="FFF98370"/>
        <bgColor rgb="FFF98370"/>
      </patternFill>
    </fill>
    <fill>
      <patternFill patternType="solid">
        <fgColor rgb="FFF8766D"/>
        <bgColor rgb="FFF8766D"/>
      </patternFill>
    </fill>
    <fill>
      <patternFill patternType="solid">
        <fgColor rgb="FFF8746D"/>
        <bgColor rgb="FFF8746D"/>
      </patternFill>
    </fill>
    <fill>
      <patternFill patternType="solid">
        <fgColor rgb="FF20124D"/>
        <bgColor rgb="FF20124D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0" xfId="0" applyFont="1"/>
    <xf numFmtId="0" fontId="0" fillId="2" borderId="1" xfId="0" applyFill="1" applyBorder="1"/>
    <xf numFmtId="4" fontId="2" fillId="0" borderId="0" xfId="0" applyNumberFormat="1" applyFont="1"/>
    <xf numFmtId="9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3" fillId="0" borderId="2" xfId="0" applyFont="1" applyBorder="1"/>
    <xf numFmtId="0" fontId="4" fillId="0" borderId="2" xfId="0" applyFont="1" applyBorder="1"/>
    <xf numFmtId="0" fontId="2" fillId="0" borderId="2" xfId="0" applyFont="1" applyBorder="1"/>
    <xf numFmtId="0" fontId="5" fillId="0" borderId="2" xfId="0" applyFont="1" applyBorder="1"/>
    <xf numFmtId="0" fontId="1" fillId="0" borderId="2" xfId="0" applyFont="1" applyBorder="1"/>
    <xf numFmtId="1" fontId="6" fillId="3" borderId="2" xfId="0" applyNumberFormat="1" applyFont="1" applyFill="1" applyBorder="1"/>
    <xf numFmtId="1" fontId="6" fillId="3" borderId="2" xfId="0" applyNumberFormat="1" applyFont="1" applyFill="1" applyBorder="1" applyAlignment="1">
      <alignment horizontal="right"/>
    </xf>
    <xf numFmtId="164" fontId="7" fillId="0" borderId="2" xfId="0" applyNumberFormat="1" applyFont="1" applyBorder="1"/>
    <xf numFmtId="9" fontId="0" fillId="0" borderId="2" xfId="0" applyNumberFormat="1" applyBorder="1"/>
    <xf numFmtId="2" fontId="0" fillId="0" borderId="2" xfId="0" applyNumberFormat="1" applyBorder="1"/>
    <xf numFmtId="165" fontId="1" fillId="0" borderId="2" xfId="0" applyNumberFormat="1" applyFont="1" applyBorder="1"/>
    <xf numFmtId="0" fontId="5" fillId="4" borderId="2" xfId="0" applyFont="1" applyFill="1" applyBorder="1" applyAlignment="1">
      <alignment wrapText="1"/>
    </xf>
    <xf numFmtId="164" fontId="0" fillId="0" borderId="2" xfId="0" applyNumberFormat="1" applyBorder="1"/>
    <xf numFmtId="9" fontId="1" fillId="0" borderId="2" xfId="0" applyNumberFormat="1" applyFont="1" applyBorder="1"/>
    <xf numFmtId="10" fontId="0" fillId="0" borderId="2" xfId="0" applyNumberFormat="1" applyBorder="1"/>
    <xf numFmtId="10" fontId="1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wrapText="1"/>
    </xf>
    <xf numFmtId="0" fontId="8" fillId="5" borderId="2" xfId="0" applyFont="1" applyFill="1" applyBorder="1"/>
    <xf numFmtId="10" fontId="1" fillId="0" borderId="2" xfId="0" applyNumberFormat="1" applyFont="1" applyBorder="1"/>
    <xf numFmtId="166" fontId="1" fillId="0" borderId="2" xfId="0" applyNumberFormat="1" applyFont="1" applyBorder="1"/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8" fillId="5" borderId="5" xfId="0" applyFont="1" applyFill="1" applyBorder="1"/>
    <xf numFmtId="0" fontId="10" fillId="0" borderId="6" xfId="0" applyFont="1" applyBorder="1"/>
    <xf numFmtId="0" fontId="10" fillId="6" borderId="7" xfId="0" applyFont="1" applyFill="1" applyBorder="1" applyAlignment="1">
      <alignment horizontal="right"/>
    </xf>
    <xf numFmtId="0" fontId="10" fillId="7" borderId="6" xfId="0" applyFont="1" applyFill="1" applyBorder="1" applyAlignment="1">
      <alignment horizontal="right"/>
    </xf>
    <xf numFmtId="0" fontId="10" fillId="8" borderId="7" xfId="0" applyFont="1" applyFill="1" applyBorder="1" applyAlignment="1">
      <alignment horizontal="right"/>
    </xf>
    <xf numFmtId="0" fontId="10" fillId="8" borderId="6" xfId="0" applyFont="1" applyFill="1" applyBorder="1" applyAlignment="1">
      <alignment horizontal="right"/>
    </xf>
    <xf numFmtId="166" fontId="10" fillId="9" borderId="7" xfId="0" applyNumberFormat="1" applyFont="1" applyFill="1" applyBorder="1" applyAlignment="1">
      <alignment horizontal="right"/>
    </xf>
    <xf numFmtId="1" fontId="10" fillId="10" borderId="7" xfId="0" applyNumberFormat="1" applyFont="1" applyFill="1" applyBorder="1" applyAlignment="1">
      <alignment horizontal="right"/>
    </xf>
    <xf numFmtId="1" fontId="10" fillId="11" borderId="7" xfId="0" applyNumberFormat="1" applyFont="1" applyFill="1" applyBorder="1" applyAlignment="1">
      <alignment horizontal="right"/>
    </xf>
    <xf numFmtId="1" fontId="10" fillId="12" borderId="7" xfId="0" applyNumberFormat="1" applyFont="1" applyFill="1" applyBorder="1" applyAlignment="1">
      <alignment horizontal="right"/>
    </xf>
    <xf numFmtId="166" fontId="10" fillId="13" borderId="7" xfId="0" applyNumberFormat="1" applyFont="1" applyFill="1" applyBorder="1" applyAlignment="1">
      <alignment horizontal="right"/>
    </xf>
    <xf numFmtId="1" fontId="10" fillId="14" borderId="7" xfId="0" applyNumberFormat="1" applyFont="1" applyFill="1" applyBorder="1" applyAlignment="1">
      <alignment horizontal="right"/>
    </xf>
    <xf numFmtId="165" fontId="10" fillId="15" borderId="7" xfId="0" applyNumberFormat="1" applyFont="1" applyFill="1" applyBorder="1" applyAlignment="1">
      <alignment horizontal="right"/>
    </xf>
    <xf numFmtId="165" fontId="10" fillId="14" borderId="7" xfId="0" applyNumberFormat="1" applyFont="1" applyFill="1" applyBorder="1" applyAlignment="1">
      <alignment horizontal="right"/>
    </xf>
    <xf numFmtId="9" fontId="10" fillId="16" borderId="7" xfId="0" applyNumberFormat="1" applyFont="1" applyFill="1" applyBorder="1" applyAlignment="1">
      <alignment horizontal="right"/>
    </xf>
    <xf numFmtId="165" fontId="10" fillId="17" borderId="7" xfId="0" applyNumberFormat="1" applyFont="1" applyFill="1" applyBorder="1" applyAlignment="1">
      <alignment horizontal="right"/>
    </xf>
    <xf numFmtId="165" fontId="10" fillId="18" borderId="7" xfId="0" applyNumberFormat="1" applyFont="1" applyFill="1" applyBorder="1" applyAlignment="1">
      <alignment horizontal="right"/>
    </xf>
    <xf numFmtId="9" fontId="10" fillId="19" borderId="7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1" fontId="1" fillId="0" borderId="2" xfId="0" applyNumberFormat="1" applyFont="1" applyBorder="1"/>
    <xf numFmtId="166" fontId="1" fillId="0" borderId="0" xfId="0" applyNumberFormat="1" applyFont="1"/>
    <xf numFmtId="0" fontId="12" fillId="0" borderId="8" xfId="0" applyFont="1" applyBorder="1" applyAlignment="1">
      <alignment horizontal="left"/>
    </xf>
    <xf numFmtId="0" fontId="12" fillId="0" borderId="8" xfId="0" applyFont="1" applyBorder="1"/>
    <xf numFmtId="3" fontId="12" fillId="0" borderId="8" xfId="0" applyNumberFormat="1" applyFont="1" applyBorder="1"/>
    <xf numFmtId="0" fontId="13" fillId="0" borderId="0" xfId="0" applyFont="1"/>
    <xf numFmtId="0" fontId="11" fillId="0" borderId="0" xfId="0" applyFont="1"/>
    <xf numFmtId="0" fontId="14" fillId="20" borderId="2" xfId="0" applyFont="1" applyFill="1" applyBorder="1" applyAlignment="1">
      <alignment horizontal="left"/>
    </xf>
    <xf numFmtId="3" fontId="15" fillId="20" borderId="5" xfId="0" applyNumberFormat="1" applyFont="1" applyFill="1" applyBorder="1" applyAlignment="1">
      <alignment horizontal="left"/>
    </xf>
    <xf numFmtId="0" fontId="15" fillId="20" borderId="5" xfId="0" applyFont="1" applyFill="1" applyBorder="1" applyAlignment="1">
      <alignment horizontal="left"/>
    </xf>
    <xf numFmtId="0" fontId="15" fillId="20" borderId="5" xfId="0" applyFont="1" applyFill="1" applyBorder="1" applyAlignment="1">
      <alignment horizontal="right"/>
    </xf>
    <xf numFmtId="0" fontId="14" fillId="20" borderId="6" xfId="0" applyFont="1" applyFill="1" applyBorder="1" applyAlignment="1">
      <alignment horizontal="left"/>
    </xf>
    <xf numFmtId="3" fontId="15" fillId="20" borderId="7" xfId="0" applyNumberFormat="1" applyFont="1" applyFill="1" applyBorder="1" applyAlignment="1">
      <alignment horizontal="left"/>
    </xf>
    <xf numFmtId="0" fontId="15" fillId="20" borderId="7" xfId="0" applyFont="1" applyFill="1" applyBorder="1" applyAlignment="1">
      <alignment horizontal="right"/>
    </xf>
    <xf numFmtId="0" fontId="16" fillId="20" borderId="6" xfId="0" applyFont="1" applyFill="1" applyBorder="1" applyAlignment="1">
      <alignment horizontal="left"/>
    </xf>
    <xf numFmtId="0" fontId="15" fillId="20" borderId="7" xfId="0" applyFont="1" applyFill="1" applyBorder="1" applyAlignment="1">
      <alignment horizontal="left"/>
    </xf>
    <xf numFmtId="4" fontId="15" fillId="20" borderId="7" xfId="0" applyNumberFormat="1" applyFont="1" applyFill="1" applyBorder="1" applyAlignment="1">
      <alignment horizontal="right"/>
    </xf>
    <xf numFmtId="0" fontId="16" fillId="21" borderId="2" xfId="0" applyFont="1" applyFill="1" applyBorder="1" applyAlignment="1">
      <alignment horizontal="left"/>
    </xf>
    <xf numFmtId="4" fontId="15" fillId="21" borderId="5" xfId="0" applyNumberFormat="1" applyFont="1" applyFill="1" applyBorder="1" applyAlignment="1">
      <alignment horizontal="left"/>
    </xf>
    <xf numFmtId="4" fontId="15" fillId="21" borderId="5" xfId="0" applyNumberFormat="1" applyFont="1" applyFill="1" applyBorder="1" applyAlignment="1">
      <alignment horizontal="right"/>
    </xf>
    <xf numFmtId="0" fontId="15" fillId="21" borderId="5" xfId="0" applyFont="1" applyFill="1" applyBorder="1" applyAlignment="1">
      <alignment horizontal="right"/>
    </xf>
    <xf numFmtId="0" fontId="15" fillId="0" borderId="7" xfId="0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18" fillId="0" borderId="5" xfId="0" applyFont="1" applyBorder="1" applyAlignment="1">
      <alignment horizontal="left"/>
    </xf>
    <xf numFmtId="4" fontId="19" fillId="0" borderId="5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8" fillId="0" borderId="7" xfId="0" applyFont="1" applyBorder="1" applyAlignment="1">
      <alignment horizontal="left"/>
    </xf>
    <xf numFmtId="4" fontId="19" fillId="0" borderId="7" xfId="0" applyNumberFormat="1" applyFont="1" applyBorder="1" applyAlignment="1">
      <alignment horizontal="right"/>
    </xf>
    <xf numFmtId="0" fontId="19" fillId="0" borderId="7" xfId="0" applyFont="1" applyBorder="1" applyAlignment="1">
      <alignment horizontal="right"/>
    </xf>
    <xf numFmtId="0" fontId="19" fillId="22" borderId="2" xfId="0" applyFont="1" applyFill="1" applyBorder="1" applyAlignment="1">
      <alignment horizontal="right"/>
    </xf>
    <xf numFmtId="0" fontId="19" fillId="23" borderId="2" xfId="0" applyFont="1" applyFill="1" applyBorder="1" applyAlignment="1">
      <alignment horizontal="right"/>
    </xf>
    <xf numFmtId="0" fontId="19" fillId="24" borderId="2" xfId="0" applyFont="1" applyFill="1" applyBorder="1" applyAlignment="1">
      <alignment horizontal="right"/>
    </xf>
    <xf numFmtId="0" fontId="19" fillId="25" borderId="2" xfId="0" applyFont="1" applyFill="1" applyBorder="1" applyAlignment="1">
      <alignment horizontal="right"/>
    </xf>
    <xf numFmtId="0" fontId="19" fillId="26" borderId="2" xfId="0" applyFont="1" applyFill="1" applyBorder="1" applyAlignment="1">
      <alignment horizontal="right"/>
    </xf>
    <xf numFmtId="0" fontId="19" fillId="27" borderId="2" xfId="0" applyFont="1" applyFill="1" applyBorder="1" applyAlignment="1">
      <alignment horizontal="right"/>
    </xf>
    <xf numFmtId="0" fontId="19" fillId="28" borderId="2" xfId="0" applyFont="1" applyFill="1" applyBorder="1" applyAlignment="1">
      <alignment horizontal="right"/>
    </xf>
    <xf numFmtId="0" fontId="19" fillId="29" borderId="2" xfId="0" applyFont="1" applyFill="1" applyBorder="1" applyAlignment="1">
      <alignment horizontal="right"/>
    </xf>
    <xf numFmtId="0" fontId="19" fillId="30" borderId="2" xfId="0" applyFont="1" applyFill="1" applyBorder="1" applyAlignment="1">
      <alignment horizontal="right"/>
    </xf>
    <xf numFmtId="0" fontId="19" fillId="31" borderId="2" xfId="0" applyFont="1" applyFill="1" applyBorder="1" applyAlignment="1">
      <alignment horizontal="right"/>
    </xf>
    <xf numFmtId="0" fontId="19" fillId="32" borderId="2" xfId="0" applyFont="1" applyFill="1" applyBorder="1" applyAlignment="1">
      <alignment horizontal="right"/>
    </xf>
    <xf numFmtId="0" fontId="19" fillId="33" borderId="2" xfId="0" applyFont="1" applyFill="1" applyBorder="1" applyAlignment="1">
      <alignment horizontal="right"/>
    </xf>
    <xf numFmtId="0" fontId="19" fillId="34" borderId="2" xfId="0" applyFont="1" applyFill="1" applyBorder="1" applyAlignment="1">
      <alignment horizontal="right"/>
    </xf>
    <xf numFmtId="0" fontId="19" fillId="35" borderId="2" xfId="0" applyFont="1" applyFill="1" applyBorder="1" applyAlignment="1">
      <alignment horizontal="right"/>
    </xf>
    <xf numFmtId="0" fontId="19" fillId="36" borderId="2" xfId="0" applyFont="1" applyFill="1" applyBorder="1" applyAlignment="1">
      <alignment horizontal="right"/>
    </xf>
    <xf numFmtId="0" fontId="19" fillId="37" borderId="2" xfId="0" applyFont="1" applyFill="1" applyBorder="1" applyAlignment="1">
      <alignment horizontal="right"/>
    </xf>
    <xf numFmtId="0" fontId="19" fillId="38" borderId="2" xfId="0" applyFont="1" applyFill="1" applyBorder="1" applyAlignment="1">
      <alignment horizontal="right"/>
    </xf>
    <xf numFmtId="0" fontId="19" fillId="39" borderId="2" xfId="0" applyFont="1" applyFill="1" applyBorder="1" applyAlignment="1">
      <alignment horizontal="right"/>
    </xf>
    <xf numFmtId="0" fontId="19" fillId="40" borderId="2" xfId="0" applyFont="1" applyFill="1" applyBorder="1" applyAlignment="1">
      <alignment horizontal="right"/>
    </xf>
    <xf numFmtId="0" fontId="19" fillId="41" borderId="2" xfId="0" applyFont="1" applyFill="1" applyBorder="1" applyAlignment="1">
      <alignment horizontal="right"/>
    </xf>
    <xf numFmtId="0" fontId="19" fillId="42" borderId="2" xfId="0" applyFont="1" applyFill="1" applyBorder="1" applyAlignment="1">
      <alignment horizontal="right"/>
    </xf>
    <xf numFmtId="0" fontId="19" fillId="43" borderId="2" xfId="0" applyFont="1" applyFill="1" applyBorder="1" applyAlignment="1">
      <alignment horizontal="right"/>
    </xf>
    <xf numFmtId="0" fontId="19" fillId="44" borderId="2" xfId="0" applyFont="1" applyFill="1" applyBorder="1" applyAlignment="1">
      <alignment horizontal="right"/>
    </xf>
    <xf numFmtId="0" fontId="19" fillId="45" borderId="2" xfId="0" applyFont="1" applyFill="1" applyBorder="1" applyAlignment="1">
      <alignment horizontal="right"/>
    </xf>
    <xf numFmtId="0" fontId="17" fillId="0" borderId="6" xfId="0" applyFont="1" applyBorder="1"/>
    <xf numFmtId="0" fontId="18" fillId="0" borderId="7" xfId="0" applyFont="1" applyBorder="1"/>
    <xf numFmtId="0" fontId="19" fillId="46" borderId="2" xfId="0" applyFont="1" applyFill="1" applyBorder="1" applyAlignment="1">
      <alignment horizontal="right"/>
    </xf>
    <xf numFmtId="0" fontId="19" fillId="47" borderId="2" xfId="0" applyFont="1" applyFill="1" applyBorder="1" applyAlignment="1">
      <alignment horizontal="right"/>
    </xf>
    <xf numFmtId="0" fontId="19" fillId="48" borderId="2" xfId="0" applyFont="1" applyFill="1" applyBorder="1" applyAlignment="1">
      <alignment horizontal="right"/>
    </xf>
    <xf numFmtId="0" fontId="19" fillId="49" borderId="2" xfId="0" applyFont="1" applyFill="1" applyBorder="1" applyAlignment="1">
      <alignment horizontal="right"/>
    </xf>
    <xf numFmtId="0" fontId="19" fillId="50" borderId="2" xfId="0" applyFont="1" applyFill="1" applyBorder="1" applyAlignment="1">
      <alignment horizontal="right"/>
    </xf>
    <xf numFmtId="0" fontId="19" fillId="51" borderId="2" xfId="0" applyFont="1" applyFill="1" applyBorder="1" applyAlignment="1">
      <alignment horizontal="right"/>
    </xf>
    <xf numFmtId="0" fontId="19" fillId="52" borderId="2" xfId="0" applyFont="1" applyFill="1" applyBorder="1" applyAlignment="1">
      <alignment horizontal="right"/>
    </xf>
    <xf numFmtId="0" fontId="19" fillId="53" borderId="2" xfId="0" applyFont="1" applyFill="1" applyBorder="1" applyAlignment="1">
      <alignment horizontal="right"/>
    </xf>
    <xf numFmtId="0" fontId="19" fillId="54" borderId="2" xfId="0" applyFont="1" applyFill="1" applyBorder="1" applyAlignment="1">
      <alignment horizontal="right"/>
    </xf>
    <xf numFmtId="0" fontId="19" fillId="55" borderId="2" xfId="0" applyFont="1" applyFill="1" applyBorder="1" applyAlignment="1">
      <alignment horizontal="right"/>
    </xf>
    <xf numFmtId="0" fontId="19" fillId="56" borderId="2" xfId="0" applyFont="1" applyFill="1" applyBorder="1" applyAlignment="1">
      <alignment horizontal="right"/>
    </xf>
    <xf numFmtId="0" fontId="19" fillId="57" borderId="2" xfId="0" applyFont="1" applyFill="1" applyBorder="1" applyAlignment="1">
      <alignment horizontal="right"/>
    </xf>
    <xf numFmtId="0" fontId="19" fillId="58" borderId="2" xfId="0" applyFont="1" applyFill="1" applyBorder="1" applyAlignment="1">
      <alignment horizontal="right"/>
    </xf>
    <xf numFmtId="0" fontId="1" fillId="3" borderId="0" xfId="0" applyFont="1" applyFill="1"/>
    <xf numFmtId="0" fontId="20" fillId="3" borderId="0" xfId="0" applyFont="1" applyFill="1"/>
    <xf numFmtId="9" fontId="1" fillId="3" borderId="0" xfId="0" applyNumberFormat="1" applyFont="1" applyFill="1"/>
    <xf numFmtId="9" fontId="1" fillId="0" borderId="0" xfId="0" applyNumberFormat="1" applyFont="1"/>
    <xf numFmtId="0" fontId="13" fillId="0" borderId="2" xfId="0" applyFont="1" applyBorder="1"/>
    <xf numFmtId="0" fontId="1" fillId="0" borderId="10" xfId="0" applyFont="1" applyBorder="1"/>
    <xf numFmtId="10" fontId="1" fillId="0" borderId="11" xfId="0" applyNumberFormat="1" applyFont="1" applyBorder="1"/>
    <xf numFmtId="0" fontId="1" fillId="0" borderId="11" xfId="0" applyFont="1" applyBorder="1"/>
    <xf numFmtId="0" fontId="1" fillId="0" borderId="7" xfId="0" applyFont="1" applyBorder="1"/>
    <xf numFmtId="3" fontId="1" fillId="0" borderId="2" xfId="0" applyNumberFormat="1" applyFont="1" applyBorder="1"/>
    <xf numFmtId="165" fontId="0" fillId="0" borderId="2" xfId="0" applyNumberFormat="1" applyBorder="1"/>
    <xf numFmtId="9" fontId="7" fillId="0" borderId="2" xfId="0" applyNumberFormat="1" applyFont="1" applyBorder="1"/>
    <xf numFmtId="2" fontId="1" fillId="0" borderId="2" xfId="0" applyNumberFormat="1" applyFont="1" applyBorder="1"/>
    <xf numFmtId="0" fontId="22" fillId="59" borderId="2" xfId="0" applyFont="1" applyFill="1" applyBorder="1"/>
    <xf numFmtId="3" fontId="11" fillId="0" borderId="2" xfId="0" applyNumberFormat="1" applyFont="1" applyBorder="1" applyAlignment="1">
      <alignment horizontal="right"/>
    </xf>
    <xf numFmtId="0" fontId="11" fillId="4" borderId="2" xfId="0" applyFont="1" applyFill="1" applyBorder="1"/>
    <xf numFmtId="0" fontId="12" fillId="60" borderId="8" xfId="0" applyFont="1" applyFill="1" applyBorder="1"/>
    <xf numFmtId="9" fontId="12" fillId="60" borderId="8" xfId="0" applyNumberFormat="1" applyFont="1" applyFill="1" applyBorder="1"/>
    <xf numFmtId="9" fontId="12" fillId="60" borderId="2" xfId="0" applyNumberFormat="1" applyFont="1" applyFill="1" applyBorder="1"/>
    <xf numFmtId="9" fontId="11" fillId="0" borderId="2" xfId="0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" fontId="11" fillId="0" borderId="2" xfId="0" applyNumberFormat="1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22" fillId="59" borderId="0" xfId="0" applyFont="1" applyFill="1"/>
    <xf numFmtId="0" fontId="22" fillId="59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3" fontId="1" fillId="61" borderId="2" xfId="0" applyNumberFormat="1" applyFont="1" applyFill="1" applyBorder="1"/>
    <xf numFmtId="1" fontId="1" fillId="61" borderId="2" xfId="0" applyNumberFormat="1" applyFont="1" applyFill="1" applyBorder="1"/>
    <xf numFmtId="0" fontId="22" fillId="59" borderId="2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8" fillId="59" borderId="2" xfId="0" applyFont="1" applyFill="1" applyBorder="1"/>
    <xf numFmtId="0" fontId="10" fillId="0" borderId="2" xfId="0" applyFont="1" applyBorder="1"/>
    <xf numFmtId="0" fontId="10" fillId="0" borderId="2" xfId="0" applyFont="1" applyBorder="1" applyAlignment="1">
      <alignment horizontal="right"/>
    </xf>
    <xf numFmtId="166" fontId="10" fillId="0" borderId="2" xfId="0" applyNumberFormat="1" applyFont="1" applyBorder="1" applyAlignment="1">
      <alignment horizontal="right"/>
    </xf>
    <xf numFmtId="0" fontId="1" fillId="62" borderId="2" xfId="0" applyFont="1" applyFill="1" applyBorder="1"/>
    <xf numFmtId="3" fontId="10" fillId="0" borderId="2" xfId="0" applyNumberFormat="1" applyFont="1" applyBorder="1" applyAlignment="1">
      <alignment horizontal="right"/>
    </xf>
    <xf numFmtId="0" fontId="24" fillId="0" borderId="8" xfId="0" applyFont="1" applyBorder="1"/>
    <xf numFmtId="166" fontId="25" fillId="0" borderId="2" xfId="0" applyNumberFormat="1" applyFont="1" applyBorder="1"/>
    <xf numFmtId="166" fontId="26" fillId="0" borderId="8" xfId="0" applyNumberFormat="1" applyFont="1" applyBorder="1"/>
    <xf numFmtId="1" fontId="27" fillId="0" borderId="8" xfId="0" applyNumberFormat="1" applyFont="1" applyBorder="1"/>
    <xf numFmtId="0" fontId="29" fillId="4" borderId="0" xfId="0" applyFont="1" applyFill="1" applyAlignment="1">
      <alignment horizontal="left"/>
    </xf>
    <xf numFmtId="9" fontId="0" fillId="0" borderId="0" xfId="0" applyNumberFormat="1"/>
    <xf numFmtId="4" fontId="0" fillId="0" borderId="0" xfId="0" applyNumberFormat="1"/>
    <xf numFmtId="165" fontId="1" fillId="0" borderId="0" xfId="0" applyNumberFormat="1" applyFont="1"/>
    <xf numFmtId="0" fontId="8" fillId="5" borderId="3" xfId="0" applyFont="1" applyFill="1" applyBorder="1"/>
    <xf numFmtId="0" fontId="9" fillId="0" borderId="4" xfId="0" applyFont="1" applyBorder="1"/>
    <xf numFmtId="0" fontId="9" fillId="0" borderId="5" xfId="0" applyFont="1" applyBorder="1"/>
    <xf numFmtId="0" fontId="1" fillId="0" borderId="0" xfId="0" applyFont="1"/>
    <xf numFmtId="0" fontId="0" fillId="0" borderId="0" xfId="0"/>
    <xf numFmtId="0" fontId="15" fillId="0" borderId="9" xfId="0" applyFont="1" applyBorder="1" applyAlignment="1">
      <alignment horizontal="center"/>
    </xf>
    <xf numFmtId="0" fontId="9" fillId="0" borderId="6" xfId="0" applyFont="1" applyBorder="1"/>
    <xf numFmtId="0" fontId="15" fillId="0" borderId="4" xfId="0" applyFont="1" applyBorder="1" applyAlignment="1">
      <alignment horizontal="center"/>
    </xf>
    <xf numFmtId="0" fontId="21" fillId="5" borderId="0" xfId="0" applyFont="1" applyFill="1" applyAlignment="1">
      <alignment horizontal="center"/>
    </xf>
    <xf numFmtId="1" fontId="23" fillId="61" borderId="0" xfId="0" applyNumberFormat="1" applyFont="1" applyFill="1" applyAlignment="1">
      <alignment horizontal="center" vertical="center"/>
    </xf>
    <xf numFmtId="0" fontId="28" fillId="5" borderId="0" xfId="0" applyFont="1" applyFill="1" applyAlignment="1">
      <alignment horizontal="center"/>
    </xf>
    <xf numFmtId="0" fontId="31" fillId="5" borderId="1" xfId="1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6"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12">
    <tableStyle name="sector-style" pivot="0" count="3" xr9:uid="{00000000-0011-0000-FFFF-FFFF00000000}">
      <tableStyleElement type="headerRow" dxfId="35"/>
      <tableStyleElement type="firstRowStripe" dxfId="34"/>
      <tableStyleElement type="secondRowStripe" dxfId="33"/>
    </tableStyle>
    <tableStyle name="sector-style 2" pivot="0" count="3" xr9:uid="{00000000-0011-0000-FFFF-FFFF01000000}">
      <tableStyleElement type="headerRow" dxfId="32"/>
      <tableStyleElement type="firstRowStripe" dxfId="31"/>
      <tableStyleElement type="secondRowStripe" dxfId="30"/>
    </tableStyle>
    <tableStyle name="DASHBOARD-style" pivot="0" count="3" xr9:uid="{00000000-0011-0000-FFFF-FFFF02000000}">
      <tableStyleElement type="headerRow" dxfId="29"/>
      <tableStyleElement type="firstRowStripe" dxfId="28"/>
      <tableStyleElement type="secondRowStripe" dxfId="27"/>
    </tableStyle>
    <tableStyle name="DASHBOARD-style 2" pivot="0" count="3" xr9:uid="{00000000-0011-0000-FFFF-FFFF03000000}">
      <tableStyleElement type="headerRow" dxfId="26"/>
      <tableStyleElement type="firstRowStripe" dxfId="25"/>
      <tableStyleElement type="secondRowStripe" dxfId="24"/>
    </tableStyle>
    <tableStyle name="DASHBOARD-style 3" pivot="0" count="3" xr9:uid="{00000000-0011-0000-FFFF-FFFF04000000}">
      <tableStyleElement type="headerRow" dxfId="23"/>
      <tableStyleElement type="firstRowStripe" dxfId="22"/>
      <tableStyleElement type="secondRowStripe" dxfId="21"/>
    </tableStyle>
    <tableStyle name="DASHBOARD-style 4" pivot="0" count="3" xr9:uid="{00000000-0011-0000-FFFF-FFFF05000000}">
      <tableStyleElement type="headerRow" dxfId="20"/>
      <tableStyleElement type="firstRowStripe" dxfId="19"/>
      <tableStyleElement type="secondRowStripe" dxfId="18"/>
    </tableStyle>
    <tableStyle name="GICRE-style" pivot="0" count="3" xr9:uid="{00000000-0011-0000-FFFF-FFFF06000000}">
      <tableStyleElement type="headerRow" dxfId="17"/>
      <tableStyleElement type="firstRowStripe" dxfId="16"/>
      <tableStyleElement type="secondRowStripe" dxfId="15"/>
    </tableStyle>
    <tableStyle name="GICRE-style 2" pivot="0" count="3" xr9:uid="{00000000-0011-0000-FFFF-FFFF07000000}">
      <tableStyleElement type="headerRow" dxfId="14"/>
      <tableStyleElement type="firstRowStripe" dxfId="13"/>
      <tableStyleElement type="secondRowStripe" dxfId="12"/>
    </tableStyle>
    <tableStyle name="GICRE-style 3" pivot="0" count="3" xr9:uid="{00000000-0011-0000-FFFF-FFFF08000000}">
      <tableStyleElement type="headerRow" dxfId="11"/>
      <tableStyleElement type="firstRowStripe" dxfId="10"/>
      <tableStyleElement type="secondRowStripe" dxfId="9"/>
    </tableStyle>
    <tableStyle name="NIACL-style" pivot="0" count="3" xr9:uid="{00000000-0011-0000-FFFF-FFFF09000000}">
      <tableStyleElement type="headerRow" dxfId="8"/>
      <tableStyleElement type="firstRowStripe" dxfId="7"/>
      <tableStyleElement type="secondRowStripe" dxfId="6"/>
    </tableStyle>
    <tableStyle name="NIACL-style 2" pivot="0" count="3" xr9:uid="{00000000-0011-0000-FFFF-FFFF0A000000}">
      <tableStyleElement type="headerRow" dxfId="5"/>
      <tableStyleElement type="firstRowStripe" dxfId="4"/>
      <tableStyleElement type="secondRowStripe" dxfId="3"/>
    </tableStyle>
    <tableStyle name="NIACL-style 3" pivot="0" count="3" xr9:uid="{00000000-0011-0000-FFFF-FFFF0B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Margin and R-O-PE</a:t>
            </a:r>
          </a:p>
        </c:rich>
      </c:tx>
      <c:layout>
        <c:manualLayout>
          <c:xMode val="edge"/>
          <c:yMode val="edge"/>
          <c:x val="3.0865921787709499E-2"/>
          <c:y val="4.5475113122171951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sector!$S$1:$S$2</c:f>
              <c:strCache>
                <c:ptCount val="2"/>
                <c:pt idx="0">
                  <c:v>4.59</c:v>
                </c:pt>
                <c:pt idx="1">
                  <c:v>Margin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sector!$S$3:$S$5</c:f>
              <c:numCache>
                <c:formatCode>0.00</c:formatCode>
                <c:ptCount val="3"/>
                <c:pt idx="0">
                  <c:v>-3.5427840727453557</c:v>
                </c:pt>
                <c:pt idx="1">
                  <c:v>5.6798756131293437</c:v>
                </c:pt>
                <c:pt idx="2">
                  <c:v>11.628256136926657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A59-4452-A61A-58653B264A8A}"/>
            </c:ext>
          </c:extLst>
        </c:ser>
        <c:ser>
          <c:idx val="1"/>
          <c:order val="1"/>
          <c:tx>
            <c:strRef>
              <c:f>sector!$T$1:$T$2</c:f>
              <c:strCache>
                <c:ptCount val="2"/>
                <c:pt idx="0">
                  <c:v>3.20</c:v>
                </c:pt>
                <c:pt idx="1">
                  <c:v>R-O-E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sector!$T$3:$T$5</c:f>
              <c:numCache>
                <c:formatCode>0.00</c:formatCode>
                <c:ptCount val="3"/>
                <c:pt idx="0">
                  <c:v>3.6861605107159141</c:v>
                </c:pt>
                <c:pt idx="1">
                  <c:v>2.6709951456310681</c:v>
                </c:pt>
                <c:pt idx="2">
                  <c:v>3.2373626373626374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A59-4452-A61A-58653B26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279724"/>
        <c:axId val="1610943490"/>
      </c:barChart>
      <c:catAx>
        <c:axId val="18532797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10943490"/>
        <c:crosses val="autoZero"/>
        <c:auto val="1"/>
        <c:lblAlgn val="ctr"/>
        <c:lblOffset val="100"/>
        <c:noMultiLvlLbl val="1"/>
      </c:catAx>
      <c:valAx>
        <c:axId val="16109434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5327972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Rev gr 2010 and Profit 2010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sector!$K$1:$K$2</c:f>
              <c:strCache>
                <c:ptCount val="2"/>
                <c:pt idx="0">
                  <c:v>#REF!</c:v>
                </c:pt>
                <c:pt idx="1">
                  <c:v>Rev gr 2010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sector!$K$3:$K$5</c:f>
              <c:numCache>
                <c:formatCode>0%</c:formatCode>
                <c:ptCount val="3"/>
                <c:pt idx="0">
                  <c:v>0.25449428540543129</c:v>
                </c:pt>
                <c:pt idx="1">
                  <c:v>0.12767504814773778</c:v>
                </c:pt>
                <c:pt idx="2" formatCode="0.0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C3A-4105-80DA-73E9E31CF134}"/>
            </c:ext>
          </c:extLst>
        </c:ser>
        <c:ser>
          <c:idx val="1"/>
          <c:order val="1"/>
          <c:tx>
            <c:strRef>
              <c:f>sector!$M$1:$M$2</c:f>
              <c:strCache>
                <c:ptCount val="2"/>
                <c:pt idx="0">
                  <c:v>#REF!</c:v>
                </c:pt>
                <c:pt idx="1">
                  <c:v>Profit 2010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sector!$M$3:$M$5</c:f>
              <c:numCache>
                <c:formatCode>0%</c:formatCode>
                <c:ptCount val="3"/>
                <c:pt idx="0">
                  <c:v>4.1229120166276889E-2</c:v>
                </c:pt>
                <c:pt idx="1">
                  <c:v>-0.18595988166031141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C3A-4105-80DA-73E9E31CF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277044"/>
        <c:axId val="316838843"/>
      </c:barChart>
      <c:catAx>
        <c:axId val="13062770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6838843"/>
        <c:crosses val="autoZero"/>
        <c:auto val="1"/>
        <c:lblAlgn val="ctr"/>
        <c:lblOffset val="100"/>
        <c:noMultiLvlLbl val="1"/>
      </c:catAx>
      <c:valAx>
        <c:axId val="3168388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062770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Revenue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sector!$F$1:$F$2</c:f>
              <c:strCache>
                <c:ptCount val="2"/>
                <c:pt idx="0">
                  <c:v>6,62,683.00</c:v>
                </c:pt>
                <c:pt idx="1">
                  <c:v>Revenue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8F75-4DB1-BB5F-C767DBFA5ECB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8F75-4DB1-BB5F-C767DBFA5ECB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8F75-4DB1-BB5F-C767DBFA5ECB}"/>
              </c:ext>
            </c:extLst>
          </c:dPt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sector!$F$3:$F$5</c:f>
              <c:numCache>
                <c:formatCode>General</c:formatCode>
                <c:ptCount val="3"/>
                <c:pt idx="0">
                  <c:v>417993</c:v>
                </c:pt>
                <c:pt idx="1">
                  <c:v>232529</c:v>
                </c:pt>
                <c:pt idx="2">
                  <c:v>12161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75-4DB1-BB5F-C767DBFA5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Profit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sector!$G$1:$G$2</c:f>
              <c:strCache>
                <c:ptCount val="2"/>
                <c:pt idx="0">
                  <c:v>55,817.00</c:v>
                </c:pt>
                <c:pt idx="1">
                  <c:v>Profit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0EDE-4314-83D7-2C16961D94F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0EDE-4314-83D7-2C16961D94FC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0EDE-4314-83D7-2C16961D94FC}"/>
              </c:ext>
            </c:extLst>
          </c:dPt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sector!$G$3:$G$5</c:f>
              <c:numCache>
                <c:formatCode>General</c:formatCode>
                <c:ptCount val="3"/>
                <c:pt idx="0">
                  <c:v>32335</c:v>
                </c:pt>
                <c:pt idx="1">
                  <c:v>22009</c:v>
                </c:pt>
                <c:pt idx="2">
                  <c:v>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DE-4314-83D7-2C16961D9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Cy Rev Gr and Cy Profit 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sector!$N$1:$N$2</c:f>
              <c:strCache>
                <c:ptCount val="2"/>
                <c:pt idx="0">
                  <c:v>#REF!</c:v>
                </c:pt>
                <c:pt idx="1">
                  <c:v>Cy Rev 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sector!$N$3:$N$5</c:f>
              <c:numCache>
                <c:formatCode>0%</c:formatCode>
                <c:ptCount val="3"/>
                <c:pt idx="0">
                  <c:v>0.13696513140004796</c:v>
                </c:pt>
                <c:pt idx="1">
                  <c:v>0.14102702331827133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81F-41E0-AC3D-86E27E0FFFB5}"/>
            </c:ext>
          </c:extLst>
        </c:ser>
        <c:ser>
          <c:idx val="1"/>
          <c:order val="1"/>
          <c:tx>
            <c:strRef>
              <c:f>sector!$O$1:$O$2</c:f>
              <c:strCache>
                <c:ptCount val="2"/>
                <c:pt idx="0">
                  <c:v>#REF!</c:v>
                </c:pt>
                <c:pt idx="1">
                  <c:v>Cy Profit Gr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sector!$O$3:$O$5</c:f>
              <c:numCache>
                <c:formatCode>0%</c:formatCode>
                <c:ptCount val="3"/>
                <c:pt idx="0">
                  <c:v>-1.8006100497672177</c:v>
                </c:pt>
                <c:pt idx="1">
                  <c:v>0.51460313824304205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81F-41E0-AC3D-86E27E0FF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581691"/>
        <c:axId val="958044992"/>
      </c:barChart>
      <c:catAx>
        <c:axId val="10195816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58044992"/>
        <c:crosses val="autoZero"/>
        <c:auto val="1"/>
        <c:lblAlgn val="ctr"/>
        <c:lblOffset val="100"/>
        <c:noMultiLvlLbl val="1"/>
      </c:catAx>
      <c:valAx>
        <c:axId val="9580449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1958169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PREMIUM FY_23 and TOTAL INCOME_FY_23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GENERALINSURANCE!$J$18</c:f>
              <c:strCache>
                <c:ptCount val="1"/>
                <c:pt idx="0">
                  <c:v>PREMIUM FY_23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GENERALINSURANCE!$I$19:$I$20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GENERALINSURANCE!$J$19:$J$20</c:f>
              <c:numCache>
                <c:formatCode>General</c:formatCode>
                <c:ptCount val="2"/>
                <c:pt idx="0">
                  <c:v>21772</c:v>
                </c:pt>
                <c:pt idx="1">
                  <c:v>12952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B6A-43A2-8A00-8AC6A9C8B593}"/>
            </c:ext>
          </c:extLst>
        </c:ser>
        <c:ser>
          <c:idx val="1"/>
          <c:order val="1"/>
          <c:tx>
            <c:strRef>
              <c:f>GENERALINSURANCE!$K$18</c:f>
              <c:strCache>
                <c:ptCount val="1"/>
                <c:pt idx="0">
                  <c:v>TOTAL INCOME_FY_23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GENERALINSURANCE!$I$19:$I$20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GENERALINSURANCE!$K$19:$K$20</c:f>
              <c:numCache>
                <c:formatCode>General</c:formatCode>
                <c:ptCount val="2"/>
                <c:pt idx="0">
                  <c:v>18095</c:v>
                </c:pt>
                <c:pt idx="1">
                  <c:v>11763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B6A-43A2-8A00-8AC6A9C8B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103439"/>
        <c:axId val="40996413"/>
      </c:barChart>
      <c:catAx>
        <c:axId val="20951034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LISTED PVT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0996413"/>
        <c:crosses val="autoZero"/>
        <c:auto val="1"/>
        <c:lblAlgn val="ctr"/>
        <c:lblOffset val="100"/>
        <c:noMultiLvlLbl val="1"/>
      </c:catAx>
      <c:valAx>
        <c:axId val="409964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9510343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 MARGIN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GENERALINSURANCE!$C$37</c:f>
              <c:strCache>
                <c:ptCount val="1"/>
                <c:pt idx="0">
                  <c:v>PROFIT MARGIN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33C-4447-AC7E-F6C9D02D22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GENERALINSURANCE!$B$38:$B$39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GENERALINSURANCE!$C$38:$C$39</c:f>
              <c:numCache>
                <c:formatCode>0.0%</c:formatCode>
                <c:ptCount val="2"/>
                <c:pt idx="0">
                  <c:v>7.9413926143670766E-2</c:v>
                </c:pt>
                <c:pt idx="1">
                  <c:v>4.7791846819024091E-2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33C-4447-AC7E-F6C9D02D2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582150"/>
        <c:axId val="1446668664"/>
      </c:barChart>
      <c:catAx>
        <c:axId val="6815821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6668664"/>
        <c:crosses val="autoZero"/>
        <c:auto val="1"/>
        <c:lblAlgn val="ctr"/>
        <c:lblOffset val="100"/>
        <c:noMultiLvlLbl val="1"/>
      </c:catAx>
      <c:valAx>
        <c:axId val="1446668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 MARGIN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8158215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EXP. MANG.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GENERALINSURANCE!$F$37</c:f>
              <c:strCache>
                <c:ptCount val="1"/>
                <c:pt idx="0">
                  <c:v>EXP. MANG. 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GENERALINSURANCE!$E$38:$E$39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GENERALINSURANCE!$F$38:$F$39</c:f>
              <c:numCache>
                <c:formatCode>0</c:formatCode>
                <c:ptCount val="2"/>
                <c:pt idx="0">
                  <c:v>29.6</c:v>
                </c:pt>
                <c:pt idx="1">
                  <c:v>29.97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CBC-43F1-9CC2-8C0460023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810573"/>
        <c:axId val="1212766399"/>
      </c:barChart>
      <c:catAx>
        <c:axId val="8258105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12766399"/>
        <c:crosses val="autoZero"/>
        <c:auto val="1"/>
        <c:lblAlgn val="ctr"/>
        <c:lblOffset val="100"/>
        <c:noMultiLvlLbl val="1"/>
      </c:catAx>
      <c:valAx>
        <c:axId val="12127663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EXP. MANG. RATIO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2581057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CLAIM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GENERALINSURANCE!$I$37</c:f>
              <c:strCache>
                <c:ptCount val="1"/>
                <c:pt idx="0">
                  <c:v>CLAIM 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09E-4567-99BB-95069C6646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GENERALINSURANCE!$H$38:$H$39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GENERALINSURANCE!$I$38:$I$39</c:f>
              <c:numCache>
                <c:formatCode>0</c:formatCode>
                <c:ptCount val="2"/>
                <c:pt idx="0">
                  <c:v>72.400000000000006</c:v>
                </c:pt>
                <c:pt idx="1">
                  <c:v>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09E-4567-99BB-95069C66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136593"/>
        <c:axId val="1857448318"/>
      </c:barChart>
      <c:catAx>
        <c:axId val="19891365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57448318"/>
        <c:crosses val="autoZero"/>
        <c:auto val="1"/>
        <c:lblAlgn val="ctr"/>
        <c:lblOffset val="100"/>
        <c:noMultiLvlLbl val="1"/>
      </c:catAx>
      <c:valAx>
        <c:axId val="18574483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CLAIM RATIO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8913659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COMBINED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GENERALINSURANCE!$M$37</c:f>
              <c:strCache>
                <c:ptCount val="1"/>
                <c:pt idx="0">
                  <c:v>COMBINED 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7D4-49D1-8301-49C253EB6E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GENERALINSURANCE!$L$38:$L$39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GENERALINSURANCE!$M$38:$M$39</c:f>
              <c:numCache>
                <c:formatCode>0</c:formatCode>
                <c:ptCount val="2"/>
                <c:pt idx="0">
                  <c:v>104.5</c:v>
                </c:pt>
                <c:pt idx="1">
                  <c:v>95.33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7D4-49D1-8301-49C253EB6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570504"/>
        <c:axId val="332778592"/>
      </c:barChart>
      <c:catAx>
        <c:axId val="42457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2778592"/>
        <c:crosses val="autoZero"/>
        <c:auto val="1"/>
        <c:lblAlgn val="ctr"/>
        <c:lblOffset val="100"/>
        <c:noMultiLvlLbl val="1"/>
      </c:catAx>
      <c:valAx>
        <c:axId val="3327785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COMBINED RATIO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245705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SOLVENCY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GENERALINSURANCE!$C$53</c:f>
              <c:strCache>
                <c:ptCount val="1"/>
                <c:pt idx="0">
                  <c:v>SOLVENCY 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743-4A60-81EA-64E7CF9FBBDA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743-4A60-81EA-64E7CF9FBB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GENERALINSURANCE!$B$54:$B$55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GENERALINSURANCE!$C$54:$C$55</c:f>
              <c:numCache>
                <c:formatCode>0.0</c:formatCode>
                <c:ptCount val="2"/>
                <c:pt idx="0">
                  <c:v>2.5099999999999998</c:v>
                </c:pt>
                <c:pt idx="1">
                  <c:v>2.14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F743-4A60-81EA-64E7CF9FB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355755"/>
        <c:axId val="267158221"/>
      </c:barChart>
      <c:catAx>
        <c:axId val="7243557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7158221"/>
        <c:crosses val="autoZero"/>
        <c:auto val="1"/>
        <c:lblAlgn val="ctr"/>
        <c:lblOffset val="100"/>
        <c:noMultiLvlLbl val="1"/>
      </c:catAx>
      <c:valAx>
        <c:axId val="2671582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SOLVENCY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435575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YIELD/INV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GENERALINSURANCE!$G$53</c:f>
              <c:strCache>
                <c:ptCount val="1"/>
                <c:pt idx="0">
                  <c:v>YIELD/INV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759-4D91-80FA-22A434828772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759-4D91-80FA-22A4348287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GENERALINSURANCE!$F$54:$F$55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GENERALINSURANCE!$G$54:$G$55</c:f>
              <c:numCache>
                <c:formatCode>0.0</c:formatCode>
                <c:ptCount val="2"/>
                <c:pt idx="0">
                  <c:v>7.5</c:v>
                </c:pt>
                <c:pt idx="1">
                  <c:v>6.94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9759-4D91-80FA-22A434828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200152"/>
        <c:axId val="1715400909"/>
      </c:barChart>
      <c:catAx>
        <c:axId val="876200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15400909"/>
        <c:crosses val="autoZero"/>
        <c:auto val="1"/>
        <c:lblAlgn val="ctr"/>
        <c:lblOffset val="100"/>
        <c:noMultiLvlLbl val="1"/>
      </c:catAx>
      <c:valAx>
        <c:axId val="17154009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YIELD/INV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62001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GENERALINSURANCE!$J$53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75-4880-96C0-0D6BC83855F0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75-4880-96C0-0D6BC83855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GENERALINSURANCE!$I$54:$I$55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GENERALINSURANCE!$J$54:$J$55</c:f>
              <c:numCache>
                <c:formatCode>0%</c:formatCode>
                <c:ptCount val="2"/>
                <c:pt idx="0">
                  <c:v>0.16637798306389531</c:v>
                </c:pt>
                <c:pt idx="1">
                  <c:v>0.1139124033860876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575-4880-96C0-0D6BC8385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381181"/>
        <c:axId val="1296202288"/>
      </c:barChart>
      <c:catAx>
        <c:axId val="16703811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6202288"/>
        <c:crosses val="autoZero"/>
        <c:auto val="1"/>
        <c:lblAlgn val="ctr"/>
        <c:lblOffset val="100"/>
        <c:noMultiLvlLbl val="1"/>
      </c:catAx>
      <c:valAx>
        <c:axId val="12962022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038118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IN" sz="800"/>
              <a:t>PREMIUM IN CR vs GENERAL INS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GENERALINSURANCE!$D$2</c:f>
              <c:strCache>
                <c:ptCount val="1"/>
                <c:pt idx="0">
                  <c:v>PREMIUM IN CR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pattFill prst="ltUpDiag">
                <a:fgClr>
                  <a:schemeClr val="accent1"/>
                </a:fgClr>
                <a:bgClr>
                  <a:schemeClr val="lt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EB-426C-9CA3-96BF2B076CEE}"/>
              </c:ext>
            </c:extLst>
          </c:dPt>
          <c:dPt>
            <c:idx val="1"/>
            <c:invertIfNegative val="1"/>
            <c:bubble3D val="0"/>
            <c:spPr>
              <a:pattFill prst="ltUpDiag">
                <a:fgClr>
                  <a:schemeClr val="accent2"/>
                </a:fgClr>
                <a:bgClr>
                  <a:schemeClr val="lt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6EB-426C-9CA3-96BF2B076CEE}"/>
              </c:ext>
            </c:extLst>
          </c:dPt>
          <c:dPt>
            <c:idx val="2"/>
            <c:invertIfNegative val="1"/>
            <c:bubble3D val="0"/>
            <c:spPr>
              <a:pattFill prst="ltUpDiag">
                <a:fgClr>
                  <a:schemeClr val="accent3"/>
                </a:fgClr>
                <a:bgClr>
                  <a:schemeClr val="lt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EB-426C-9CA3-96BF2B076CEE}"/>
              </c:ext>
            </c:extLst>
          </c:dPt>
          <c:dPt>
            <c:idx val="3"/>
            <c:invertIfNegative val="1"/>
            <c:bubble3D val="0"/>
            <c:spPr>
              <a:pattFill prst="ltUpDiag">
                <a:fgClr>
                  <a:schemeClr val="accent4"/>
                </a:fgClr>
                <a:bgClr>
                  <a:schemeClr val="lt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EB-426C-9CA3-96BF2B076CEE}"/>
              </c:ext>
            </c:extLst>
          </c:dPt>
          <c:dLbls>
            <c:dLbl>
              <c:idx val="0"/>
              <c:spPr>
                <a:solidFill>
                  <a:schemeClr val="accent1">
                    <a:alpha val="7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6EB-426C-9CA3-96BF2B076CEE}"/>
                </c:ext>
              </c:extLst>
            </c:dLbl>
            <c:dLbl>
              <c:idx val="1"/>
              <c:spPr>
                <a:solidFill>
                  <a:schemeClr val="accent2">
                    <a:alpha val="7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6EB-426C-9CA3-96BF2B076CEE}"/>
                </c:ext>
              </c:extLst>
            </c:dLbl>
            <c:dLbl>
              <c:idx val="2"/>
              <c:spPr>
                <a:solidFill>
                  <a:schemeClr val="accent3">
                    <a:alpha val="7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6EB-426C-9CA3-96BF2B076CEE}"/>
                </c:ext>
              </c:extLst>
            </c:dLbl>
            <c:dLbl>
              <c:idx val="3"/>
              <c:spPr>
                <a:solidFill>
                  <a:schemeClr val="accent4">
                    <a:alpha val="7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6EB-426C-9CA3-96BF2B076CEE}"/>
                </c:ext>
              </c:extLst>
            </c:dLbl>
            <c:spPr>
              <a:solidFill>
                <a:srgbClr val="4F81BD">
                  <a:alpha val="70000"/>
                </a:srgb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GENERALINSURANCE!$C$3:$C$6</c:f>
              <c:strCache>
                <c:ptCount val="4"/>
                <c:pt idx="0">
                  <c:v>FY_2001</c:v>
                </c:pt>
                <c:pt idx="1">
                  <c:v>FY_2008</c:v>
                </c:pt>
                <c:pt idx="2">
                  <c:v>FY_2022</c:v>
                </c:pt>
                <c:pt idx="3">
                  <c:v>FY_2023</c:v>
                </c:pt>
              </c:strCache>
            </c:strRef>
          </c:cat>
          <c:val>
            <c:numRef>
              <c:f>GENERALINSURANCE!$D$3:$D$6</c:f>
              <c:numCache>
                <c:formatCode>General</c:formatCode>
                <c:ptCount val="4"/>
                <c:pt idx="0">
                  <c:v>10087</c:v>
                </c:pt>
                <c:pt idx="1">
                  <c:v>29498</c:v>
                </c:pt>
                <c:pt idx="2">
                  <c:v>220772</c:v>
                </c:pt>
                <c:pt idx="3">
                  <c:v>256912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B-426C-9CA3-96BF2B076C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1183326468"/>
        <c:axId val="2058684294"/>
      </c:barChart>
      <c:catAx>
        <c:axId val="11833264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684294"/>
        <c:crosses val="autoZero"/>
        <c:auto val="1"/>
        <c:lblAlgn val="ctr"/>
        <c:lblOffset val="100"/>
        <c:noMultiLvlLbl val="1"/>
      </c:catAx>
      <c:valAx>
        <c:axId val="205868429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3264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PREMIUM_FY23(8M)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GENERALINSURANCE!$F$11</c:f>
              <c:strCache>
                <c:ptCount val="1"/>
                <c:pt idx="0">
                  <c:v>PREMIUM_FY23(8M)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31CA-4CDE-A09A-E879D63062D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31CA-4CDE-A09A-E879D63062DA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31CA-4CDE-A09A-E879D63062DA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31CA-4CDE-A09A-E879D63062DA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31CA-4CDE-A09A-E879D63062DA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31CA-4CDE-A09A-E879D63062DA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31CA-4CDE-A09A-E879D63062DA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31CA-4CDE-A09A-E879D63062DA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31CA-4CDE-A09A-E879D63062DA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31CA-4CDE-A09A-E879D63062DA}"/>
              </c:ext>
            </c:extLst>
          </c:dPt>
          <c:dPt>
            <c:idx val="10"/>
            <c:bubble3D val="0"/>
            <c:spPr>
              <a:solidFill>
                <a:srgbClr val="81C5D7"/>
              </a:solidFill>
            </c:spPr>
            <c:extLst>
              <c:ext xmlns:c16="http://schemas.microsoft.com/office/drawing/2014/chart" uri="{C3380CC4-5D6E-409C-BE32-E72D297353CC}">
                <c16:uniqueId val="{00000015-31CA-4CDE-A09A-E879D63062D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GENERALINSURANCE!$C$12:$C$22</c:f>
              <c:strCache>
                <c:ptCount val="11"/>
                <c:pt idx="0">
                  <c:v>The New India Assurance Company Limited</c:v>
                </c:pt>
                <c:pt idx="1">
                  <c:v>ICICI Lombard General Insurance Company Limited</c:v>
                </c:pt>
                <c:pt idx="2">
                  <c:v>United India Insurance Company Limited</c:v>
                </c:pt>
                <c:pt idx="3">
                  <c:v>HDFC Ergo General insurance Company Limited</c:v>
                </c:pt>
                <c:pt idx="4">
                  <c:v>National Insurance Company Limited</c:v>
                </c:pt>
                <c:pt idx="5">
                  <c:v>Bajaj Allianz General Insurance Company Limited</c:v>
                </c:pt>
                <c:pt idx="6">
                  <c:v>The Oriental Insurance Company Limited</c:v>
                </c:pt>
                <c:pt idx="7">
                  <c:v>Agricultural Insurance Company of India Limited</c:v>
                </c:pt>
                <c:pt idx="8">
                  <c:v>Tata AIG General Insurance Company Limited</c:v>
                </c:pt>
                <c:pt idx="9">
                  <c:v>Star Health &amp; Allied Insurance Company Limited</c:v>
                </c:pt>
                <c:pt idx="10">
                  <c:v>OTHERS</c:v>
                </c:pt>
              </c:strCache>
            </c:strRef>
          </c:cat>
          <c:val>
            <c:numRef>
              <c:f>GENERALINSURANCE!$F$12:$F$22</c:f>
              <c:numCache>
                <c:formatCode>#,##0</c:formatCode>
                <c:ptCount val="11"/>
                <c:pt idx="0">
                  <c:v>22536.71</c:v>
                </c:pt>
                <c:pt idx="1">
                  <c:v>14397.2</c:v>
                </c:pt>
                <c:pt idx="2">
                  <c:v>11520.08</c:v>
                </c:pt>
                <c:pt idx="3">
                  <c:v>10456.66</c:v>
                </c:pt>
                <c:pt idx="4">
                  <c:v>10425.200000000001</c:v>
                </c:pt>
                <c:pt idx="5">
                  <c:v>10399.34</c:v>
                </c:pt>
                <c:pt idx="6">
                  <c:v>10259.200000000001</c:v>
                </c:pt>
                <c:pt idx="7">
                  <c:v>8950.33</c:v>
                </c:pt>
                <c:pt idx="8">
                  <c:v>8209.0499999999993</c:v>
                </c:pt>
                <c:pt idx="9">
                  <c:v>7589.47</c:v>
                </c:pt>
                <c:pt idx="10">
                  <c:v>50617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1CA-4CDE-A09A-E879D63062D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GENERALINSURANCE!$E$2</c:f>
              <c:strCache>
                <c:ptCount val="1"/>
                <c:pt idx="0">
                  <c:v>GROWTH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GENERALINSURANCE!$C$3:$C$6</c:f>
              <c:strCache>
                <c:ptCount val="4"/>
                <c:pt idx="0">
                  <c:v>FY_2001</c:v>
                </c:pt>
                <c:pt idx="1">
                  <c:v>FY_2008</c:v>
                </c:pt>
                <c:pt idx="2">
                  <c:v>FY_2022</c:v>
                </c:pt>
                <c:pt idx="3">
                  <c:v>FY_2023</c:v>
                </c:pt>
              </c:strCache>
            </c:strRef>
          </c:cat>
          <c:val>
            <c:numRef>
              <c:f>GENERALINSURANCE!$E$3:$E$6</c:f>
              <c:numCache>
                <c:formatCode>0%</c:formatCode>
                <c:ptCount val="4"/>
                <c:pt idx="1">
                  <c:v>0.1656704654927168</c:v>
                </c:pt>
                <c:pt idx="2">
                  <c:v>0.1546208274650529</c:v>
                </c:pt>
                <c:pt idx="3">
                  <c:v>0.16369829507365075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B-4AE9-A31A-D916368E13FC}"/>
            </c:ext>
          </c:extLst>
        </c:ser>
        <c:ser>
          <c:idx val="1"/>
          <c:order val="1"/>
          <c:tx>
            <c:strRef>
              <c:f>GENERALINSURANCE!$F$2</c:f>
              <c:strCache>
                <c:ptCount val="1"/>
                <c:pt idx="0">
                  <c:v>PVT MSHARE%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GENERALINSURANCE!$C$3:$C$6</c:f>
              <c:strCache>
                <c:ptCount val="4"/>
                <c:pt idx="0">
                  <c:v>FY_2001</c:v>
                </c:pt>
                <c:pt idx="1">
                  <c:v>FY_2008</c:v>
                </c:pt>
                <c:pt idx="2">
                  <c:v>FY_2022</c:v>
                </c:pt>
                <c:pt idx="3">
                  <c:v>FY_2023</c:v>
                </c:pt>
              </c:strCache>
            </c:strRef>
          </c:cat>
          <c:val>
            <c:numRef>
              <c:f>GENERALINSURANCE!$F$3:$F$6</c:f>
              <c:numCache>
                <c:formatCode>0.0%</c:formatCode>
                <c:ptCount val="4"/>
                <c:pt idx="0">
                  <c:v>1E-3</c:v>
                </c:pt>
                <c:pt idx="1">
                  <c:v>0.36599999999999999</c:v>
                </c:pt>
                <c:pt idx="2">
                  <c:v>0.497</c:v>
                </c:pt>
                <c:pt idx="3">
                  <c:v>0.51400000000000001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B-4AE9-A31A-D916368E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3152052"/>
        <c:axId val="1960320883"/>
      </c:barChart>
      <c:catAx>
        <c:axId val="20531520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320883"/>
        <c:crosses val="autoZero"/>
        <c:auto val="1"/>
        <c:lblAlgn val="ctr"/>
        <c:lblOffset val="100"/>
        <c:noMultiLvlLbl val="1"/>
      </c:catAx>
      <c:valAx>
        <c:axId val="19603208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1520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Revenue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sector!$F$1:$F$2</c:f>
              <c:strCache>
                <c:ptCount val="2"/>
                <c:pt idx="0">
                  <c:v>6,62,683.00</c:v>
                </c:pt>
                <c:pt idx="1">
                  <c:v>Revenue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83A1-40D6-BAD4-6CD474D08BF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83A1-40D6-BAD4-6CD474D08BF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83A1-40D6-BAD4-6CD474D08BF7}"/>
              </c:ext>
            </c:extLst>
          </c:dPt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sector!$F$3:$F$5</c:f>
              <c:numCache>
                <c:formatCode>General</c:formatCode>
                <c:ptCount val="3"/>
                <c:pt idx="0">
                  <c:v>417993</c:v>
                </c:pt>
                <c:pt idx="1">
                  <c:v>232529</c:v>
                </c:pt>
                <c:pt idx="2">
                  <c:v>12161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1-40D6-BAD4-6CD474D08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Profit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sector!$G$1:$G$2</c:f>
              <c:strCache>
                <c:ptCount val="2"/>
                <c:pt idx="0">
                  <c:v>55,817.00</c:v>
                </c:pt>
                <c:pt idx="1">
                  <c:v>Profit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CCC6-44DC-8AF6-703CE295183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CCC6-44DC-8AF6-703CE295183C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CCC6-44DC-8AF6-703CE295183C}"/>
              </c:ext>
            </c:extLst>
          </c:dPt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sector!$G$3:$G$5</c:f>
              <c:numCache>
                <c:formatCode>General</c:formatCode>
                <c:ptCount val="3"/>
                <c:pt idx="0">
                  <c:v>32335</c:v>
                </c:pt>
                <c:pt idx="1">
                  <c:v>22009</c:v>
                </c:pt>
                <c:pt idx="2">
                  <c:v>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C6-44DC-8AF6-703CE2951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Margin and R-O-PE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sector!$S$1:$S$2</c:f>
              <c:strCache>
                <c:ptCount val="2"/>
                <c:pt idx="0">
                  <c:v>4.59</c:v>
                </c:pt>
                <c:pt idx="1">
                  <c:v>Margin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sector!$S$3:$S$5</c:f>
              <c:numCache>
                <c:formatCode>0.00</c:formatCode>
                <c:ptCount val="3"/>
                <c:pt idx="0">
                  <c:v>-3.5427840727453557</c:v>
                </c:pt>
                <c:pt idx="1">
                  <c:v>5.6798756131293437</c:v>
                </c:pt>
                <c:pt idx="2">
                  <c:v>11.628256136926657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8CD-4013-A69F-F58CA79ED2DB}"/>
            </c:ext>
          </c:extLst>
        </c:ser>
        <c:ser>
          <c:idx val="1"/>
          <c:order val="1"/>
          <c:tx>
            <c:strRef>
              <c:f>sector!$T$1:$T$2</c:f>
              <c:strCache>
                <c:ptCount val="2"/>
                <c:pt idx="0">
                  <c:v>3.20</c:v>
                </c:pt>
                <c:pt idx="1">
                  <c:v>R-O-E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sector!$T$3:$T$5</c:f>
              <c:numCache>
                <c:formatCode>0.00</c:formatCode>
                <c:ptCount val="3"/>
                <c:pt idx="0">
                  <c:v>3.6861605107159141</c:v>
                </c:pt>
                <c:pt idx="1">
                  <c:v>2.6709951456310681</c:v>
                </c:pt>
                <c:pt idx="2">
                  <c:v>3.2373626373626374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8CD-4013-A69F-F58CA79ED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630256"/>
        <c:axId val="1860016779"/>
      </c:barChart>
      <c:catAx>
        <c:axId val="31863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60016779"/>
        <c:crosses val="autoZero"/>
        <c:auto val="1"/>
        <c:lblAlgn val="ctr"/>
        <c:lblOffset val="100"/>
        <c:noMultiLvlLbl val="1"/>
      </c:catAx>
      <c:valAx>
        <c:axId val="18600167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86302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Rev gr 2010 and Profit 2010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sector!$K$1:$K$2</c:f>
              <c:strCache>
                <c:ptCount val="2"/>
                <c:pt idx="0">
                  <c:v>#REF!</c:v>
                </c:pt>
                <c:pt idx="1">
                  <c:v>Rev gr 2010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sector!$K$3:$K$5</c:f>
              <c:numCache>
                <c:formatCode>0%</c:formatCode>
                <c:ptCount val="3"/>
                <c:pt idx="0">
                  <c:v>0.25449428540543129</c:v>
                </c:pt>
                <c:pt idx="1">
                  <c:v>0.12767504814773778</c:v>
                </c:pt>
                <c:pt idx="2" formatCode="0.0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411-4116-B98B-477F5247F7B2}"/>
            </c:ext>
          </c:extLst>
        </c:ser>
        <c:ser>
          <c:idx val="1"/>
          <c:order val="1"/>
          <c:tx>
            <c:strRef>
              <c:f>sector!$M$1:$M$2</c:f>
              <c:strCache>
                <c:ptCount val="2"/>
                <c:pt idx="0">
                  <c:v>#REF!</c:v>
                </c:pt>
                <c:pt idx="1">
                  <c:v>Profit 2010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sector!$M$3:$M$5</c:f>
              <c:numCache>
                <c:formatCode>0%</c:formatCode>
                <c:ptCount val="3"/>
                <c:pt idx="0">
                  <c:v>4.1229120166276889E-2</c:v>
                </c:pt>
                <c:pt idx="1">
                  <c:v>-0.18595988166031141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411-4116-B98B-477F5247F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944150"/>
        <c:axId val="927264740"/>
      </c:barChart>
      <c:catAx>
        <c:axId val="16539441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7264740"/>
        <c:crosses val="autoZero"/>
        <c:auto val="1"/>
        <c:lblAlgn val="ctr"/>
        <c:lblOffset val="100"/>
        <c:noMultiLvlLbl val="1"/>
      </c:catAx>
      <c:valAx>
        <c:axId val="9272647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394415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Cy Rev Gr and Cy Profit 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sector!$N$1:$N$2</c:f>
              <c:strCache>
                <c:ptCount val="2"/>
                <c:pt idx="0">
                  <c:v>#REF!</c:v>
                </c:pt>
                <c:pt idx="1">
                  <c:v>Cy Rev 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sector!$N$3:$N$5</c:f>
              <c:numCache>
                <c:formatCode>0%</c:formatCode>
                <c:ptCount val="3"/>
                <c:pt idx="0">
                  <c:v>0.13696513140004796</c:v>
                </c:pt>
                <c:pt idx="1">
                  <c:v>0.14102702331827133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86B-4EB8-8D53-B6E2058B2CB2}"/>
            </c:ext>
          </c:extLst>
        </c:ser>
        <c:ser>
          <c:idx val="1"/>
          <c:order val="1"/>
          <c:tx>
            <c:strRef>
              <c:f>sector!$O$1:$O$2</c:f>
              <c:strCache>
                <c:ptCount val="2"/>
                <c:pt idx="0">
                  <c:v>#REF!</c:v>
                </c:pt>
                <c:pt idx="1">
                  <c:v>Cy Profit Gr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sector!$B$3:$B$5</c:f>
              <c:strCache>
                <c:ptCount val="3"/>
                <c:pt idx="0">
                  <c:v>NSE:GICRE</c:v>
                </c:pt>
                <c:pt idx="1">
                  <c:v>NSE:NIACL</c:v>
                </c:pt>
                <c:pt idx="2">
                  <c:v>NSE:ICICIGI</c:v>
                </c:pt>
              </c:strCache>
            </c:strRef>
          </c:cat>
          <c:val>
            <c:numRef>
              <c:f>sector!$O$3:$O$5</c:f>
              <c:numCache>
                <c:formatCode>0%</c:formatCode>
                <c:ptCount val="3"/>
                <c:pt idx="0">
                  <c:v>-1.8006100497672177</c:v>
                </c:pt>
                <c:pt idx="1">
                  <c:v>0.51460313824304205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86B-4EB8-8D53-B6E2058B2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750901"/>
        <c:axId val="1165038551"/>
      </c:barChart>
      <c:catAx>
        <c:axId val="12247509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5038551"/>
        <c:crosses val="autoZero"/>
        <c:auto val="1"/>
        <c:lblAlgn val="ctr"/>
        <c:lblOffset val="100"/>
        <c:noMultiLvlLbl val="1"/>
      </c:catAx>
      <c:valAx>
        <c:axId val="11650385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247509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438150</xdr:colOff>
      <xdr:row>13</xdr:row>
      <xdr:rowOff>38100</xdr:rowOff>
    </xdr:from>
    <xdr:ext cx="3409950" cy="2105025"/>
    <xdr:graphicFrame macro="">
      <xdr:nvGraphicFramePr>
        <xdr:cNvPr id="1003482954" name="Chart 1" title="Chart">
          <a:extLst>
            <a:ext uri="{FF2B5EF4-FFF2-40B4-BE49-F238E27FC236}">
              <a16:creationId xmlns:a16="http://schemas.microsoft.com/office/drawing/2014/main" id="{00000000-0008-0000-0000-00004AEFCF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171450</xdr:colOff>
      <xdr:row>13</xdr:row>
      <xdr:rowOff>38100</xdr:rowOff>
    </xdr:from>
    <xdr:ext cx="3409950" cy="2105025"/>
    <xdr:graphicFrame macro="">
      <xdr:nvGraphicFramePr>
        <xdr:cNvPr id="466204767" name="Chart 2" title="Chart">
          <a:extLst>
            <a:ext uri="{FF2B5EF4-FFF2-40B4-BE49-F238E27FC236}">
              <a16:creationId xmlns:a16="http://schemas.microsoft.com/office/drawing/2014/main" id="{00000000-0008-0000-0000-00005FB8C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323850</xdr:colOff>
      <xdr:row>13</xdr:row>
      <xdr:rowOff>38100</xdr:rowOff>
    </xdr:from>
    <xdr:ext cx="3314700" cy="2047875"/>
    <xdr:graphicFrame macro="">
      <xdr:nvGraphicFramePr>
        <xdr:cNvPr id="1674224829" name="Chart 3" title="Chart">
          <a:extLst>
            <a:ext uri="{FF2B5EF4-FFF2-40B4-BE49-F238E27FC236}">
              <a16:creationId xmlns:a16="http://schemas.microsoft.com/office/drawing/2014/main" id="{00000000-0008-0000-0000-0000BDA4CA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323850</xdr:colOff>
      <xdr:row>25</xdr:row>
      <xdr:rowOff>9525</xdr:rowOff>
    </xdr:from>
    <xdr:ext cx="3200400" cy="1981200"/>
    <xdr:graphicFrame macro="">
      <xdr:nvGraphicFramePr>
        <xdr:cNvPr id="1659845525" name="Chart 4" title="Chart">
          <a:extLst>
            <a:ext uri="{FF2B5EF4-FFF2-40B4-BE49-F238E27FC236}">
              <a16:creationId xmlns:a16="http://schemas.microsoft.com/office/drawing/2014/main" id="{00000000-0008-0000-0000-0000953BEF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133350</xdr:colOff>
      <xdr:row>25</xdr:row>
      <xdr:rowOff>9525</xdr:rowOff>
    </xdr:from>
    <xdr:ext cx="3409950" cy="2105025"/>
    <xdr:graphicFrame macro="">
      <xdr:nvGraphicFramePr>
        <xdr:cNvPr id="1492124133" name="Chart 5" title="Chart">
          <a:extLst>
            <a:ext uri="{FF2B5EF4-FFF2-40B4-BE49-F238E27FC236}">
              <a16:creationId xmlns:a16="http://schemas.microsoft.com/office/drawing/2014/main" id="{00000000-0008-0000-0000-0000E501F0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285750</xdr:colOff>
      <xdr:row>21</xdr:row>
      <xdr:rowOff>180975</xdr:rowOff>
    </xdr:from>
    <xdr:ext cx="5248275" cy="2362200"/>
    <xdr:graphicFrame macro="">
      <xdr:nvGraphicFramePr>
        <xdr:cNvPr id="174102808" name="Chart 6" title="Chart">
          <a:extLst>
            <a:ext uri="{FF2B5EF4-FFF2-40B4-BE49-F238E27FC236}">
              <a16:creationId xmlns:a16="http://schemas.microsoft.com/office/drawing/2014/main" id="{00000000-0008-0000-0100-0000189960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238125</xdr:colOff>
      <xdr:row>39</xdr:row>
      <xdr:rowOff>123825</xdr:rowOff>
    </xdr:from>
    <xdr:ext cx="3952875" cy="2200275"/>
    <xdr:graphicFrame macro="">
      <xdr:nvGraphicFramePr>
        <xdr:cNvPr id="531691217" name="Chart 7" title="Chart">
          <a:extLst>
            <a:ext uri="{FF2B5EF4-FFF2-40B4-BE49-F238E27FC236}">
              <a16:creationId xmlns:a16="http://schemas.microsoft.com/office/drawing/2014/main" id="{00000000-0008-0000-0100-0000D1F6B0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942975</xdr:colOff>
      <xdr:row>39</xdr:row>
      <xdr:rowOff>123825</xdr:rowOff>
    </xdr:from>
    <xdr:ext cx="3505200" cy="2200275"/>
    <xdr:graphicFrame macro="">
      <xdr:nvGraphicFramePr>
        <xdr:cNvPr id="1782690243" name="Chart 8" title="Chart">
          <a:extLst>
            <a:ext uri="{FF2B5EF4-FFF2-40B4-BE49-F238E27FC236}">
              <a16:creationId xmlns:a16="http://schemas.microsoft.com/office/drawing/2014/main" id="{00000000-0008-0000-0100-0000C3B141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1333500</xdr:colOff>
      <xdr:row>39</xdr:row>
      <xdr:rowOff>123825</xdr:rowOff>
    </xdr:from>
    <xdr:ext cx="3590925" cy="2200275"/>
    <xdr:graphicFrame macro="">
      <xdr:nvGraphicFramePr>
        <xdr:cNvPr id="2042958340" name="Chart 9" title="Chart">
          <a:extLst>
            <a:ext uri="{FF2B5EF4-FFF2-40B4-BE49-F238E27FC236}">
              <a16:creationId xmlns:a16="http://schemas.microsoft.com/office/drawing/2014/main" id="{00000000-0008-0000-0100-00000412C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695325</xdr:colOff>
      <xdr:row>39</xdr:row>
      <xdr:rowOff>123825</xdr:rowOff>
    </xdr:from>
    <xdr:ext cx="3590925" cy="2200275"/>
    <xdr:graphicFrame macro="">
      <xdr:nvGraphicFramePr>
        <xdr:cNvPr id="695166187" name="Chart 10" title="Chart">
          <a:extLst>
            <a:ext uri="{FF2B5EF4-FFF2-40B4-BE49-F238E27FC236}">
              <a16:creationId xmlns:a16="http://schemas.microsoft.com/office/drawing/2014/main" id="{00000000-0008-0000-0100-0000EB646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238125</xdr:colOff>
      <xdr:row>55</xdr:row>
      <xdr:rowOff>19050</xdr:rowOff>
    </xdr:from>
    <xdr:ext cx="3952875" cy="2019300"/>
    <xdr:graphicFrame macro="">
      <xdr:nvGraphicFramePr>
        <xdr:cNvPr id="822892696" name="Chart 11" title="Chart">
          <a:extLst>
            <a:ext uri="{FF2B5EF4-FFF2-40B4-BE49-F238E27FC236}">
              <a16:creationId xmlns:a16="http://schemas.microsoft.com/office/drawing/2014/main" id="{00000000-0008-0000-0100-000098580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3</xdr:col>
      <xdr:colOff>866775</xdr:colOff>
      <xdr:row>55</xdr:row>
      <xdr:rowOff>19050</xdr:rowOff>
    </xdr:from>
    <xdr:ext cx="3581400" cy="2019300"/>
    <xdr:graphicFrame macro="">
      <xdr:nvGraphicFramePr>
        <xdr:cNvPr id="370163020" name="Chart 12" title="Chart">
          <a:extLst>
            <a:ext uri="{FF2B5EF4-FFF2-40B4-BE49-F238E27FC236}">
              <a16:creationId xmlns:a16="http://schemas.microsoft.com/office/drawing/2014/main" id="{00000000-0008-0000-0100-00004C3D1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6</xdr:col>
      <xdr:colOff>1333500</xdr:colOff>
      <xdr:row>55</xdr:row>
      <xdr:rowOff>19050</xdr:rowOff>
    </xdr:from>
    <xdr:ext cx="3590925" cy="2019300"/>
    <xdr:graphicFrame macro="">
      <xdr:nvGraphicFramePr>
        <xdr:cNvPr id="322810579" name="Chart 13" title="Chart">
          <a:extLst>
            <a:ext uri="{FF2B5EF4-FFF2-40B4-BE49-F238E27FC236}">
              <a16:creationId xmlns:a16="http://schemas.microsoft.com/office/drawing/2014/main" id="{00000000-0008-0000-0100-0000D3B23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6</xdr:col>
      <xdr:colOff>285750</xdr:colOff>
      <xdr:row>0</xdr:row>
      <xdr:rowOff>133350</xdr:rowOff>
    </xdr:from>
    <xdr:ext cx="3152775" cy="1657350"/>
    <xdr:graphicFrame macro="">
      <xdr:nvGraphicFramePr>
        <xdr:cNvPr id="1124675839" name="Chart 14" title="Chart">
          <a:extLst>
            <a:ext uri="{FF2B5EF4-FFF2-40B4-BE49-F238E27FC236}">
              <a16:creationId xmlns:a16="http://schemas.microsoft.com/office/drawing/2014/main" id="{00000000-0008-0000-0100-0000FF300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0</xdr:col>
      <xdr:colOff>238125</xdr:colOff>
      <xdr:row>22</xdr:row>
      <xdr:rowOff>47625</xdr:rowOff>
    </xdr:from>
    <xdr:ext cx="6276975" cy="2305050"/>
    <xdr:graphicFrame macro="">
      <xdr:nvGraphicFramePr>
        <xdr:cNvPr id="895017415" name="Chart 15" title="Chart">
          <a:extLst>
            <a:ext uri="{FF2B5EF4-FFF2-40B4-BE49-F238E27FC236}">
              <a16:creationId xmlns:a16="http://schemas.microsoft.com/office/drawing/2014/main" id="{00000000-0008-0000-0100-0000C7E158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9</xdr:col>
      <xdr:colOff>180975</xdr:colOff>
      <xdr:row>0</xdr:row>
      <xdr:rowOff>133350</xdr:rowOff>
    </xdr:from>
    <xdr:ext cx="3505200" cy="1657350"/>
    <xdr:graphicFrame macro="">
      <xdr:nvGraphicFramePr>
        <xdr:cNvPr id="2049355335" name="Chart 16" title="Chart">
          <a:extLst>
            <a:ext uri="{FF2B5EF4-FFF2-40B4-BE49-F238E27FC236}">
              <a16:creationId xmlns:a16="http://schemas.microsoft.com/office/drawing/2014/main" id="{00000000-0008-0000-0100-000047AE26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819150</xdr:colOff>
      <xdr:row>19</xdr:row>
      <xdr:rowOff>9525</xdr:rowOff>
    </xdr:from>
    <xdr:ext cx="3467100" cy="2143125"/>
    <xdr:graphicFrame macro="">
      <xdr:nvGraphicFramePr>
        <xdr:cNvPr id="1696457397" name="Chart 17" title="Chart">
          <a:extLst>
            <a:ext uri="{FF2B5EF4-FFF2-40B4-BE49-F238E27FC236}">
              <a16:creationId xmlns:a16="http://schemas.microsoft.com/office/drawing/2014/main" id="{00000000-0008-0000-0300-0000B5E21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276225</xdr:colOff>
      <xdr:row>18</xdr:row>
      <xdr:rowOff>171450</xdr:rowOff>
    </xdr:from>
    <xdr:ext cx="3467100" cy="2143125"/>
    <xdr:graphicFrame macro="">
      <xdr:nvGraphicFramePr>
        <xdr:cNvPr id="1779137521" name="Chart 18" title="Chart">
          <a:extLst>
            <a:ext uri="{FF2B5EF4-FFF2-40B4-BE49-F238E27FC236}">
              <a16:creationId xmlns:a16="http://schemas.microsoft.com/office/drawing/2014/main" id="{00000000-0008-0000-0300-0000F17B0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819150</xdr:colOff>
      <xdr:row>31</xdr:row>
      <xdr:rowOff>66675</xdr:rowOff>
    </xdr:from>
    <xdr:ext cx="3514725" cy="2143125"/>
    <xdr:graphicFrame macro="">
      <xdr:nvGraphicFramePr>
        <xdr:cNvPr id="371921812" name="Chart 19" title="Chart">
          <a:extLst>
            <a:ext uri="{FF2B5EF4-FFF2-40B4-BE49-F238E27FC236}">
              <a16:creationId xmlns:a16="http://schemas.microsoft.com/office/drawing/2014/main" id="{00000000-0008-0000-0300-000094132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276225</xdr:colOff>
      <xdr:row>31</xdr:row>
      <xdr:rowOff>66675</xdr:rowOff>
    </xdr:from>
    <xdr:ext cx="3467100" cy="2143125"/>
    <xdr:graphicFrame macro="">
      <xdr:nvGraphicFramePr>
        <xdr:cNvPr id="216665959" name="Chart 20" title="Chart">
          <a:extLst>
            <a:ext uri="{FF2B5EF4-FFF2-40B4-BE49-F238E27FC236}">
              <a16:creationId xmlns:a16="http://schemas.microsoft.com/office/drawing/2014/main" id="{00000000-0008-0000-0300-0000670FEA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819150</xdr:colOff>
      <xdr:row>45</xdr:row>
      <xdr:rowOff>19050</xdr:rowOff>
    </xdr:from>
    <xdr:ext cx="3514725" cy="2105025"/>
    <xdr:graphicFrame macro="">
      <xdr:nvGraphicFramePr>
        <xdr:cNvPr id="233192365" name="Chart 21" title="Chart">
          <a:extLst>
            <a:ext uri="{FF2B5EF4-FFF2-40B4-BE49-F238E27FC236}">
              <a16:creationId xmlns:a16="http://schemas.microsoft.com/office/drawing/2014/main" id="{00000000-0008-0000-0300-0000AD3BE6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7750" cy="5429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66675</xdr:colOff>
      <xdr:row>0</xdr:row>
      <xdr:rowOff>0</xdr:rowOff>
    </xdr:from>
    <xdr:ext cx="561975" cy="542925"/>
    <xdr:pic>
      <xdr:nvPicPr>
        <xdr:cNvPr id="3" name="image3.jp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52</xdr:row>
      <xdr:rowOff>-161925</xdr:rowOff>
    </xdr:from>
    <xdr:ext cx="7019925" cy="7019925"/>
    <xdr:pic>
      <xdr:nvPicPr>
        <xdr:cNvPr id="4" name="image2.png" title="Imag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T5">
  <tableColumns count="20">
    <tableColumn id="1" xr3:uid="{00000000-0010-0000-0000-000001000000}" name="Security Code"/>
    <tableColumn id="2" xr3:uid="{00000000-0010-0000-0000-000002000000}" name="Security Name"/>
    <tableColumn id="3" xr3:uid="{00000000-0010-0000-0000-000003000000}" name="PRICE"/>
    <tableColumn id="4" xr3:uid="{00000000-0010-0000-0000-000004000000}" name="Marketcap"/>
    <tableColumn id="5" xr3:uid="{00000000-0010-0000-0000-000005000000}" name="Date"/>
    <tableColumn id="6" xr3:uid="{00000000-0010-0000-0000-000006000000}" name="Revenue"/>
    <tableColumn id="7" xr3:uid="{00000000-0010-0000-0000-000007000000}" name="Profit"/>
    <tableColumn id="8" xr3:uid="{00000000-0010-0000-0000-000008000000}" name="EQUITY"/>
    <tableColumn id="9" xr3:uid="{00000000-0010-0000-0000-000009000000}" name="FV"/>
    <tableColumn id="10" xr3:uid="{00000000-0010-0000-0000-00000A000000}" name="Rev Gr 2001"/>
    <tableColumn id="11" xr3:uid="{00000000-0010-0000-0000-00000B000000}" name="Rev gr 2010"/>
    <tableColumn id="12" xr3:uid="{00000000-0010-0000-0000-00000C000000}" name="Profit Gr 2001"/>
    <tableColumn id="13" xr3:uid="{00000000-0010-0000-0000-00000D000000}" name="Profit 2010"/>
    <tableColumn id="14" xr3:uid="{00000000-0010-0000-0000-00000E000000}" name="Cy Rev Gr"/>
    <tableColumn id="15" xr3:uid="{00000000-0010-0000-0000-00000F000000}" name="Cy Profit Gr"/>
    <tableColumn id="16" xr3:uid="{00000000-0010-0000-0000-000010000000}" name="EPS"/>
    <tableColumn id="17" xr3:uid="{00000000-0010-0000-0000-000011000000}" name="F-EPS"/>
    <tableColumn id="18" xr3:uid="{00000000-0010-0000-0000-000012000000}" name="F-PE"/>
    <tableColumn id="19" xr3:uid="{00000000-0010-0000-0000-000013000000}" name="Margin"/>
    <tableColumn id="20" xr3:uid="{00000000-0010-0000-0000-000014000000}" name="R-O-E"/>
  </tableColumns>
  <tableStyleInfo name="sector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U2:AC2" headerRowCount="0">
  <tableColumns count="9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</tableColumns>
  <tableStyleInfo name="sector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62" headerRowCount="0">
  <tableColumns count="1">
    <tableColumn id="1" xr3:uid="{00000000-0010-0000-0200-000001000000}" name="Column1"/>
  </tableColumns>
  <tableStyleInfo name="DASHBOARD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H62" headerRowCount="0">
  <tableColumns count="1">
    <tableColumn id="1" xr3:uid="{00000000-0010-0000-0300-000001000000}" name="Column1"/>
  </tableColumns>
  <tableStyleInfo name="DASHBOARD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J62:L62" headerRowCount="0">
  <tableColumns count="3">
    <tableColumn id="1" xr3:uid="{00000000-0010-0000-0400-000001000000}" name="Column1"/>
    <tableColumn id="2" xr3:uid="{00000000-0010-0000-0400-000002000000}" name="Column2"/>
    <tableColumn id="3" xr3:uid="{00000000-0010-0000-0400-000003000000}" name="Column3"/>
  </tableColumns>
  <tableStyleInfo name="DASHBOARD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70:N74" headerRowCount="0">
  <tableColumns count="13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  <tableColumn id="8" xr3:uid="{00000000-0010-0000-0500-000008000000}" name="Column8"/>
    <tableColumn id="9" xr3:uid="{00000000-0010-0000-0500-000009000000}" name="Column9"/>
    <tableColumn id="10" xr3:uid="{00000000-0010-0000-0500-00000A000000}" name="Column10"/>
    <tableColumn id="11" xr3:uid="{00000000-0010-0000-0500-00000B000000}" name="Column11"/>
    <tableColumn id="12" xr3:uid="{00000000-0010-0000-0500-00000C000000}" name="Column12"/>
    <tableColumn id="13" xr3:uid="{00000000-0010-0000-0500-00000D000000}" name="Column13"/>
  </tableColumns>
  <tableStyleInfo name="DASHBOARD-style 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D3" headerRowCount="0">
  <tableColumns count="1">
    <tableColumn id="1" xr3:uid="{00000000-0010-0000-0600-000001000000}" name="Column1"/>
  </tableColumns>
  <tableStyleInfo name="GICRE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E3:J3" headerRowCount="0">
  <tableColumns count="6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</tableColumns>
  <tableStyleInfo name="GICRE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C11:F11" headerRowCount="0">
  <tableColumns count="4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</tableColumns>
  <tableStyleInfo name="GICRE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C5" headerRowCount="0">
  <tableColumns count="1">
    <tableColumn id="1" xr3:uid="{00000000-0010-0000-0900-000001000000}" name="Column1"/>
  </tableColumns>
  <tableStyleInfo name="NIACL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D5:H5" headerRowCount="0">
  <tableColumns count="5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</tableColumns>
  <tableStyleInfo name="NIACL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B14:E14" headerRowCount="0">
  <tableColumns count="4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</tableColumns>
  <tableStyleInfo name="NIACL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profitfromit.i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profitfromti.in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workbookViewId="0"/>
  </sheetViews>
  <sheetFormatPr defaultColWidth="14.44140625" defaultRowHeight="15" customHeight="1"/>
  <cols>
    <col min="1" max="1" width="15.33203125" customWidth="1"/>
    <col min="2" max="2" width="16" customWidth="1"/>
    <col min="3" max="3" width="10.88671875" customWidth="1"/>
    <col min="4" max="4" width="16.44140625" customWidth="1"/>
    <col min="5" max="5" width="9.6640625" customWidth="1"/>
    <col min="6" max="6" width="11" customWidth="1"/>
    <col min="7" max="7" width="8.6640625" customWidth="1"/>
    <col min="8" max="10" width="13.44140625" customWidth="1"/>
    <col min="11" max="11" width="13" customWidth="1"/>
    <col min="12" max="12" width="15.109375" customWidth="1"/>
    <col min="13" max="13" width="12.5546875" customWidth="1"/>
    <col min="14" max="14" width="11.5546875" customWidth="1"/>
    <col min="15" max="15" width="13.33203125" customWidth="1"/>
    <col min="16" max="18" width="8.6640625" customWidth="1"/>
    <col min="19" max="19" width="9.44140625" customWidth="1"/>
    <col min="20" max="29" width="8.6640625" customWidth="1"/>
  </cols>
  <sheetData>
    <row r="1" spans="1:29" ht="14.4">
      <c r="A1" s="1" t="s">
        <v>0</v>
      </c>
      <c r="B1" s="2" t="s">
        <v>1</v>
      </c>
      <c r="F1" s="3">
        <f t="shared" ref="F1:H1" si="0">SUM(F3:F5)</f>
        <v>662683</v>
      </c>
      <c r="G1" s="3">
        <f t="shared" si="0"/>
        <v>55817</v>
      </c>
      <c r="H1" s="3">
        <f t="shared" si="0"/>
        <v>17467</v>
      </c>
      <c r="I1" s="4"/>
      <c r="J1" s="4"/>
      <c r="K1" s="4" t="e">
        <f>AVERAGE(K3:K5)</f>
        <v>#REF!</v>
      </c>
      <c r="L1" s="4"/>
      <c r="M1" s="4" t="e">
        <f t="shared" ref="M1:O1" si="1">AVERAGE(M3:M5)</f>
        <v>#REF!</v>
      </c>
      <c r="N1" s="4" t="e">
        <f t="shared" si="1"/>
        <v>#REF!</v>
      </c>
      <c r="O1" s="4" t="e">
        <f t="shared" si="1"/>
        <v>#REF!</v>
      </c>
      <c r="P1" s="5"/>
      <c r="Q1" s="5"/>
      <c r="R1" s="6" t="e">
        <f t="shared" ref="R1:T1" ca="1" si="2">AVERAGE(R3:R5)</f>
        <v>#REF!</v>
      </c>
      <c r="S1" s="6">
        <f t="shared" si="2"/>
        <v>4.5884492257702147</v>
      </c>
      <c r="T1" s="6">
        <f t="shared" si="2"/>
        <v>3.1981727645698732</v>
      </c>
      <c r="U1" s="6"/>
      <c r="V1" s="4"/>
      <c r="W1" s="4"/>
      <c r="X1" s="6"/>
    </row>
    <row r="2" spans="1:29" ht="14.4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8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9" t="s">
        <v>23</v>
      </c>
      <c r="W2" s="9" t="s">
        <v>24</v>
      </c>
      <c r="X2" s="9" t="s">
        <v>25</v>
      </c>
      <c r="Y2" s="9" t="s">
        <v>26</v>
      </c>
      <c r="Z2" s="9" t="s">
        <v>27</v>
      </c>
      <c r="AA2" s="5" t="s">
        <v>28</v>
      </c>
      <c r="AB2" s="5" t="s">
        <v>29</v>
      </c>
      <c r="AC2" s="5" t="s">
        <v>30</v>
      </c>
    </row>
    <row r="3" spans="1:29" ht="15.6">
      <c r="A3" s="10">
        <v>540755</v>
      </c>
      <c r="B3" s="11" t="s">
        <v>31</v>
      </c>
      <c r="C3" s="12">
        <f ca="1">IFERROR(__xludf.DUMMYFUNCTION("GOOGLEFINANCE(B3,$C$2)"),194.3)</f>
        <v>194.3</v>
      </c>
      <c r="D3" s="13">
        <f ca="1">IFERROR(__xludf.DUMMYFUNCTION("GOOGLEFINANCE(B3,""marketcap"")"),341443787669)</f>
        <v>341443787669</v>
      </c>
      <c r="E3" s="14">
        <v>43888</v>
      </c>
      <c r="F3" s="11">
        <f>GICRE!F4</f>
        <v>417993</v>
      </c>
      <c r="G3" s="11">
        <f>GICRE!F5</f>
        <v>32335</v>
      </c>
      <c r="H3" s="11">
        <v>8772</v>
      </c>
      <c r="I3" s="11">
        <v>5</v>
      </c>
      <c r="J3" s="11"/>
      <c r="K3" s="15">
        <f>GICRE!K4</f>
        <v>0.25449428540543129</v>
      </c>
      <c r="L3" s="15"/>
      <c r="M3" s="15">
        <f>GICRE!K5</f>
        <v>4.1229120166276889E-2</v>
      </c>
      <c r="N3" s="15">
        <f>GICRE!F12</f>
        <v>0.13696513140004796</v>
      </c>
      <c r="O3" s="15">
        <f>(GICRE!D15/GICRE!E15)^(1/1)-1</f>
        <v>-1.8006100497672177</v>
      </c>
      <c r="P3" s="11">
        <f>GICRE!F6</f>
        <v>18.64</v>
      </c>
      <c r="Q3" s="11">
        <f t="shared" ref="Q3:Q5" si="3">(P3*O3)+P3</f>
        <v>-14.923371327660938</v>
      </c>
      <c r="R3" s="16">
        <f t="shared" ref="R3:R5" ca="1" si="4">C3/Q3</f>
        <v>-13.01984623540519</v>
      </c>
      <c r="S3" s="16">
        <f>GICRE!D17</f>
        <v>-3.5427840727453557</v>
      </c>
      <c r="T3" s="16">
        <f t="shared" ref="T3:T5" si="5">G3/H3</f>
        <v>3.6861605107159141</v>
      </c>
      <c r="U3" s="11"/>
      <c r="V3" s="11"/>
      <c r="W3" s="11"/>
      <c r="X3" s="11"/>
      <c r="Y3" s="17">
        <f>(100*6.75)/P3</f>
        <v>36.212446351931327</v>
      </c>
      <c r="Z3" s="17">
        <f ca="1">(100*sector!$Q3)/sector!$C3</f>
        <v>-7.680582258188851</v>
      </c>
    </row>
    <row r="4" spans="1:29" ht="15.6">
      <c r="A4" s="18">
        <v>540769</v>
      </c>
      <c r="B4" s="11" t="s">
        <v>32</v>
      </c>
      <c r="C4" s="12">
        <f ca="1">IFERROR(__xludf.DUMMYFUNCTION("GOOGLEFINANCE(B4,$C$2)"),119.35)</f>
        <v>119.35</v>
      </c>
      <c r="D4" s="13">
        <f ca="1">IFERROR(__xludf.DUMMYFUNCTION("GOOGLEFINANCE(B4,""marketcap"")"),196773416634)</f>
        <v>196773416634</v>
      </c>
      <c r="E4" s="19">
        <v>43888</v>
      </c>
      <c r="F4" s="11">
        <f>NIACL!D6</f>
        <v>232529</v>
      </c>
      <c r="G4" s="11">
        <f>NIACL!D7</f>
        <v>22009</v>
      </c>
      <c r="H4" s="11">
        <v>8240</v>
      </c>
      <c r="I4" s="11">
        <v>5</v>
      </c>
      <c r="J4" s="11"/>
      <c r="K4" s="15">
        <f>NIACL!H6</f>
        <v>0.12767504814773778</v>
      </c>
      <c r="L4" s="11"/>
      <c r="M4" s="15">
        <f>NIACL!H7</f>
        <v>-0.18595988166031141</v>
      </c>
      <c r="N4" s="15">
        <f>NIACL!E15</f>
        <v>0.14102702331827133</v>
      </c>
      <c r="O4" s="15">
        <f>NIACL!E16</f>
        <v>0.51460313824304205</v>
      </c>
      <c r="P4" s="11">
        <f>NIACL!D8</f>
        <v>13.36</v>
      </c>
      <c r="Q4" s="11">
        <f t="shared" si="3"/>
        <v>20.23509792692704</v>
      </c>
      <c r="R4" s="16">
        <f t="shared" ca="1" si="4"/>
        <v>5.8981676506333978</v>
      </c>
      <c r="S4" s="16">
        <f>NIACL!C18</f>
        <v>5.6798756131293437</v>
      </c>
      <c r="T4" s="16">
        <f t="shared" si="5"/>
        <v>2.6709951456310681</v>
      </c>
      <c r="U4" s="11"/>
      <c r="V4" s="11"/>
      <c r="W4" s="11"/>
      <c r="X4" s="11"/>
      <c r="Y4" s="17">
        <f>(100*1.5)/P4</f>
        <v>11.227544910179642</v>
      </c>
      <c r="Z4" s="17">
        <f ca="1">(100*sector!$Q4)/sector!$C4</f>
        <v>16.95441803680523</v>
      </c>
    </row>
    <row r="5" spans="1:29" ht="15.6">
      <c r="A5" s="10">
        <v>540716</v>
      </c>
      <c r="B5" s="11" t="s">
        <v>33</v>
      </c>
      <c r="C5" s="12">
        <f ca="1">IFERROR(__xludf.DUMMYFUNCTION("GOOGLEFINANCE(B5,$C$2)"),1407.3)</f>
        <v>1407.3</v>
      </c>
      <c r="D5" s="13">
        <f ca="1">IFERROR(__xludf.DUMMYFUNCTION("GOOGLEFINANCE(B5,""marketcap"")"),693898524862)</f>
        <v>693898524862</v>
      </c>
      <c r="E5" s="19">
        <v>43484</v>
      </c>
      <c r="F5" s="11">
        <v>12161</v>
      </c>
      <c r="G5" s="11">
        <v>1473</v>
      </c>
      <c r="H5" s="11">
        <v>455</v>
      </c>
      <c r="I5" s="11">
        <v>10</v>
      </c>
      <c r="J5" s="20">
        <v>0.17</v>
      </c>
      <c r="K5" s="21" t="e">
        <f>#REF!</f>
        <v>#REF!</v>
      </c>
      <c r="L5" s="11"/>
      <c r="M5" s="15" t="e">
        <f t="shared" ref="M5:O5" si="6">#REF!</f>
        <v>#REF!</v>
      </c>
      <c r="N5" s="15" t="e">
        <f t="shared" si="6"/>
        <v>#REF!</v>
      </c>
      <c r="O5" s="15" t="e">
        <f t="shared" si="6"/>
        <v>#REF!</v>
      </c>
      <c r="P5" s="11">
        <v>23.11</v>
      </c>
      <c r="Q5" s="11" t="e">
        <f t="shared" si="3"/>
        <v>#REF!</v>
      </c>
      <c r="R5" s="16" t="e">
        <f t="shared" ca="1" si="4"/>
        <v>#REF!</v>
      </c>
      <c r="S5" s="16">
        <f>(100*3098)/26642</f>
        <v>11.628256136926657</v>
      </c>
      <c r="T5" s="16">
        <f t="shared" si="5"/>
        <v>3.2373626373626374</v>
      </c>
      <c r="U5" s="11"/>
      <c r="V5" s="11"/>
      <c r="W5" s="11"/>
      <c r="X5" s="11"/>
      <c r="Y5" s="17">
        <f>(100*6)/sector!$P5</f>
        <v>25.962786672436174</v>
      </c>
      <c r="Z5" s="17" t="e">
        <f ca="1">(100*sector!$Q5)/sector!$C5</f>
        <v>#REF!</v>
      </c>
      <c r="AA5" s="1">
        <v>60781</v>
      </c>
      <c r="AC5" s="22">
        <f>G5/AA5</f>
        <v>2.4234546980141821E-2</v>
      </c>
    </row>
    <row r="7" spans="1:29" ht="14.4">
      <c r="C7" s="1" t="s">
        <v>34</v>
      </c>
      <c r="F7" s="23">
        <f>F1*80%</f>
        <v>530146.4</v>
      </c>
    </row>
    <row r="8" spans="1:29" ht="28.8">
      <c r="A8" s="24" t="s">
        <v>35</v>
      </c>
      <c r="B8" s="1" t="s">
        <v>36</v>
      </c>
    </row>
    <row r="9" spans="1:29" ht="14.4">
      <c r="B9" s="1" t="s">
        <v>37</v>
      </c>
    </row>
    <row r="10" spans="1:29" ht="14.4">
      <c r="B10" s="1" t="s">
        <v>38</v>
      </c>
      <c r="C10" s="1" t="s">
        <v>39</v>
      </c>
      <c r="D10" s="1" t="s">
        <v>40</v>
      </c>
      <c r="E10" s="1" t="s">
        <v>41</v>
      </c>
      <c r="F10" s="1" t="s">
        <v>42</v>
      </c>
      <c r="G10" s="1" t="s">
        <v>43</v>
      </c>
      <c r="H10" s="1" t="s">
        <v>44</v>
      </c>
      <c r="I10" s="1" t="s">
        <v>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R109"/>
  <sheetViews>
    <sheetView showGridLines="0" tabSelected="1" workbookViewId="0"/>
  </sheetViews>
  <sheetFormatPr defaultColWidth="14.44140625" defaultRowHeight="15" customHeight="1"/>
  <cols>
    <col min="1" max="1" width="12.5546875" customWidth="1"/>
    <col min="3" max="3" width="23" customWidth="1"/>
    <col min="6" max="6" width="19.109375" customWidth="1"/>
    <col min="7" max="7" width="20.33203125" customWidth="1"/>
    <col min="11" max="11" width="15.5546875" customWidth="1"/>
    <col min="12" max="12" width="16.88671875" customWidth="1"/>
  </cols>
  <sheetData>
    <row r="2" spans="1:9">
      <c r="A2" s="25" t="s">
        <v>46</v>
      </c>
      <c r="B2" s="25" t="s">
        <v>47</v>
      </c>
      <c r="C2" s="25" t="s">
        <v>48</v>
      </c>
      <c r="D2" s="25" t="s">
        <v>49</v>
      </c>
      <c r="E2" s="25" t="s">
        <v>50</v>
      </c>
      <c r="F2" s="25" t="s">
        <v>51</v>
      </c>
    </row>
    <row r="3" spans="1:9">
      <c r="B3" s="25" t="s">
        <v>52</v>
      </c>
      <c r="C3" s="11" t="s">
        <v>53</v>
      </c>
      <c r="D3" s="11">
        <v>10087</v>
      </c>
      <c r="E3" s="26"/>
      <c r="F3" s="27">
        <v>1E-3</v>
      </c>
    </row>
    <row r="4" spans="1:9">
      <c r="B4" s="25" t="s">
        <v>52</v>
      </c>
      <c r="C4" s="11" t="s">
        <v>54</v>
      </c>
      <c r="D4" s="11">
        <v>29498</v>
      </c>
      <c r="E4" s="20">
        <f>(D4/D3)^(1/7)-1</f>
        <v>0.1656704654927168</v>
      </c>
      <c r="F4" s="27">
        <v>0.36599999999999999</v>
      </c>
    </row>
    <row r="5" spans="1:9">
      <c r="B5" s="25" t="s">
        <v>55</v>
      </c>
      <c r="C5" s="11" t="s">
        <v>56</v>
      </c>
      <c r="D5" s="11">
        <v>220772</v>
      </c>
      <c r="E5" s="20">
        <f>(D5/D4)^(1/14)-1</f>
        <v>0.1546208274650529</v>
      </c>
      <c r="F5" s="27">
        <v>0.497</v>
      </c>
    </row>
    <row r="6" spans="1:9">
      <c r="B6" s="25" t="s">
        <v>55</v>
      </c>
      <c r="C6" s="11" t="s">
        <v>57</v>
      </c>
      <c r="D6" s="11">
        <v>256912</v>
      </c>
      <c r="E6" s="20">
        <f>(D6/D5)-1</f>
        <v>0.16369829507365075</v>
      </c>
      <c r="F6" s="27">
        <v>0.51400000000000001</v>
      </c>
    </row>
    <row r="11" spans="1:9">
      <c r="A11" s="25" t="s">
        <v>58</v>
      </c>
      <c r="B11" s="25" t="s">
        <v>59</v>
      </c>
      <c r="C11" s="164" t="s">
        <v>60</v>
      </c>
      <c r="D11" s="165"/>
      <c r="E11" s="166"/>
      <c r="F11" s="25" t="s">
        <v>61</v>
      </c>
      <c r="H11" s="25" t="s">
        <v>62</v>
      </c>
      <c r="I11" s="25" t="s">
        <v>63</v>
      </c>
    </row>
    <row r="12" spans="1:9">
      <c r="B12" s="28">
        <v>1</v>
      </c>
      <c r="C12" s="167" t="s">
        <v>64</v>
      </c>
      <c r="D12" s="168"/>
      <c r="E12" s="168"/>
      <c r="F12" s="29">
        <v>22536.71</v>
      </c>
      <c r="H12" s="11" t="s">
        <v>65</v>
      </c>
      <c r="I12" s="20">
        <v>0.7</v>
      </c>
    </row>
    <row r="13" spans="1:9">
      <c r="B13" s="28">
        <v>2</v>
      </c>
      <c r="C13" s="167" t="s">
        <v>66</v>
      </c>
      <c r="D13" s="168"/>
      <c r="E13" s="168"/>
      <c r="F13" s="29">
        <v>14397.2</v>
      </c>
      <c r="H13" s="11" t="s">
        <v>67</v>
      </c>
      <c r="I13" s="20">
        <v>0.3</v>
      </c>
    </row>
    <row r="14" spans="1:9">
      <c r="B14" s="28">
        <v>3</v>
      </c>
      <c r="C14" s="167" t="s">
        <v>68</v>
      </c>
      <c r="D14" s="168"/>
      <c r="E14" s="168"/>
      <c r="F14" s="29">
        <v>11520.08</v>
      </c>
    </row>
    <row r="15" spans="1:9">
      <c r="B15" s="28">
        <v>4</v>
      </c>
      <c r="C15" s="167" t="s">
        <v>69</v>
      </c>
      <c r="D15" s="168"/>
      <c r="E15" s="168"/>
      <c r="F15" s="29">
        <v>10456.66</v>
      </c>
    </row>
    <row r="16" spans="1:9">
      <c r="B16" s="28">
        <v>5</v>
      </c>
      <c r="C16" s="167" t="s">
        <v>70</v>
      </c>
      <c r="D16" s="168"/>
      <c r="E16" s="168"/>
      <c r="F16" s="29">
        <v>10425.200000000001</v>
      </c>
    </row>
    <row r="17" spans="2:11">
      <c r="B17" s="28">
        <v>6</v>
      </c>
      <c r="C17" s="167" t="s">
        <v>71</v>
      </c>
      <c r="D17" s="168"/>
      <c r="E17" s="168"/>
      <c r="F17" s="29">
        <v>10399.34</v>
      </c>
    </row>
    <row r="18" spans="2:11">
      <c r="B18" s="28">
        <v>7</v>
      </c>
      <c r="C18" s="167" t="s">
        <v>72</v>
      </c>
      <c r="D18" s="168"/>
      <c r="E18" s="168"/>
      <c r="F18" s="29">
        <v>10259.200000000001</v>
      </c>
      <c r="H18" s="25" t="s">
        <v>73</v>
      </c>
      <c r="I18" s="25" t="s">
        <v>60</v>
      </c>
      <c r="J18" s="30" t="s">
        <v>74</v>
      </c>
      <c r="K18" s="25" t="s">
        <v>75</v>
      </c>
    </row>
    <row r="19" spans="2:11">
      <c r="B19" s="28">
        <v>8</v>
      </c>
      <c r="C19" s="167" t="s">
        <v>76</v>
      </c>
      <c r="D19" s="168"/>
      <c r="E19" s="168"/>
      <c r="F19" s="29">
        <v>8950.33</v>
      </c>
      <c r="I19" s="31" t="s">
        <v>77</v>
      </c>
      <c r="J19" s="32">
        <v>21772</v>
      </c>
      <c r="K19" s="33">
        <v>18095</v>
      </c>
    </row>
    <row r="20" spans="2:11">
      <c r="B20" s="28">
        <v>9</v>
      </c>
      <c r="C20" s="167" t="s">
        <v>78</v>
      </c>
      <c r="D20" s="168"/>
      <c r="E20" s="168"/>
      <c r="F20" s="29">
        <v>8209.0499999999993</v>
      </c>
      <c r="I20" s="31" t="s">
        <v>79</v>
      </c>
      <c r="J20" s="34">
        <v>12952</v>
      </c>
      <c r="K20" s="35">
        <v>11763</v>
      </c>
    </row>
    <row r="21" spans="2:11">
      <c r="B21" s="28">
        <v>10</v>
      </c>
      <c r="C21" s="167" t="s">
        <v>80</v>
      </c>
      <c r="D21" s="168"/>
      <c r="E21" s="168"/>
      <c r="F21" s="29">
        <v>7589.47</v>
      </c>
    </row>
    <row r="22" spans="2:11">
      <c r="B22" s="1" t="s">
        <v>81</v>
      </c>
      <c r="C22" s="1" t="s">
        <v>82</v>
      </c>
      <c r="F22" s="29">
        <v>50617</v>
      </c>
    </row>
    <row r="37" spans="1:13">
      <c r="A37" s="25" t="s">
        <v>83</v>
      </c>
      <c r="B37" s="25" t="s">
        <v>60</v>
      </c>
      <c r="C37" s="30" t="s">
        <v>84</v>
      </c>
      <c r="E37" s="25" t="s">
        <v>60</v>
      </c>
      <c r="F37" s="30" t="s">
        <v>85</v>
      </c>
      <c r="H37" s="25" t="s">
        <v>60</v>
      </c>
      <c r="I37" s="30" t="s">
        <v>86</v>
      </c>
      <c r="L37" s="25" t="s">
        <v>60</v>
      </c>
      <c r="M37" s="30" t="s">
        <v>87</v>
      </c>
    </row>
    <row r="38" spans="1:13">
      <c r="A38" s="25" t="s">
        <v>88</v>
      </c>
      <c r="B38" s="31" t="s">
        <v>77</v>
      </c>
      <c r="C38" s="36">
        <v>7.9413926143670766E-2</v>
      </c>
      <c r="E38" s="31" t="s">
        <v>77</v>
      </c>
      <c r="F38" s="37">
        <v>29.6</v>
      </c>
      <c r="H38" s="31" t="s">
        <v>77</v>
      </c>
      <c r="I38" s="38">
        <v>72.400000000000006</v>
      </c>
      <c r="L38" s="31" t="s">
        <v>77</v>
      </c>
      <c r="M38" s="39">
        <v>104.5</v>
      </c>
    </row>
    <row r="39" spans="1:13">
      <c r="B39" s="31" t="s">
        <v>79</v>
      </c>
      <c r="C39" s="40">
        <v>4.7791846819024091E-2</v>
      </c>
      <c r="E39" s="31" t="s">
        <v>79</v>
      </c>
      <c r="F39" s="41">
        <v>29.97</v>
      </c>
      <c r="H39" s="31" t="s">
        <v>79</v>
      </c>
      <c r="I39" s="41">
        <v>65</v>
      </c>
      <c r="L39" s="31" t="s">
        <v>79</v>
      </c>
      <c r="M39" s="41">
        <v>95.33</v>
      </c>
    </row>
    <row r="53" spans="1:10">
      <c r="A53" s="25" t="s">
        <v>83</v>
      </c>
      <c r="B53" s="25" t="s">
        <v>60</v>
      </c>
      <c r="C53" s="30" t="s">
        <v>89</v>
      </c>
      <c r="E53" s="25" t="s">
        <v>90</v>
      </c>
      <c r="F53" s="25" t="s">
        <v>60</v>
      </c>
      <c r="G53" s="30" t="s">
        <v>91</v>
      </c>
      <c r="I53" s="25" t="s">
        <v>60</v>
      </c>
      <c r="J53" s="30" t="s">
        <v>30</v>
      </c>
    </row>
    <row r="54" spans="1:10">
      <c r="A54" s="25" t="s">
        <v>92</v>
      </c>
      <c r="B54" s="31" t="s">
        <v>77</v>
      </c>
      <c r="C54" s="42">
        <v>2.5099999999999998</v>
      </c>
      <c r="E54" s="1"/>
      <c r="F54" s="31" t="s">
        <v>77</v>
      </c>
      <c r="G54" s="43">
        <v>7.5</v>
      </c>
      <c r="I54" s="31" t="s">
        <v>77</v>
      </c>
      <c r="J54" s="44">
        <v>0.16637798306389531</v>
      </c>
    </row>
    <row r="55" spans="1:10">
      <c r="B55" s="31" t="s">
        <v>79</v>
      </c>
      <c r="C55" s="45">
        <v>2.14</v>
      </c>
      <c r="F55" s="31" t="s">
        <v>79</v>
      </c>
      <c r="G55" s="46">
        <v>6.94</v>
      </c>
      <c r="I55" s="31" t="s">
        <v>79</v>
      </c>
      <c r="J55" s="47">
        <v>0.1139124033860876</v>
      </c>
    </row>
    <row r="67" spans="1:18">
      <c r="A67" s="25" t="s">
        <v>93</v>
      </c>
      <c r="B67" s="25" t="s">
        <v>2</v>
      </c>
      <c r="C67" s="25" t="s">
        <v>60</v>
      </c>
      <c r="D67" s="25" t="s">
        <v>94</v>
      </c>
      <c r="E67" s="25" t="s">
        <v>95</v>
      </c>
      <c r="F67" s="25" t="s">
        <v>74</v>
      </c>
      <c r="G67" s="25" t="s">
        <v>75</v>
      </c>
      <c r="H67" s="25" t="s">
        <v>96</v>
      </c>
      <c r="I67" s="25" t="s">
        <v>9</v>
      </c>
      <c r="J67" s="25" t="s">
        <v>97</v>
      </c>
      <c r="K67" s="25" t="s">
        <v>84</v>
      </c>
      <c r="L67" s="25" t="s">
        <v>89</v>
      </c>
      <c r="M67" s="25" t="s">
        <v>85</v>
      </c>
      <c r="N67" s="25" t="s">
        <v>86</v>
      </c>
      <c r="O67" s="25" t="s">
        <v>87</v>
      </c>
      <c r="P67" s="25" t="s">
        <v>98</v>
      </c>
      <c r="Q67" s="25" t="s">
        <v>91</v>
      </c>
      <c r="R67" s="25" t="s">
        <v>30</v>
      </c>
    </row>
    <row r="68" spans="1:18">
      <c r="B68" s="48">
        <v>540755</v>
      </c>
      <c r="C68" s="49" t="s">
        <v>99</v>
      </c>
      <c r="D68" s="48">
        <v>194.05</v>
      </c>
      <c r="E68" s="48">
        <v>3.74</v>
      </c>
      <c r="F68" s="49">
        <v>36592</v>
      </c>
      <c r="G68" s="11">
        <v>43925</v>
      </c>
      <c r="H68" s="11">
        <v>6313</v>
      </c>
      <c r="I68" s="11">
        <v>877</v>
      </c>
      <c r="J68" s="11">
        <v>29517</v>
      </c>
      <c r="K68" s="27">
        <f t="shared" ref="K68:K71" si="0">H68/F68</f>
        <v>0.17252404897245299</v>
      </c>
      <c r="L68" s="17">
        <v>2.61</v>
      </c>
      <c r="M68" s="50">
        <v>1.2</v>
      </c>
      <c r="N68" s="50">
        <v>91.4</v>
      </c>
      <c r="O68" s="50">
        <v>109.31</v>
      </c>
      <c r="P68" s="17">
        <v>2.48</v>
      </c>
      <c r="Q68" s="17">
        <v>1.22</v>
      </c>
      <c r="R68" s="20">
        <f t="shared" ref="R68:R71" si="1">H68/(J68+I68)</f>
        <v>0.20770546818451011</v>
      </c>
    </row>
    <row r="69" spans="1:18">
      <c r="B69" s="48">
        <v>540716</v>
      </c>
      <c r="C69" s="49" t="s">
        <v>77</v>
      </c>
      <c r="D69" s="48">
        <v>1409.4</v>
      </c>
      <c r="E69" s="48">
        <v>0.81</v>
      </c>
      <c r="F69" s="49">
        <v>21772</v>
      </c>
      <c r="G69" s="11">
        <v>18095</v>
      </c>
      <c r="H69" s="11">
        <v>1729</v>
      </c>
      <c r="I69" s="11">
        <v>491</v>
      </c>
      <c r="J69" s="11">
        <v>9901</v>
      </c>
      <c r="K69" s="27">
        <f t="shared" si="0"/>
        <v>7.9413926143670766E-2</v>
      </c>
      <c r="L69" s="17">
        <v>2.5099999999999998</v>
      </c>
      <c r="M69" s="50">
        <v>29.6</v>
      </c>
      <c r="N69" s="50">
        <v>72.400000000000006</v>
      </c>
      <c r="O69" s="50">
        <v>104.5</v>
      </c>
      <c r="P69" s="17">
        <v>0</v>
      </c>
      <c r="Q69" s="17">
        <v>7.5</v>
      </c>
      <c r="R69" s="20">
        <f t="shared" si="1"/>
        <v>0.16637798306389531</v>
      </c>
    </row>
    <row r="70" spans="1:18">
      <c r="B70" s="48">
        <v>540769</v>
      </c>
      <c r="C70" s="49" t="s">
        <v>100</v>
      </c>
      <c r="D70" s="48">
        <v>119.35</v>
      </c>
      <c r="E70" s="48">
        <v>2.8</v>
      </c>
      <c r="F70" s="49">
        <v>38791</v>
      </c>
      <c r="G70" s="11">
        <v>37720</v>
      </c>
      <c r="H70" s="11">
        <v>1055</v>
      </c>
      <c r="I70" s="11">
        <v>824</v>
      </c>
      <c r="J70" s="11">
        <v>19505</v>
      </c>
      <c r="K70" s="27">
        <f t="shared" si="0"/>
        <v>2.7197030238972957E-2</v>
      </c>
      <c r="L70" s="17">
        <v>1.91</v>
      </c>
      <c r="M70" s="50">
        <v>19.27</v>
      </c>
      <c r="N70" s="50">
        <v>95.58</v>
      </c>
      <c r="O70" s="50">
        <v>117.15</v>
      </c>
      <c r="P70" s="17">
        <v>0.88</v>
      </c>
      <c r="Q70" s="17">
        <v>1.87</v>
      </c>
      <c r="R70" s="20">
        <f t="shared" si="1"/>
        <v>5.1896305770082148E-2</v>
      </c>
    </row>
    <row r="71" spans="1:18">
      <c r="B71" s="48">
        <v>543412</v>
      </c>
      <c r="C71" s="49" t="s">
        <v>79</v>
      </c>
      <c r="D71" s="48">
        <v>640.04999999999995</v>
      </c>
      <c r="E71" s="48">
        <v>-0.81</v>
      </c>
      <c r="F71" s="49">
        <v>12952</v>
      </c>
      <c r="G71" s="11">
        <v>11763</v>
      </c>
      <c r="H71" s="11">
        <v>619</v>
      </c>
      <c r="I71" s="11">
        <v>582</v>
      </c>
      <c r="J71" s="11">
        <v>4852</v>
      </c>
      <c r="K71" s="27">
        <f t="shared" si="0"/>
        <v>4.7791846819024091E-2</v>
      </c>
      <c r="L71" s="17">
        <v>2.14</v>
      </c>
      <c r="M71" s="50">
        <v>29.97</v>
      </c>
      <c r="N71" s="50">
        <v>65</v>
      </c>
      <c r="O71" s="50">
        <v>95.33</v>
      </c>
      <c r="P71" s="17">
        <v>0</v>
      </c>
      <c r="Q71" s="17">
        <v>6.94</v>
      </c>
      <c r="R71" s="20">
        <f t="shared" si="1"/>
        <v>0.1139124033860876</v>
      </c>
    </row>
    <row r="73" spans="1:18">
      <c r="A73" s="25" t="s">
        <v>101</v>
      </c>
      <c r="B73" s="25" t="s">
        <v>59</v>
      </c>
      <c r="C73" s="164" t="s">
        <v>60</v>
      </c>
      <c r="D73" s="165"/>
      <c r="E73" s="166"/>
      <c r="F73" s="25" t="s">
        <v>61</v>
      </c>
      <c r="G73" s="25" t="s">
        <v>102</v>
      </c>
    </row>
    <row r="74" spans="1:18">
      <c r="B74" s="28">
        <v>1</v>
      </c>
      <c r="C74" s="167" t="s">
        <v>64</v>
      </c>
      <c r="D74" s="168"/>
      <c r="E74" s="168"/>
      <c r="F74" s="29">
        <v>22536.71</v>
      </c>
      <c r="G74" s="51">
        <f t="shared" ref="G74:G104" si="2">F74/$F$106</f>
        <v>0.13628840126453462</v>
      </c>
    </row>
    <row r="75" spans="1:18">
      <c r="B75" s="28">
        <v>2</v>
      </c>
      <c r="C75" s="167" t="s">
        <v>66</v>
      </c>
      <c r="D75" s="168"/>
      <c r="E75" s="168"/>
      <c r="F75" s="29">
        <v>14397.2</v>
      </c>
      <c r="G75" s="51">
        <f t="shared" si="2"/>
        <v>8.706556417000344E-2</v>
      </c>
    </row>
    <row r="76" spans="1:18">
      <c r="B76" s="28">
        <v>3</v>
      </c>
      <c r="C76" s="167" t="s">
        <v>68</v>
      </c>
      <c r="D76" s="168"/>
      <c r="E76" s="168"/>
      <c r="F76" s="29">
        <v>11520.08</v>
      </c>
      <c r="G76" s="51">
        <f t="shared" si="2"/>
        <v>6.9666481293833044E-2</v>
      </c>
    </row>
    <row r="77" spans="1:18">
      <c r="B77" s="28">
        <v>4</v>
      </c>
      <c r="C77" s="167" t="s">
        <v>69</v>
      </c>
      <c r="D77" s="168"/>
      <c r="E77" s="168"/>
      <c r="F77" s="29">
        <v>10456.66</v>
      </c>
      <c r="G77" s="51">
        <f t="shared" si="2"/>
        <v>6.323555984732504E-2</v>
      </c>
    </row>
    <row r="78" spans="1:18">
      <c r="B78" s="28">
        <v>5</v>
      </c>
      <c r="C78" s="167" t="s">
        <v>70</v>
      </c>
      <c r="D78" s="168"/>
      <c r="E78" s="168"/>
      <c r="F78" s="29">
        <v>10425.200000000001</v>
      </c>
      <c r="G78" s="51">
        <f t="shared" si="2"/>
        <v>6.3045308781229673E-2</v>
      </c>
    </row>
    <row r="79" spans="1:18">
      <c r="B79" s="28">
        <v>6</v>
      </c>
      <c r="C79" s="167" t="s">
        <v>71</v>
      </c>
      <c r="D79" s="168"/>
      <c r="E79" s="168"/>
      <c r="F79" s="29">
        <v>10399.34</v>
      </c>
      <c r="G79" s="51">
        <f t="shared" si="2"/>
        <v>6.2888923130586749E-2</v>
      </c>
    </row>
    <row r="80" spans="1:18">
      <c r="B80" s="28">
        <v>7</v>
      </c>
      <c r="C80" s="167" t="s">
        <v>72</v>
      </c>
      <c r="D80" s="168"/>
      <c r="E80" s="168"/>
      <c r="F80" s="29">
        <v>10259.200000000001</v>
      </c>
      <c r="G80" s="51">
        <f t="shared" si="2"/>
        <v>6.2041441108889178E-2</v>
      </c>
    </row>
    <row r="81" spans="2:7">
      <c r="B81" s="28">
        <v>8</v>
      </c>
      <c r="C81" s="167" t="s">
        <v>76</v>
      </c>
      <c r="D81" s="168"/>
      <c r="E81" s="168"/>
      <c r="F81" s="29">
        <v>8950.33</v>
      </c>
      <c r="G81" s="51">
        <f t="shared" si="2"/>
        <v>5.4126186408309032E-2</v>
      </c>
    </row>
    <row r="82" spans="2:7">
      <c r="B82" s="28">
        <v>9</v>
      </c>
      <c r="C82" s="167" t="s">
        <v>78</v>
      </c>
      <c r="D82" s="168"/>
      <c r="E82" s="168"/>
      <c r="F82" s="29">
        <v>8209.0499999999993</v>
      </c>
      <c r="G82" s="51">
        <f t="shared" si="2"/>
        <v>4.9643372985703232E-2</v>
      </c>
    </row>
    <row r="83" spans="2:7">
      <c r="B83" s="28">
        <v>10</v>
      </c>
      <c r="C83" s="167" t="s">
        <v>80</v>
      </c>
      <c r="D83" s="168"/>
      <c r="E83" s="168"/>
      <c r="F83" s="29">
        <v>7589.47</v>
      </c>
      <c r="G83" s="51">
        <f t="shared" si="2"/>
        <v>4.5896527609626592E-2</v>
      </c>
    </row>
    <row r="84" spans="2:7">
      <c r="B84" s="28">
        <v>11</v>
      </c>
      <c r="C84" s="167" t="s">
        <v>103</v>
      </c>
      <c r="D84" s="168"/>
      <c r="E84" s="168"/>
      <c r="F84" s="29">
        <v>7221.97</v>
      </c>
      <c r="G84" s="51">
        <f t="shared" si="2"/>
        <v>4.3674109720559531E-2</v>
      </c>
    </row>
    <row r="85" spans="2:7">
      <c r="B85" s="28">
        <v>12</v>
      </c>
      <c r="C85" s="167" t="s">
        <v>104</v>
      </c>
      <c r="D85" s="168"/>
      <c r="E85" s="168"/>
      <c r="F85" s="29">
        <v>6231.94</v>
      </c>
      <c r="G85" s="51">
        <f t="shared" si="2"/>
        <v>3.768700663834712E-2</v>
      </c>
    </row>
    <row r="86" spans="2:7">
      <c r="B86" s="28">
        <v>13</v>
      </c>
      <c r="C86" s="167" t="s">
        <v>105</v>
      </c>
      <c r="D86" s="168"/>
      <c r="E86" s="168"/>
      <c r="F86" s="29">
        <v>6162.47</v>
      </c>
      <c r="G86" s="51">
        <f t="shared" si="2"/>
        <v>3.7266894064868245E-2</v>
      </c>
    </row>
    <row r="87" spans="2:7">
      <c r="B87" s="28">
        <v>14</v>
      </c>
      <c r="C87" s="167" t="s">
        <v>106</v>
      </c>
      <c r="D87" s="168"/>
      <c r="E87" s="168"/>
      <c r="F87" s="29">
        <v>4051.03</v>
      </c>
      <c r="G87" s="51">
        <f t="shared" si="2"/>
        <v>2.449818106434647E-2</v>
      </c>
    </row>
    <row r="88" spans="2:7">
      <c r="B88" s="28">
        <v>15</v>
      </c>
      <c r="C88" s="167" t="s">
        <v>107</v>
      </c>
      <c r="D88" s="168"/>
      <c r="E88" s="168"/>
      <c r="F88" s="29">
        <v>3841.55</v>
      </c>
      <c r="G88" s="51">
        <f t="shared" si="2"/>
        <v>2.3231372630600166E-2</v>
      </c>
    </row>
    <row r="89" spans="2:7">
      <c r="B89" s="28">
        <v>16</v>
      </c>
      <c r="C89" s="167" t="s">
        <v>108</v>
      </c>
      <c r="D89" s="168"/>
      <c r="E89" s="168"/>
      <c r="F89" s="29">
        <v>3195.61</v>
      </c>
      <c r="G89" s="51">
        <f t="shared" si="2"/>
        <v>1.9325117906072338E-2</v>
      </c>
    </row>
    <row r="90" spans="2:7">
      <c r="B90" s="28">
        <v>17</v>
      </c>
      <c r="C90" s="167" t="s">
        <v>109</v>
      </c>
      <c r="D90" s="168"/>
      <c r="E90" s="168"/>
      <c r="F90" s="29">
        <v>2773.21</v>
      </c>
      <c r="G90" s="51">
        <f t="shared" si="2"/>
        <v>1.6770697997658936E-2</v>
      </c>
    </row>
    <row r="91" spans="2:7">
      <c r="B91" s="28">
        <v>18</v>
      </c>
      <c r="C91" s="167" t="s">
        <v>110</v>
      </c>
      <c r="D91" s="168"/>
      <c r="E91" s="168"/>
      <c r="F91" s="29">
        <v>2757.13</v>
      </c>
      <c r="G91" s="51">
        <f t="shared" si="2"/>
        <v>1.6673455876145472E-2</v>
      </c>
    </row>
    <row r="92" spans="2:7">
      <c r="B92" s="28">
        <v>19</v>
      </c>
      <c r="C92" s="167" t="s">
        <v>111</v>
      </c>
      <c r="D92" s="168"/>
      <c r="E92" s="168"/>
      <c r="F92" s="29">
        <v>2336.16</v>
      </c>
      <c r="G92" s="51">
        <f t="shared" si="2"/>
        <v>1.4127683743463675E-2</v>
      </c>
    </row>
    <row r="93" spans="2:7">
      <c r="B93" s="28">
        <v>20</v>
      </c>
      <c r="C93" s="167" t="s">
        <v>112</v>
      </c>
      <c r="D93" s="168"/>
      <c r="E93" s="168"/>
      <c r="F93" s="29">
        <v>2154.33</v>
      </c>
      <c r="G93" s="51">
        <f t="shared" si="2"/>
        <v>1.3028085798513842E-2</v>
      </c>
    </row>
    <row r="94" spans="2:7">
      <c r="B94" s="28">
        <v>21</v>
      </c>
      <c r="C94" s="167" t="s">
        <v>113</v>
      </c>
      <c r="D94" s="168"/>
      <c r="E94" s="168"/>
      <c r="F94" s="29">
        <v>1671.91</v>
      </c>
      <c r="G94" s="51">
        <f t="shared" si="2"/>
        <v>1.0110701205197569E-2</v>
      </c>
    </row>
    <row r="95" spans="2:7">
      <c r="B95" s="28">
        <v>22</v>
      </c>
      <c r="C95" s="167" t="s">
        <v>114</v>
      </c>
      <c r="D95" s="168"/>
      <c r="E95" s="168"/>
      <c r="F95" s="29">
        <v>1614.35</v>
      </c>
      <c r="G95" s="51">
        <f t="shared" si="2"/>
        <v>9.7626131135113096E-3</v>
      </c>
    </row>
    <row r="96" spans="2:7">
      <c r="B96" s="28">
        <v>23</v>
      </c>
      <c r="C96" s="167" t="s">
        <v>115</v>
      </c>
      <c r="D96" s="168"/>
      <c r="E96" s="168"/>
      <c r="F96" s="29">
        <v>1397.17</v>
      </c>
      <c r="G96" s="51">
        <f t="shared" si="2"/>
        <v>8.4492397335178861E-3</v>
      </c>
    </row>
    <row r="97" spans="1:13">
      <c r="B97" s="28">
        <v>24</v>
      </c>
      <c r="C97" s="167" t="s">
        <v>116</v>
      </c>
      <c r="D97" s="168"/>
      <c r="E97" s="168"/>
      <c r="F97" s="29">
        <v>1276.75</v>
      </c>
      <c r="G97" s="51">
        <f t="shared" si="2"/>
        <v>7.7210123533778706E-3</v>
      </c>
    </row>
    <row r="98" spans="1:13">
      <c r="B98" s="28">
        <v>25</v>
      </c>
      <c r="C98" s="167" t="s">
        <v>117</v>
      </c>
      <c r="D98" s="168"/>
      <c r="E98" s="168"/>
      <c r="F98" s="29">
        <v>953.12</v>
      </c>
      <c r="G98" s="51">
        <f t="shared" si="2"/>
        <v>5.7638937100070618E-3</v>
      </c>
    </row>
    <row r="99" spans="1:13">
      <c r="B99" s="28">
        <v>26</v>
      </c>
      <c r="C99" s="167" t="s">
        <v>118</v>
      </c>
      <c r="D99" s="168"/>
      <c r="E99" s="168"/>
      <c r="F99" s="29">
        <v>833.1</v>
      </c>
      <c r="G99" s="51">
        <f t="shared" si="2"/>
        <v>5.0380852881136513E-3</v>
      </c>
    </row>
    <row r="100" spans="1:13">
      <c r="B100" s="28">
        <v>27</v>
      </c>
      <c r="C100" s="167" t="s">
        <v>119</v>
      </c>
      <c r="D100" s="168"/>
      <c r="E100" s="168"/>
      <c r="F100" s="29">
        <v>724.88</v>
      </c>
      <c r="G100" s="51">
        <f t="shared" si="2"/>
        <v>4.3836361344950468E-3</v>
      </c>
    </row>
    <row r="101" spans="1:13">
      <c r="B101" s="28">
        <v>28</v>
      </c>
      <c r="C101" s="167" t="s">
        <v>120</v>
      </c>
      <c r="D101" s="168"/>
      <c r="E101" s="168"/>
      <c r="F101" s="29">
        <v>686.84</v>
      </c>
      <c r="G101" s="51">
        <f t="shared" si="2"/>
        <v>4.1535932052430445E-3</v>
      </c>
    </row>
    <row r="102" spans="1:13">
      <c r="B102" s="28">
        <v>29</v>
      </c>
      <c r="C102" s="167" t="s">
        <v>121</v>
      </c>
      <c r="D102" s="168"/>
      <c r="E102" s="168"/>
      <c r="F102" s="29">
        <v>364.44</v>
      </c>
      <c r="G102" s="51">
        <f t="shared" si="2"/>
        <v>2.2039128584805416E-3</v>
      </c>
    </row>
    <row r="103" spans="1:13">
      <c r="B103" s="28">
        <v>30</v>
      </c>
      <c r="C103" s="167" t="s">
        <v>122</v>
      </c>
      <c r="D103" s="168"/>
      <c r="E103" s="168"/>
      <c r="F103" s="29">
        <v>320.24</v>
      </c>
      <c r="G103" s="51">
        <f t="shared" si="2"/>
        <v>1.9366179722308434E-3</v>
      </c>
    </row>
    <row r="104" spans="1:13">
      <c r="B104" s="28">
        <v>31</v>
      </c>
      <c r="C104" s="167" t="s">
        <v>123</v>
      </c>
      <c r="D104" s="168"/>
      <c r="E104" s="168"/>
      <c r="F104" s="29">
        <v>49</v>
      </c>
      <c r="G104" s="51">
        <f t="shared" si="2"/>
        <v>2.963223852089412E-4</v>
      </c>
    </row>
    <row r="106" spans="1:13">
      <c r="B106" s="52">
        <v>31</v>
      </c>
      <c r="C106" s="53" t="s">
        <v>124</v>
      </c>
      <c r="D106" s="53"/>
      <c r="E106" s="53"/>
      <c r="F106" s="54">
        <f>SUM(F74:F104)</f>
        <v>165360.43999999997</v>
      </c>
      <c r="G106" s="53"/>
    </row>
    <row r="107" spans="1:13">
      <c r="B107" s="55"/>
      <c r="C107" s="55" t="s">
        <v>125</v>
      </c>
      <c r="D107" s="55"/>
      <c r="E107" s="55"/>
      <c r="F107" s="55">
        <v>256912</v>
      </c>
    </row>
    <row r="108" spans="1:13" ht="15" customHeight="1">
      <c r="A108" s="175" t="s">
        <v>332</v>
      </c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</row>
    <row r="109" spans="1:13" ht="15" customHeight="1">
      <c r="A109" s="176"/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</row>
  </sheetData>
  <mergeCells count="44">
    <mergeCell ref="A108:M109"/>
    <mergeCell ref="C104:E104"/>
    <mergeCell ref="C90:E90"/>
    <mergeCell ref="C91:E91"/>
    <mergeCell ref="C92:E92"/>
    <mergeCell ref="C93:E93"/>
    <mergeCell ref="C94:E94"/>
    <mergeCell ref="C95:E95"/>
    <mergeCell ref="C96:E96"/>
    <mergeCell ref="C99:E99"/>
    <mergeCell ref="C100:E100"/>
    <mergeCell ref="C101:E101"/>
    <mergeCell ref="C102:E102"/>
    <mergeCell ref="C103:E103"/>
    <mergeCell ref="C87:E87"/>
    <mergeCell ref="C88:E88"/>
    <mergeCell ref="C89:E89"/>
    <mergeCell ref="C97:E97"/>
    <mergeCell ref="C98:E98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21:E21"/>
    <mergeCell ref="C73:E73"/>
    <mergeCell ref="C74:E74"/>
    <mergeCell ref="C75:E75"/>
    <mergeCell ref="C76:E76"/>
    <mergeCell ref="C16:E16"/>
    <mergeCell ref="C17:E17"/>
    <mergeCell ref="C18:E18"/>
    <mergeCell ref="C19:E19"/>
    <mergeCell ref="C20:E20"/>
    <mergeCell ref="C11:E11"/>
    <mergeCell ref="C12:E12"/>
    <mergeCell ref="C13:E13"/>
    <mergeCell ref="C14:E14"/>
    <mergeCell ref="C15:E15"/>
  </mergeCells>
  <conditionalFormatting sqref="D3:D6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4:E6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3:F6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2:F22 F74:F104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68:F71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68:G71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74:G104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68:H71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68:I71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8:J20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68:J71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8:K20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68:K71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68:L71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68:M71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68:N71">
    <cfRule type="colorScale" priority="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68:O71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P68:P71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Q68:Q71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68:R71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A108" r:id="rId1" xr:uid="{D0DF683B-C418-43D3-85D6-00A6450FC811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78"/>
  <sheetViews>
    <sheetView workbookViewId="0"/>
  </sheetViews>
  <sheetFormatPr defaultColWidth="14.44140625" defaultRowHeight="15" customHeight="1"/>
  <cols>
    <col min="3" max="3" width="74.33203125" customWidth="1"/>
    <col min="6" max="6" width="45.6640625" customWidth="1"/>
  </cols>
  <sheetData>
    <row r="1" spans="1:17" ht="14.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4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4.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4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15" customHeight="1">
      <c r="A5" s="56"/>
      <c r="B5" s="56"/>
      <c r="C5" s="57" t="s">
        <v>126</v>
      </c>
      <c r="D5" s="58">
        <v>17046</v>
      </c>
      <c r="E5" s="58">
        <v>13566</v>
      </c>
      <c r="F5" s="59" t="s">
        <v>127</v>
      </c>
      <c r="G5" s="59" t="s">
        <v>128</v>
      </c>
      <c r="H5" s="60">
        <v>85</v>
      </c>
      <c r="I5" s="60">
        <v>17</v>
      </c>
      <c r="J5" s="56"/>
      <c r="K5" s="56"/>
      <c r="L5" s="56"/>
      <c r="M5" s="56"/>
      <c r="N5" s="56"/>
      <c r="O5" s="56"/>
      <c r="P5" s="56"/>
      <c r="Q5" s="56"/>
    </row>
    <row r="6" spans="1:17" ht="15" customHeight="1">
      <c r="A6" s="56"/>
      <c r="B6" s="56"/>
      <c r="C6" s="61" t="s">
        <v>129</v>
      </c>
      <c r="D6" s="62">
        <v>2026</v>
      </c>
      <c r="E6" s="62">
        <v>1509</v>
      </c>
      <c r="F6" s="62">
        <v>15626</v>
      </c>
      <c r="G6" s="62">
        <v>12322</v>
      </c>
      <c r="H6" s="63">
        <v>9</v>
      </c>
      <c r="I6" s="63">
        <v>27</v>
      </c>
      <c r="J6" s="56"/>
      <c r="K6" s="56"/>
      <c r="L6" s="56"/>
      <c r="M6" s="56"/>
      <c r="N6" s="56"/>
      <c r="O6" s="56"/>
      <c r="P6" s="56"/>
      <c r="Q6" s="56"/>
    </row>
    <row r="7" spans="1:17" ht="15" customHeight="1">
      <c r="A7" s="56"/>
      <c r="B7" s="56"/>
      <c r="C7" s="64" t="s">
        <v>130</v>
      </c>
      <c r="D7" s="65">
        <v>135.94</v>
      </c>
      <c r="E7" s="63">
        <v>660.07</v>
      </c>
      <c r="F7" s="66">
        <v>9675.2099999999991</v>
      </c>
      <c r="G7" s="66">
        <v>9501.4</v>
      </c>
      <c r="H7" s="63">
        <v>6</v>
      </c>
      <c r="I7" s="63">
        <v>1.83</v>
      </c>
      <c r="J7" s="56"/>
      <c r="K7" s="56"/>
      <c r="L7" s="56"/>
      <c r="M7" s="56"/>
      <c r="N7" s="56"/>
      <c r="O7" s="56"/>
      <c r="P7" s="56"/>
      <c r="Q7" s="56"/>
    </row>
    <row r="8" spans="1:17" ht="14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15" customHeight="1">
      <c r="A9" s="56"/>
      <c r="B9" s="56"/>
      <c r="C9" s="67" t="s">
        <v>131</v>
      </c>
      <c r="D9" s="68">
        <v>19208</v>
      </c>
      <c r="E9" s="69">
        <v>15735.29</v>
      </c>
      <c r="F9" s="70" t="s">
        <v>132</v>
      </c>
      <c r="G9" s="70" t="s">
        <v>133</v>
      </c>
      <c r="H9" s="70">
        <v>100</v>
      </c>
      <c r="I9" s="70">
        <v>16.46</v>
      </c>
      <c r="J9" s="56"/>
      <c r="K9" s="56"/>
      <c r="L9" s="56"/>
      <c r="M9" s="56"/>
      <c r="N9" s="56"/>
      <c r="O9" s="56"/>
      <c r="P9" s="56"/>
      <c r="Q9" s="56"/>
    </row>
    <row r="10" spans="1:17" ht="14.4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ht="15" customHeight="1">
      <c r="A11" s="56"/>
      <c r="B11" s="169" t="s">
        <v>134</v>
      </c>
      <c r="C11" s="169" t="s">
        <v>135</v>
      </c>
      <c r="D11" s="171" t="s">
        <v>136</v>
      </c>
      <c r="E11" s="166"/>
      <c r="F11" s="171" t="s">
        <v>137</v>
      </c>
      <c r="G11" s="166"/>
      <c r="H11" s="169" t="s">
        <v>138</v>
      </c>
      <c r="I11" s="169" t="s">
        <v>139</v>
      </c>
      <c r="J11" s="56"/>
      <c r="K11" s="56"/>
      <c r="L11" s="56"/>
      <c r="M11" s="56"/>
      <c r="N11" s="56"/>
      <c r="O11" s="56"/>
      <c r="P11" s="56"/>
      <c r="Q11" s="56"/>
    </row>
    <row r="12" spans="1:17" ht="15" customHeight="1">
      <c r="A12" s="56"/>
      <c r="B12" s="170"/>
      <c r="C12" s="170"/>
      <c r="D12" s="71" t="s">
        <v>140</v>
      </c>
      <c r="E12" s="71" t="s">
        <v>141</v>
      </c>
      <c r="F12" s="71" t="s">
        <v>140</v>
      </c>
      <c r="G12" s="71" t="s">
        <v>141</v>
      </c>
      <c r="H12" s="170"/>
      <c r="I12" s="170"/>
      <c r="J12" s="56"/>
      <c r="K12" s="56"/>
      <c r="L12" s="56"/>
      <c r="M12" s="56"/>
      <c r="N12" s="56"/>
      <c r="O12" s="56"/>
      <c r="P12" s="56"/>
      <c r="Q12" s="56"/>
    </row>
    <row r="13" spans="1:17" ht="15" customHeight="1">
      <c r="A13" s="56"/>
      <c r="B13" s="72">
        <v>1</v>
      </c>
      <c r="C13" s="73" t="s">
        <v>64</v>
      </c>
      <c r="D13" s="74">
        <v>2379.7399999999998</v>
      </c>
      <c r="E13" s="74">
        <v>2252.8200000000002</v>
      </c>
      <c r="F13" s="74">
        <v>22536.71</v>
      </c>
      <c r="G13" s="74">
        <v>21846.48</v>
      </c>
      <c r="H13" s="75">
        <v>13.63</v>
      </c>
      <c r="I13" s="75">
        <v>3.16</v>
      </c>
      <c r="J13" s="56"/>
      <c r="K13" s="56"/>
      <c r="L13" s="56"/>
      <c r="M13" s="56"/>
      <c r="N13" s="56"/>
      <c r="O13" s="56"/>
      <c r="P13" s="56"/>
      <c r="Q13" s="56"/>
    </row>
    <row r="14" spans="1:17" ht="15" customHeight="1">
      <c r="A14" s="56"/>
      <c r="B14" s="76">
        <v>2</v>
      </c>
      <c r="C14" s="77" t="s">
        <v>66</v>
      </c>
      <c r="D14" s="78">
        <v>1794.98</v>
      </c>
      <c r="E14" s="78">
        <v>1510.13</v>
      </c>
      <c r="F14" s="78">
        <v>14397.2</v>
      </c>
      <c r="G14" s="78">
        <v>11798.05</v>
      </c>
      <c r="H14" s="79">
        <v>8.7100000000000009</v>
      </c>
      <c r="I14" s="79">
        <v>22.03</v>
      </c>
      <c r="J14" s="56"/>
      <c r="K14" s="56"/>
      <c r="L14" s="56"/>
      <c r="M14" s="56"/>
      <c r="N14" s="56"/>
      <c r="O14" s="56"/>
      <c r="P14" s="56"/>
      <c r="Q14" s="56"/>
    </row>
    <row r="15" spans="1:17" ht="15" customHeight="1">
      <c r="A15" s="56"/>
      <c r="B15" s="76">
        <v>3</v>
      </c>
      <c r="C15" s="77" t="s">
        <v>68</v>
      </c>
      <c r="D15" s="78">
        <v>1339.38</v>
      </c>
      <c r="E15" s="78">
        <v>1188.8699999999999</v>
      </c>
      <c r="F15" s="78">
        <v>11520.08</v>
      </c>
      <c r="G15" s="78">
        <v>9981.69</v>
      </c>
      <c r="H15" s="79">
        <v>6.97</v>
      </c>
      <c r="I15" s="79">
        <v>15.41</v>
      </c>
      <c r="J15" s="56"/>
      <c r="K15" s="56"/>
      <c r="L15" s="56"/>
      <c r="M15" s="56"/>
      <c r="N15" s="56"/>
      <c r="O15" s="56"/>
      <c r="P15" s="56"/>
      <c r="Q15" s="56"/>
    </row>
    <row r="16" spans="1:17" ht="15" customHeight="1">
      <c r="A16" s="56"/>
      <c r="B16" s="76">
        <v>4</v>
      </c>
      <c r="C16" s="77" t="s">
        <v>69</v>
      </c>
      <c r="D16" s="78">
        <v>1156.42</v>
      </c>
      <c r="E16" s="79">
        <v>786.66</v>
      </c>
      <c r="F16" s="78">
        <v>10456.66</v>
      </c>
      <c r="G16" s="78">
        <v>8547.94</v>
      </c>
      <c r="H16" s="79">
        <v>6.32</v>
      </c>
      <c r="I16" s="79">
        <v>22.33</v>
      </c>
      <c r="J16" s="56"/>
      <c r="K16" s="56"/>
      <c r="L16" s="56"/>
      <c r="M16" s="56"/>
      <c r="N16" s="56"/>
      <c r="O16" s="56"/>
      <c r="P16" s="56"/>
      <c r="Q16" s="56"/>
    </row>
    <row r="17" spans="1:17" ht="15" customHeight="1">
      <c r="A17" s="56"/>
      <c r="B17" s="76">
        <v>5</v>
      </c>
      <c r="C17" s="77" t="s">
        <v>70</v>
      </c>
      <c r="D17" s="78">
        <v>1614.67</v>
      </c>
      <c r="E17" s="78">
        <v>1160.17</v>
      </c>
      <c r="F17" s="78">
        <v>10425.200000000001</v>
      </c>
      <c r="G17" s="78">
        <v>8950.74</v>
      </c>
      <c r="H17" s="79">
        <v>6.3</v>
      </c>
      <c r="I17" s="79">
        <v>16.47</v>
      </c>
      <c r="J17" s="56"/>
      <c r="K17" s="56"/>
      <c r="L17" s="56"/>
      <c r="M17" s="56"/>
      <c r="N17" s="56"/>
      <c r="O17" s="56"/>
      <c r="P17" s="56"/>
      <c r="Q17" s="56"/>
    </row>
    <row r="18" spans="1:17" ht="15" customHeight="1">
      <c r="A18" s="56"/>
      <c r="B18" s="76">
        <v>6</v>
      </c>
      <c r="C18" s="77" t="s">
        <v>71</v>
      </c>
      <c r="D18" s="78">
        <v>1338.1</v>
      </c>
      <c r="E18" s="79">
        <v>825.34</v>
      </c>
      <c r="F18" s="78">
        <v>10399.34</v>
      </c>
      <c r="G18" s="78">
        <v>9296.1</v>
      </c>
      <c r="H18" s="79">
        <v>6.29</v>
      </c>
      <c r="I18" s="79">
        <v>11.87</v>
      </c>
      <c r="J18" s="56"/>
      <c r="K18" s="56"/>
      <c r="L18" s="56"/>
      <c r="M18" s="56"/>
      <c r="N18" s="56"/>
      <c r="O18" s="56"/>
      <c r="P18" s="56"/>
      <c r="Q18" s="56"/>
    </row>
    <row r="19" spans="1:17" ht="15" customHeight="1">
      <c r="A19" s="56"/>
      <c r="B19" s="76">
        <v>7</v>
      </c>
      <c r="C19" s="77" t="s">
        <v>72</v>
      </c>
      <c r="D19" s="78">
        <v>1160.4100000000001</v>
      </c>
      <c r="E19" s="79">
        <v>821.31</v>
      </c>
      <c r="F19" s="78">
        <v>10259.200000000001</v>
      </c>
      <c r="G19" s="78">
        <v>9076.82</v>
      </c>
      <c r="H19" s="79">
        <v>6.2</v>
      </c>
      <c r="I19" s="79">
        <v>13.03</v>
      </c>
      <c r="J19" s="56"/>
      <c r="K19" s="56"/>
      <c r="L19" s="56"/>
      <c r="M19" s="56"/>
      <c r="N19" s="56"/>
      <c r="O19" s="56"/>
      <c r="P19" s="56"/>
      <c r="Q19" s="56"/>
    </row>
    <row r="20" spans="1:17" ht="15" customHeight="1">
      <c r="A20" s="56"/>
      <c r="B20" s="76">
        <v>8</v>
      </c>
      <c r="C20" s="77" t="s">
        <v>76</v>
      </c>
      <c r="D20" s="79">
        <v>26.11</v>
      </c>
      <c r="E20" s="79">
        <v>564.89</v>
      </c>
      <c r="F20" s="78">
        <v>8950.33</v>
      </c>
      <c r="G20" s="78">
        <v>8864.7900000000009</v>
      </c>
      <c r="H20" s="79">
        <v>5.41</v>
      </c>
      <c r="I20" s="79">
        <v>0.96</v>
      </c>
      <c r="J20" s="56"/>
      <c r="K20" s="56"/>
      <c r="L20" s="56"/>
      <c r="M20" s="56"/>
      <c r="N20" s="56"/>
      <c r="O20" s="56"/>
      <c r="P20" s="56"/>
      <c r="Q20" s="56"/>
    </row>
    <row r="21" spans="1:17" ht="15" customHeight="1">
      <c r="A21" s="56"/>
      <c r="B21" s="76">
        <v>9</v>
      </c>
      <c r="C21" s="77" t="s">
        <v>78</v>
      </c>
      <c r="D21" s="78">
        <v>1055.69</v>
      </c>
      <c r="E21" s="79">
        <v>815.62</v>
      </c>
      <c r="F21" s="78">
        <v>8209.0499999999993</v>
      </c>
      <c r="G21" s="78">
        <v>6101.15</v>
      </c>
      <c r="H21" s="79">
        <v>4.96</v>
      </c>
      <c r="I21" s="79">
        <v>34.549999999999997</v>
      </c>
      <c r="J21" s="56"/>
      <c r="K21" s="56"/>
      <c r="L21" s="56"/>
      <c r="M21" s="56"/>
      <c r="N21" s="56"/>
      <c r="O21" s="56"/>
      <c r="P21" s="56"/>
      <c r="Q21" s="56"/>
    </row>
    <row r="22" spans="1:17" ht="15" customHeight="1">
      <c r="A22" s="56"/>
      <c r="B22" s="76">
        <v>10</v>
      </c>
      <c r="C22" s="77" t="s">
        <v>80</v>
      </c>
      <c r="D22" s="79">
        <v>977.3</v>
      </c>
      <c r="E22" s="79">
        <v>842.53</v>
      </c>
      <c r="F22" s="78">
        <v>7589.47</v>
      </c>
      <c r="G22" s="78">
        <v>6770.33</v>
      </c>
      <c r="H22" s="79">
        <v>4.59</v>
      </c>
      <c r="I22" s="79">
        <v>12.1</v>
      </c>
      <c r="J22" s="56"/>
      <c r="K22" s="56"/>
      <c r="L22" s="56"/>
      <c r="M22" s="56"/>
      <c r="N22" s="56"/>
      <c r="O22" s="56"/>
      <c r="P22" s="56"/>
      <c r="Q22" s="56"/>
    </row>
    <row r="23" spans="1:17" ht="15" customHeight="1">
      <c r="A23" s="56"/>
      <c r="B23" s="76">
        <v>11</v>
      </c>
      <c r="C23" s="77" t="s">
        <v>103</v>
      </c>
      <c r="D23" s="79">
        <v>744.42</v>
      </c>
      <c r="E23" s="79">
        <v>675.81</v>
      </c>
      <c r="F23" s="78">
        <v>7221.97</v>
      </c>
      <c r="G23" s="78">
        <v>6488.41</v>
      </c>
      <c r="H23" s="79">
        <v>4.37</v>
      </c>
      <c r="I23" s="79">
        <v>11.31</v>
      </c>
      <c r="J23" s="56"/>
      <c r="K23" s="56"/>
      <c r="L23" s="56"/>
      <c r="M23" s="56"/>
      <c r="N23" s="56"/>
      <c r="O23" s="56"/>
      <c r="P23" s="56"/>
      <c r="Q23" s="56"/>
    </row>
    <row r="24" spans="1:17" ht="15" customHeight="1">
      <c r="A24" s="56"/>
      <c r="B24" s="76">
        <v>12</v>
      </c>
      <c r="C24" s="77" t="s">
        <v>104</v>
      </c>
      <c r="D24" s="79">
        <v>632.53</v>
      </c>
      <c r="E24" s="79">
        <v>574.08000000000004</v>
      </c>
      <c r="F24" s="78">
        <v>6231.94</v>
      </c>
      <c r="G24" s="78">
        <v>5358.97</v>
      </c>
      <c r="H24" s="79">
        <v>3.77</v>
      </c>
      <c r="I24" s="79">
        <v>16.29</v>
      </c>
      <c r="J24" s="56"/>
      <c r="K24" s="56"/>
      <c r="L24" s="56"/>
      <c r="M24" s="56"/>
      <c r="N24" s="56"/>
      <c r="O24" s="56"/>
      <c r="P24" s="56"/>
      <c r="Q24" s="56"/>
    </row>
    <row r="25" spans="1:17" ht="15" customHeight="1">
      <c r="A25" s="56"/>
      <c r="B25" s="76">
        <v>13</v>
      </c>
      <c r="C25" s="77" t="s">
        <v>105</v>
      </c>
      <c r="D25" s="79">
        <v>807.46</v>
      </c>
      <c r="E25" s="79">
        <v>642.82000000000005</v>
      </c>
      <c r="F25" s="78">
        <v>6162.47</v>
      </c>
      <c r="G25" s="78">
        <v>5672.81</v>
      </c>
      <c r="H25" s="79">
        <v>3.73</v>
      </c>
      <c r="I25" s="79">
        <v>8.6300000000000008</v>
      </c>
      <c r="J25" s="56"/>
      <c r="K25" s="56"/>
      <c r="L25" s="56"/>
      <c r="M25" s="56"/>
      <c r="N25" s="56"/>
      <c r="O25" s="56"/>
      <c r="P25" s="56"/>
      <c r="Q25" s="56"/>
    </row>
    <row r="26" spans="1:17" ht="15" customHeight="1">
      <c r="A26" s="56"/>
      <c r="B26" s="76">
        <v>14</v>
      </c>
      <c r="C26" s="77" t="s">
        <v>106</v>
      </c>
      <c r="D26" s="79">
        <v>497.09</v>
      </c>
      <c r="E26" s="79">
        <v>452.21</v>
      </c>
      <c r="F26" s="78">
        <v>4051.03</v>
      </c>
      <c r="G26" s="78">
        <v>2728.14</v>
      </c>
      <c r="H26" s="79">
        <v>2.4500000000000002</v>
      </c>
      <c r="I26" s="79">
        <v>48.49</v>
      </c>
      <c r="J26" s="56"/>
      <c r="K26" s="56"/>
      <c r="L26" s="56"/>
      <c r="M26" s="56"/>
      <c r="N26" s="56"/>
      <c r="O26" s="56"/>
      <c r="P26" s="56"/>
      <c r="Q26" s="56"/>
    </row>
    <row r="27" spans="1:17" ht="20.399999999999999">
      <c r="A27" s="56"/>
      <c r="B27" s="76">
        <v>15</v>
      </c>
      <c r="C27" s="77" t="s">
        <v>107</v>
      </c>
      <c r="D27" s="79">
        <v>534.95000000000005</v>
      </c>
      <c r="E27" s="79">
        <v>436.59</v>
      </c>
      <c r="F27" s="78">
        <v>3841.55</v>
      </c>
      <c r="G27" s="78">
        <v>3023.81</v>
      </c>
      <c r="H27" s="79">
        <v>2.3199999999999998</v>
      </c>
      <c r="I27" s="79">
        <v>27.04</v>
      </c>
      <c r="J27" s="56"/>
      <c r="K27" s="56"/>
      <c r="L27" s="56"/>
      <c r="M27" s="56"/>
      <c r="N27" s="56"/>
      <c r="O27" s="56"/>
      <c r="P27" s="56"/>
      <c r="Q27" s="56"/>
    </row>
    <row r="28" spans="1:17" ht="20.399999999999999">
      <c r="A28" s="56"/>
      <c r="B28" s="76">
        <v>16</v>
      </c>
      <c r="C28" s="77" t="s">
        <v>108</v>
      </c>
      <c r="D28" s="79">
        <v>420.68</v>
      </c>
      <c r="E28" s="79">
        <v>285.39999999999998</v>
      </c>
      <c r="F28" s="78">
        <v>3195.61</v>
      </c>
      <c r="G28" s="78">
        <v>2280.2399999999998</v>
      </c>
      <c r="H28" s="79">
        <v>1.93</v>
      </c>
      <c r="I28" s="79">
        <v>40.14</v>
      </c>
      <c r="J28" s="56"/>
      <c r="K28" s="56"/>
      <c r="L28" s="56"/>
      <c r="M28" s="56"/>
      <c r="N28" s="56"/>
      <c r="O28" s="56"/>
      <c r="P28" s="56"/>
      <c r="Q28" s="56"/>
    </row>
    <row r="29" spans="1:17" ht="20.399999999999999">
      <c r="A29" s="56"/>
      <c r="B29" s="76">
        <v>17</v>
      </c>
      <c r="C29" s="77" t="s">
        <v>109</v>
      </c>
      <c r="D29" s="79">
        <v>350.47</v>
      </c>
      <c r="E29" s="79">
        <v>317.06</v>
      </c>
      <c r="F29" s="78">
        <v>2773.21</v>
      </c>
      <c r="G29" s="78">
        <v>2193.83</v>
      </c>
      <c r="H29" s="79">
        <v>1.68</v>
      </c>
      <c r="I29" s="79">
        <v>26.41</v>
      </c>
      <c r="J29" s="56"/>
      <c r="K29" s="56"/>
      <c r="L29" s="56"/>
      <c r="M29" s="56"/>
      <c r="N29" s="56"/>
      <c r="O29" s="56"/>
      <c r="P29" s="56"/>
      <c r="Q29" s="56"/>
    </row>
    <row r="30" spans="1:17" ht="20.399999999999999">
      <c r="A30" s="56"/>
      <c r="B30" s="76">
        <v>18</v>
      </c>
      <c r="C30" s="77" t="s">
        <v>110</v>
      </c>
      <c r="D30" s="79">
        <v>484.32</v>
      </c>
      <c r="E30" s="79">
        <v>255.32</v>
      </c>
      <c r="F30" s="78">
        <v>2757.13</v>
      </c>
      <c r="G30" s="78">
        <v>2660.07</v>
      </c>
      <c r="H30" s="79">
        <v>1.67</v>
      </c>
      <c r="I30" s="79">
        <v>3.65</v>
      </c>
      <c r="J30" s="56"/>
      <c r="K30" s="56"/>
      <c r="L30" s="56"/>
      <c r="M30" s="56"/>
      <c r="N30" s="56"/>
      <c r="O30" s="56"/>
      <c r="P30" s="56"/>
      <c r="Q30" s="56"/>
    </row>
    <row r="31" spans="1:17" ht="20.399999999999999">
      <c r="A31" s="56"/>
      <c r="B31" s="76">
        <v>19</v>
      </c>
      <c r="C31" s="77" t="s">
        <v>111</v>
      </c>
      <c r="D31" s="79">
        <v>299.83999999999997</v>
      </c>
      <c r="E31" s="79">
        <v>194.85</v>
      </c>
      <c r="F31" s="78">
        <v>2336.16</v>
      </c>
      <c r="G31" s="78">
        <v>1649.79</v>
      </c>
      <c r="H31" s="79">
        <v>1.41</v>
      </c>
      <c r="I31" s="79">
        <v>41.6</v>
      </c>
      <c r="J31" s="56"/>
      <c r="K31" s="56"/>
      <c r="L31" s="56"/>
      <c r="M31" s="56"/>
      <c r="N31" s="56"/>
      <c r="O31" s="56"/>
      <c r="P31" s="56"/>
      <c r="Q31" s="56"/>
    </row>
    <row r="32" spans="1:17" ht="20.399999999999999">
      <c r="A32" s="56"/>
      <c r="B32" s="76">
        <v>20</v>
      </c>
      <c r="C32" s="77" t="s">
        <v>112</v>
      </c>
      <c r="D32" s="79">
        <v>285.82</v>
      </c>
      <c r="E32" s="79">
        <v>218.74</v>
      </c>
      <c r="F32" s="78">
        <v>2154.33</v>
      </c>
      <c r="G32" s="78">
        <v>1823.47</v>
      </c>
      <c r="H32" s="79">
        <v>1.3</v>
      </c>
      <c r="I32" s="79">
        <v>18.14</v>
      </c>
      <c r="J32" s="56"/>
      <c r="K32" s="56"/>
      <c r="L32" s="56"/>
      <c r="M32" s="56"/>
      <c r="N32" s="56"/>
      <c r="O32" s="56"/>
      <c r="P32" s="56"/>
      <c r="Q32" s="56"/>
    </row>
    <row r="33" spans="1:17" ht="20.399999999999999">
      <c r="A33" s="56"/>
      <c r="B33" s="76">
        <v>21</v>
      </c>
      <c r="C33" s="77" t="s">
        <v>113</v>
      </c>
      <c r="D33" s="79">
        <v>214.49</v>
      </c>
      <c r="E33" s="79">
        <v>107.76</v>
      </c>
      <c r="F33" s="78">
        <v>1671.91</v>
      </c>
      <c r="G33" s="78">
        <v>1015.76</v>
      </c>
      <c r="H33" s="79">
        <v>1.01</v>
      </c>
      <c r="I33" s="79">
        <v>64.599999999999994</v>
      </c>
      <c r="J33" s="56"/>
      <c r="K33" s="56"/>
      <c r="L33" s="56"/>
      <c r="M33" s="56"/>
      <c r="N33" s="56"/>
      <c r="O33" s="56"/>
      <c r="P33" s="56"/>
      <c r="Q33" s="56"/>
    </row>
    <row r="34" spans="1:17" ht="20.399999999999999">
      <c r="A34" s="56"/>
      <c r="B34" s="76">
        <v>22</v>
      </c>
      <c r="C34" s="77" t="s">
        <v>114</v>
      </c>
      <c r="D34" s="79">
        <v>224.33</v>
      </c>
      <c r="E34" s="79">
        <v>146.66</v>
      </c>
      <c r="F34" s="78">
        <v>1614.35</v>
      </c>
      <c r="G34" s="78">
        <v>1012.01</v>
      </c>
      <c r="H34" s="79">
        <v>0.98</v>
      </c>
      <c r="I34" s="79">
        <v>59.52</v>
      </c>
      <c r="J34" s="56"/>
      <c r="K34" s="56"/>
      <c r="L34" s="56"/>
      <c r="M34" s="56"/>
      <c r="N34" s="56"/>
      <c r="O34" s="56"/>
      <c r="P34" s="56"/>
      <c r="Q34" s="56"/>
    </row>
    <row r="35" spans="1:17" ht="20.399999999999999">
      <c r="A35" s="56"/>
      <c r="B35" s="76">
        <v>23</v>
      </c>
      <c r="C35" s="77" t="s">
        <v>115</v>
      </c>
      <c r="D35" s="79">
        <v>194.19</v>
      </c>
      <c r="E35" s="79">
        <v>159.18</v>
      </c>
      <c r="F35" s="78">
        <v>1397.17</v>
      </c>
      <c r="G35" s="78">
        <v>1119.1500000000001</v>
      </c>
      <c r="H35" s="79">
        <v>0.84</v>
      </c>
      <c r="I35" s="79">
        <v>24.84</v>
      </c>
      <c r="J35" s="56"/>
      <c r="K35" s="56"/>
      <c r="L35" s="56"/>
      <c r="M35" s="56"/>
      <c r="N35" s="56"/>
      <c r="O35" s="56"/>
      <c r="P35" s="56"/>
      <c r="Q35" s="56"/>
    </row>
    <row r="36" spans="1:17" ht="20.399999999999999">
      <c r="A36" s="56"/>
      <c r="B36" s="76">
        <v>24</v>
      </c>
      <c r="C36" s="77" t="s">
        <v>116</v>
      </c>
      <c r="D36" s="79">
        <v>169.16</v>
      </c>
      <c r="E36" s="79">
        <v>116.4</v>
      </c>
      <c r="F36" s="78">
        <v>1276.75</v>
      </c>
      <c r="G36" s="79">
        <v>955.46</v>
      </c>
      <c r="H36" s="79">
        <v>0.77</v>
      </c>
      <c r="I36" s="79">
        <v>33.630000000000003</v>
      </c>
      <c r="J36" s="56"/>
      <c r="K36" s="56"/>
      <c r="L36" s="56"/>
      <c r="M36" s="56"/>
      <c r="N36" s="56"/>
      <c r="O36" s="56"/>
      <c r="P36" s="56"/>
      <c r="Q36" s="56"/>
    </row>
    <row r="37" spans="1:17" ht="20.399999999999999">
      <c r="A37" s="56"/>
      <c r="B37" s="76">
        <v>25</v>
      </c>
      <c r="C37" s="77" t="s">
        <v>117</v>
      </c>
      <c r="D37" s="79">
        <v>116.85</v>
      </c>
      <c r="E37" s="79">
        <v>79.150000000000006</v>
      </c>
      <c r="F37" s="79">
        <v>953.12</v>
      </c>
      <c r="G37" s="79">
        <v>597.16</v>
      </c>
      <c r="H37" s="79">
        <v>0.57999999999999996</v>
      </c>
      <c r="I37" s="79">
        <v>59.61</v>
      </c>
      <c r="J37" s="56"/>
      <c r="K37" s="56"/>
      <c r="L37" s="56"/>
      <c r="M37" s="56"/>
      <c r="N37" s="56"/>
      <c r="O37" s="56"/>
      <c r="P37" s="56"/>
      <c r="Q37" s="56"/>
    </row>
    <row r="38" spans="1:17" ht="20.399999999999999">
      <c r="A38" s="56"/>
      <c r="B38" s="76">
        <v>26</v>
      </c>
      <c r="C38" s="77" t="s">
        <v>118</v>
      </c>
      <c r="D38" s="79">
        <v>114.03</v>
      </c>
      <c r="E38" s="79">
        <v>78.650000000000006</v>
      </c>
      <c r="F38" s="79">
        <v>833.1</v>
      </c>
      <c r="G38" s="79">
        <v>605.59</v>
      </c>
      <c r="H38" s="79">
        <v>0.5</v>
      </c>
      <c r="I38" s="79">
        <v>37.57</v>
      </c>
      <c r="J38" s="56"/>
      <c r="K38" s="56"/>
      <c r="L38" s="56"/>
      <c r="M38" s="56"/>
      <c r="N38" s="56"/>
      <c r="O38" s="56"/>
      <c r="P38" s="56"/>
      <c r="Q38" s="56"/>
    </row>
    <row r="39" spans="1:17" ht="20.399999999999999">
      <c r="A39" s="56"/>
      <c r="B39" s="76">
        <v>27</v>
      </c>
      <c r="C39" s="77" t="s">
        <v>119</v>
      </c>
      <c r="D39" s="79">
        <v>109.83</v>
      </c>
      <c r="E39" s="79">
        <v>95.18</v>
      </c>
      <c r="F39" s="79">
        <v>724.88</v>
      </c>
      <c r="G39" s="79">
        <v>636.61</v>
      </c>
      <c r="H39" s="79">
        <v>0.44</v>
      </c>
      <c r="I39" s="79">
        <v>13.87</v>
      </c>
      <c r="J39" s="56"/>
      <c r="K39" s="56"/>
      <c r="L39" s="56"/>
      <c r="M39" s="56"/>
      <c r="N39" s="56"/>
      <c r="O39" s="56"/>
      <c r="P39" s="56"/>
      <c r="Q39" s="56"/>
    </row>
    <row r="40" spans="1:17" ht="20.399999999999999">
      <c r="A40" s="56"/>
      <c r="B40" s="76">
        <v>28</v>
      </c>
      <c r="C40" s="77" t="s">
        <v>120</v>
      </c>
      <c r="D40" s="79">
        <v>88.59</v>
      </c>
      <c r="E40" s="79">
        <v>67.02</v>
      </c>
      <c r="F40" s="79">
        <v>686.84</v>
      </c>
      <c r="G40" s="79">
        <v>416.83</v>
      </c>
      <c r="H40" s="79">
        <v>0.42</v>
      </c>
      <c r="I40" s="79">
        <v>64.78</v>
      </c>
      <c r="J40" s="56"/>
      <c r="K40" s="56"/>
      <c r="L40" s="56"/>
      <c r="M40" s="56"/>
      <c r="N40" s="56"/>
      <c r="O40" s="56"/>
      <c r="P40" s="56"/>
      <c r="Q40" s="56"/>
    </row>
    <row r="41" spans="1:17" ht="20.399999999999999">
      <c r="A41" s="56"/>
      <c r="B41" s="76">
        <v>29</v>
      </c>
      <c r="C41" s="77" t="s">
        <v>121</v>
      </c>
      <c r="D41" s="79">
        <v>44.41</v>
      </c>
      <c r="E41" s="79">
        <v>33.22</v>
      </c>
      <c r="F41" s="79">
        <v>364.44</v>
      </c>
      <c r="G41" s="79">
        <v>228.92</v>
      </c>
      <c r="H41" s="79">
        <v>0.22</v>
      </c>
      <c r="I41" s="79">
        <v>59.2</v>
      </c>
      <c r="J41" s="56"/>
      <c r="K41" s="56"/>
      <c r="L41" s="56"/>
      <c r="M41" s="56"/>
      <c r="N41" s="56"/>
      <c r="O41" s="56"/>
      <c r="P41" s="56"/>
      <c r="Q41" s="56"/>
    </row>
    <row r="42" spans="1:17" ht="20.399999999999999">
      <c r="A42" s="56"/>
      <c r="B42" s="76">
        <v>30</v>
      </c>
      <c r="C42" s="77" t="s">
        <v>122</v>
      </c>
      <c r="D42" s="79">
        <v>26.09</v>
      </c>
      <c r="E42" s="79">
        <v>21.94</v>
      </c>
      <c r="F42" s="79">
        <v>320.24</v>
      </c>
      <c r="G42" s="79">
        <v>237.16</v>
      </c>
      <c r="H42" s="79">
        <v>0.19</v>
      </c>
      <c r="I42" s="79">
        <v>35.03</v>
      </c>
      <c r="J42" s="56"/>
      <c r="K42" s="56"/>
      <c r="L42" s="56"/>
      <c r="M42" s="56"/>
      <c r="N42" s="56"/>
      <c r="O42" s="56"/>
      <c r="P42" s="56"/>
      <c r="Q42" s="56"/>
    </row>
    <row r="43" spans="1:17" ht="20.399999999999999">
      <c r="A43" s="56"/>
      <c r="B43" s="76">
        <v>31</v>
      </c>
      <c r="C43" s="77" t="s">
        <v>123</v>
      </c>
      <c r="D43" s="79">
        <v>5.64</v>
      </c>
      <c r="E43" s="79">
        <v>8.91</v>
      </c>
      <c r="F43" s="79">
        <v>49</v>
      </c>
      <c r="G43" s="79">
        <v>53.73</v>
      </c>
      <c r="H43" s="79">
        <v>0.03</v>
      </c>
      <c r="I43" s="79">
        <v>-8.81</v>
      </c>
      <c r="J43" s="56"/>
      <c r="K43" s="56"/>
      <c r="L43" s="56"/>
      <c r="M43" s="56"/>
      <c r="N43" s="56"/>
      <c r="O43" s="56"/>
      <c r="P43" s="56"/>
      <c r="Q43" s="56"/>
    </row>
    <row r="44" spans="1:17" ht="14.4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14.4">
      <c r="A45" s="56"/>
      <c r="B45" s="56"/>
      <c r="C45" s="56"/>
      <c r="D45" s="56"/>
      <c r="E45" s="56"/>
      <c r="F45" s="56"/>
      <c r="G45" s="56"/>
      <c r="H45" s="168"/>
      <c r="I45" s="168"/>
      <c r="J45" s="168"/>
      <c r="K45" s="168"/>
      <c r="L45" s="168"/>
      <c r="M45" s="168"/>
      <c r="N45" s="168"/>
      <c r="O45" s="168"/>
      <c r="P45" s="168"/>
      <c r="Q45" s="168"/>
    </row>
    <row r="46" spans="1:17" ht="14.4">
      <c r="A46" s="56"/>
      <c r="B46" s="169" t="s">
        <v>134</v>
      </c>
      <c r="C46" s="169" t="s">
        <v>135</v>
      </c>
      <c r="D46" s="169" t="s">
        <v>142</v>
      </c>
      <c r="E46" s="169" t="s">
        <v>134</v>
      </c>
      <c r="F46" s="169" t="s">
        <v>135</v>
      </c>
      <c r="G46" s="169" t="s">
        <v>142</v>
      </c>
      <c r="H46" s="168"/>
      <c r="I46" s="168"/>
      <c r="J46" s="168"/>
      <c r="K46" s="168"/>
      <c r="L46" s="168"/>
      <c r="M46" s="168"/>
      <c r="N46" s="168"/>
      <c r="O46" s="168"/>
      <c r="P46" s="168"/>
      <c r="Q46" s="168"/>
    </row>
    <row r="47" spans="1:17" ht="14.4">
      <c r="A47" s="56"/>
      <c r="B47" s="170"/>
      <c r="C47" s="170"/>
      <c r="D47" s="170"/>
      <c r="E47" s="170"/>
      <c r="F47" s="170"/>
      <c r="G47" s="170"/>
      <c r="H47" s="168"/>
      <c r="I47" s="168"/>
      <c r="J47" s="168"/>
      <c r="K47" s="168"/>
      <c r="L47" s="168"/>
      <c r="M47" s="168"/>
      <c r="N47" s="168"/>
      <c r="O47" s="168"/>
      <c r="P47" s="168"/>
      <c r="Q47" s="168"/>
    </row>
    <row r="48" spans="1:17" ht="20.399999999999999">
      <c r="A48" s="56"/>
      <c r="B48" s="72">
        <v>1</v>
      </c>
      <c r="C48" s="73" t="s">
        <v>64</v>
      </c>
      <c r="D48" s="80">
        <v>13.63</v>
      </c>
      <c r="E48" s="72">
        <v>1</v>
      </c>
      <c r="F48" s="73" t="s">
        <v>143</v>
      </c>
      <c r="G48" s="81">
        <v>13.63</v>
      </c>
      <c r="H48" s="168"/>
      <c r="I48" s="168"/>
      <c r="J48" s="168"/>
      <c r="K48" s="168"/>
      <c r="L48" s="168"/>
      <c r="M48" s="168"/>
      <c r="N48" s="168"/>
      <c r="O48" s="168"/>
      <c r="P48" s="168"/>
      <c r="Q48" s="168"/>
    </row>
    <row r="49" spans="1:17" ht="20.399999999999999">
      <c r="A49" s="56"/>
      <c r="B49" s="76">
        <v>2</v>
      </c>
      <c r="C49" s="77" t="s">
        <v>66</v>
      </c>
      <c r="D49" s="82">
        <v>8.7100000000000009</v>
      </c>
      <c r="E49" s="76">
        <v>2</v>
      </c>
      <c r="F49" s="77" t="s">
        <v>144</v>
      </c>
      <c r="G49" s="83">
        <v>8.7100000000000009</v>
      </c>
      <c r="H49" s="168"/>
      <c r="I49" s="168"/>
      <c r="J49" s="168"/>
      <c r="K49" s="168"/>
      <c r="L49" s="168"/>
      <c r="M49" s="168"/>
      <c r="N49" s="168"/>
      <c r="O49" s="168"/>
      <c r="P49" s="168"/>
      <c r="Q49" s="168"/>
    </row>
    <row r="50" spans="1:17" ht="20.399999999999999">
      <c r="A50" s="56"/>
      <c r="B50" s="76">
        <v>3</v>
      </c>
      <c r="C50" s="77" t="s">
        <v>68</v>
      </c>
      <c r="D50" s="84">
        <v>6.97</v>
      </c>
      <c r="E50" s="76">
        <v>3</v>
      </c>
      <c r="F50" s="77" t="s">
        <v>145</v>
      </c>
      <c r="G50" s="85">
        <v>6.97</v>
      </c>
      <c r="H50" s="168"/>
      <c r="I50" s="168"/>
      <c r="J50" s="168"/>
      <c r="K50" s="168"/>
      <c r="L50" s="168"/>
      <c r="M50" s="168"/>
      <c r="N50" s="168"/>
      <c r="O50" s="168"/>
      <c r="P50" s="168"/>
      <c r="Q50" s="168"/>
    </row>
    <row r="51" spans="1:17" ht="20.399999999999999">
      <c r="A51" s="56"/>
      <c r="B51" s="76">
        <v>4</v>
      </c>
      <c r="C51" s="77" t="s">
        <v>69</v>
      </c>
      <c r="D51" s="86">
        <v>6.32</v>
      </c>
      <c r="E51" s="76">
        <v>4</v>
      </c>
      <c r="F51" s="77" t="s">
        <v>146</v>
      </c>
      <c r="G51" s="87">
        <v>6.32</v>
      </c>
      <c r="H51" s="168"/>
      <c r="I51" s="168"/>
      <c r="J51" s="168"/>
      <c r="K51" s="168"/>
      <c r="L51" s="168"/>
      <c r="M51" s="168"/>
      <c r="N51" s="168"/>
      <c r="O51" s="168"/>
      <c r="P51" s="168"/>
      <c r="Q51" s="168"/>
    </row>
    <row r="52" spans="1:17" ht="20.399999999999999">
      <c r="A52" s="56"/>
      <c r="B52" s="76">
        <v>5</v>
      </c>
      <c r="C52" s="77" t="s">
        <v>70</v>
      </c>
      <c r="D52" s="86">
        <v>6.3</v>
      </c>
      <c r="E52" s="76">
        <v>5</v>
      </c>
      <c r="F52" s="77" t="s">
        <v>147</v>
      </c>
      <c r="G52" s="87">
        <v>6.3</v>
      </c>
      <c r="H52" s="168"/>
      <c r="I52" s="168"/>
      <c r="J52" s="168"/>
      <c r="K52" s="168"/>
      <c r="L52" s="168"/>
      <c r="M52" s="168"/>
      <c r="N52" s="168"/>
      <c r="O52" s="168"/>
      <c r="P52" s="168"/>
      <c r="Q52" s="168"/>
    </row>
    <row r="53" spans="1:17" ht="20.399999999999999">
      <c r="A53" s="56"/>
      <c r="B53" s="76">
        <v>6</v>
      </c>
      <c r="C53" s="77" t="s">
        <v>71</v>
      </c>
      <c r="D53" s="86">
        <v>6.29</v>
      </c>
      <c r="E53" s="76">
        <v>6</v>
      </c>
      <c r="F53" s="77" t="s">
        <v>148</v>
      </c>
      <c r="G53" s="87">
        <v>6.29</v>
      </c>
      <c r="H53" s="168"/>
      <c r="I53" s="168"/>
      <c r="J53" s="168"/>
      <c r="K53" s="168"/>
      <c r="L53" s="168"/>
      <c r="M53" s="168"/>
      <c r="N53" s="168"/>
      <c r="O53" s="168"/>
      <c r="P53" s="168"/>
      <c r="Q53" s="168"/>
    </row>
    <row r="54" spans="1:17" ht="20.399999999999999">
      <c r="A54" s="56"/>
      <c r="B54" s="76">
        <v>7</v>
      </c>
      <c r="C54" s="77" t="s">
        <v>72</v>
      </c>
      <c r="D54" s="88">
        <v>6.2</v>
      </c>
      <c r="E54" s="76">
        <v>7</v>
      </c>
      <c r="F54" s="77" t="s">
        <v>149</v>
      </c>
      <c r="G54" s="89">
        <v>6.2</v>
      </c>
      <c r="H54" s="168"/>
      <c r="I54" s="168"/>
      <c r="J54" s="168"/>
      <c r="K54" s="168"/>
      <c r="L54" s="168"/>
      <c r="M54" s="168"/>
      <c r="N54" s="168"/>
      <c r="O54" s="168"/>
      <c r="P54" s="168"/>
      <c r="Q54" s="168"/>
    </row>
    <row r="55" spans="1:17" ht="20.399999999999999">
      <c r="A55" s="56"/>
      <c r="B55" s="76">
        <v>8</v>
      </c>
      <c r="C55" s="77" t="s">
        <v>76</v>
      </c>
      <c r="D55" s="90">
        <v>5.41</v>
      </c>
      <c r="E55" s="76">
        <v>8</v>
      </c>
      <c r="F55" s="77" t="s">
        <v>150</v>
      </c>
      <c r="G55" s="91">
        <v>5.41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20.399999999999999">
      <c r="A56" s="56"/>
      <c r="B56" s="76">
        <v>9</v>
      </c>
      <c r="C56" s="77" t="s">
        <v>78</v>
      </c>
      <c r="D56" s="92">
        <v>4.96</v>
      </c>
      <c r="E56" s="76">
        <v>9</v>
      </c>
      <c r="F56" s="77" t="s">
        <v>151</v>
      </c>
      <c r="G56" s="93">
        <v>4.96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20.399999999999999">
      <c r="A57" s="56"/>
      <c r="B57" s="76">
        <v>10</v>
      </c>
      <c r="C57" s="77" t="s">
        <v>80</v>
      </c>
      <c r="D57" s="94">
        <v>4.59</v>
      </c>
      <c r="E57" s="76">
        <v>10</v>
      </c>
      <c r="F57" s="77" t="s">
        <v>152</v>
      </c>
      <c r="G57" s="95">
        <v>4.59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1:17" ht="20.399999999999999">
      <c r="A58" s="56"/>
      <c r="B58" s="76">
        <v>11</v>
      </c>
      <c r="C58" s="77" t="s">
        <v>103</v>
      </c>
      <c r="D58" s="96">
        <v>4.37</v>
      </c>
      <c r="E58" s="76">
        <v>11</v>
      </c>
      <c r="F58" s="77" t="s">
        <v>153</v>
      </c>
      <c r="G58" s="97">
        <v>4.37</v>
      </c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ht="20.399999999999999">
      <c r="A59" s="56"/>
      <c r="B59" s="76">
        <v>12</v>
      </c>
      <c r="C59" s="77" t="s">
        <v>104</v>
      </c>
      <c r="D59" s="98">
        <v>3.77</v>
      </c>
      <c r="E59" s="76">
        <v>12</v>
      </c>
      <c r="F59" s="77" t="s">
        <v>154</v>
      </c>
      <c r="G59" s="99">
        <v>3.77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ht="20.399999999999999">
      <c r="A60" s="56"/>
      <c r="B60" s="76">
        <v>13</v>
      </c>
      <c r="C60" s="77" t="s">
        <v>105</v>
      </c>
      <c r="D60" s="100">
        <v>3.73</v>
      </c>
      <c r="E60" s="76">
        <v>13</v>
      </c>
      <c r="F60" s="77" t="s">
        <v>155</v>
      </c>
      <c r="G60" s="101">
        <v>3.73</v>
      </c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ht="20.399999999999999">
      <c r="A61" s="56"/>
      <c r="B61" s="76">
        <v>14</v>
      </c>
      <c r="C61" s="77" t="s">
        <v>106</v>
      </c>
      <c r="D61" s="102">
        <v>2.4500000000000002</v>
      </c>
      <c r="E61" s="76">
        <v>14</v>
      </c>
      <c r="F61" s="77" t="s">
        <v>82</v>
      </c>
      <c r="G61" s="80">
        <v>19.75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1:17" ht="20.399999999999999">
      <c r="A62" s="56"/>
      <c r="B62" s="76">
        <v>15</v>
      </c>
      <c r="C62" s="77" t="s">
        <v>107</v>
      </c>
      <c r="D62" s="103">
        <v>2.3199999999999998</v>
      </c>
      <c r="E62" s="104"/>
      <c r="F62" s="105"/>
      <c r="G62" s="79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1:17" ht="20.399999999999999">
      <c r="A63" s="56"/>
      <c r="B63" s="76">
        <v>16</v>
      </c>
      <c r="C63" s="77" t="s">
        <v>108</v>
      </c>
      <c r="D63" s="87">
        <v>1.93</v>
      </c>
      <c r="E63" s="104"/>
      <c r="F63" s="105"/>
      <c r="G63" s="79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20.399999999999999">
      <c r="A64" s="56"/>
      <c r="B64" s="76">
        <v>17</v>
      </c>
      <c r="C64" s="77" t="s">
        <v>109</v>
      </c>
      <c r="D64" s="106">
        <v>1.68</v>
      </c>
      <c r="E64" s="104"/>
      <c r="F64" s="105"/>
      <c r="G64" s="79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17" ht="20.399999999999999">
      <c r="A65" s="56"/>
      <c r="B65" s="76">
        <v>18</v>
      </c>
      <c r="C65" s="77" t="s">
        <v>110</v>
      </c>
      <c r="D65" s="107">
        <v>1.67</v>
      </c>
      <c r="E65" s="104"/>
      <c r="F65" s="105"/>
      <c r="G65" s="79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1:17" ht="20.399999999999999">
      <c r="A66" s="56"/>
      <c r="B66" s="76">
        <v>19</v>
      </c>
      <c r="C66" s="77" t="s">
        <v>111</v>
      </c>
      <c r="D66" s="108">
        <v>1.41</v>
      </c>
      <c r="E66" s="104"/>
      <c r="F66" s="105"/>
      <c r="G66" s="79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1:17" ht="20.399999999999999">
      <c r="A67" s="56"/>
      <c r="B67" s="76">
        <v>20</v>
      </c>
      <c r="C67" s="77" t="s">
        <v>112</v>
      </c>
      <c r="D67" s="91">
        <v>1.3</v>
      </c>
      <c r="E67" s="104"/>
      <c r="F67" s="105"/>
      <c r="G67" s="79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17" ht="20.399999999999999">
      <c r="A68" s="56"/>
      <c r="B68" s="76">
        <v>21</v>
      </c>
      <c r="C68" s="77" t="s">
        <v>113</v>
      </c>
      <c r="D68" s="109">
        <v>1.01</v>
      </c>
      <c r="E68" s="104"/>
      <c r="F68" s="105"/>
      <c r="G68" s="79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17" ht="20.399999999999999">
      <c r="A69" s="56"/>
      <c r="B69" s="76">
        <v>22</v>
      </c>
      <c r="C69" s="77" t="s">
        <v>114</v>
      </c>
      <c r="D69" s="110">
        <v>0.98</v>
      </c>
      <c r="E69" s="104"/>
      <c r="F69" s="105"/>
      <c r="G69" s="79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1:17" ht="20.399999999999999">
      <c r="A70" s="56"/>
      <c r="B70" s="76">
        <v>23</v>
      </c>
      <c r="C70" s="77" t="s">
        <v>115</v>
      </c>
      <c r="D70" s="111">
        <v>0.84</v>
      </c>
      <c r="E70" s="104"/>
      <c r="F70" s="105"/>
      <c r="G70" s="79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17" ht="20.399999999999999">
      <c r="A71" s="56"/>
      <c r="B71" s="76">
        <v>24</v>
      </c>
      <c r="C71" s="77" t="s">
        <v>116</v>
      </c>
      <c r="D71" s="112">
        <v>0.77</v>
      </c>
      <c r="E71" s="104"/>
      <c r="F71" s="105"/>
      <c r="G71" s="79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1:17" ht="20.399999999999999">
      <c r="A72" s="56"/>
      <c r="B72" s="76">
        <v>25</v>
      </c>
      <c r="C72" s="77" t="s">
        <v>117</v>
      </c>
      <c r="D72" s="113">
        <v>0.57999999999999996</v>
      </c>
      <c r="E72" s="104"/>
      <c r="F72" s="105"/>
      <c r="G72" s="79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1:17" ht="20.399999999999999">
      <c r="A73" s="56"/>
      <c r="B73" s="76">
        <v>26</v>
      </c>
      <c r="C73" s="77" t="s">
        <v>118</v>
      </c>
      <c r="D73" s="114">
        <v>0.5</v>
      </c>
      <c r="E73" s="104"/>
      <c r="F73" s="105"/>
      <c r="G73" s="79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1:17" ht="20.399999999999999">
      <c r="A74" s="56"/>
      <c r="B74" s="76">
        <v>27</v>
      </c>
      <c r="C74" s="77" t="s">
        <v>119</v>
      </c>
      <c r="D74" s="115">
        <v>0.44</v>
      </c>
      <c r="E74" s="104"/>
      <c r="F74" s="105"/>
      <c r="G74" s="79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1:17" ht="20.399999999999999">
      <c r="A75" s="56"/>
      <c r="B75" s="76">
        <v>28</v>
      </c>
      <c r="C75" s="77" t="s">
        <v>120</v>
      </c>
      <c r="D75" s="116">
        <v>0.42</v>
      </c>
      <c r="E75" s="104"/>
      <c r="F75" s="105"/>
      <c r="G75" s="79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1:17" ht="20.399999999999999">
      <c r="A76" s="56"/>
      <c r="B76" s="76">
        <v>29</v>
      </c>
      <c r="C76" s="77" t="s">
        <v>121</v>
      </c>
      <c r="D76" s="117">
        <v>0.22</v>
      </c>
      <c r="E76" s="104"/>
      <c r="F76" s="105"/>
      <c r="G76" s="79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1:17" ht="20.399999999999999">
      <c r="A77" s="56"/>
      <c r="B77" s="76">
        <v>30</v>
      </c>
      <c r="C77" s="77" t="s">
        <v>122</v>
      </c>
      <c r="D77" s="118">
        <v>0.19</v>
      </c>
      <c r="E77" s="104"/>
      <c r="F77" s="105"/>
      <c r="G77" s="79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1:17" ht="20.399999999999999">
      <c r="A78" s="56"/>
      <c r="B78" s="76">
        <v>31</v>
      </c>
      <c r="C78" s="77" t="s">
        <v>123</v>
      </c>
      <c r="D78" s="101">
        <v>0.03</v>
      </c>
      <c r="E78" s="104"/>
      <c r="F78" s="105"/>
      <c r="G78" s="79"/>
      <c r="H78" s="56"/>
      <c r="I78" s="56"/>
      <c r="J78" s="56"/>
      <c r="K78" s="56"/>
      <c r="L78" s="56"/>
      <c r="M78" s="56"/>
      <c r="N78" s="56"/>
      <c r="O78" s="56"/>
      <c r="P78" s="56"/>
      <c r="Q78" s="56"/>
    </row>
  </sheetData>
  <mergeCells count="13">
    <mergeCell ref="H11:H12"/>
    <mergeCell ref="I11:I12"/>
    <mergeCell ref="H45:Q54"/>
    <mergeCell ref="G46:G47"/>
    <mergeCell ref="B11:B12"/>
    <mergeCell ref="C11:C12"/>
    <mergeCell ref="D11:E11"/>
    <mergeCell ref="F11:G11"/>
    <mergeCell ref="B46:B47"/>
    <mergeCell ref="C46:C47"/>
    <mergeCell ref="D46:D47"/>
    <mergeCell ref="E46:E47"/>
    <mergeCell ref="F46:F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3"/>
  <sheetViews>
    <sheetView workbookViewId="0"/>
  </sheetViews>
  <sheetFormatPr defaultColWidth="14.44140625" defaultRowHeight="15" customHeight="1"/>
  <sheetData>
    <row r="1" spans="1:26" ht="14.4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15" customHeight="1">
      <c r="A2" s="119"/>
      <c r="B2" s="120" t="s">
        <v>156</v>
      </c>
      <c r="C2" s="119"/>
      <c r="D2" s="119"/>
      <c r="E2" s="119"/>
      <c r="F2" s="11" t="s">
        <v>40</v>
      </c>
      <c r="G2" s="11" t="s">
        <v>41</v>
      </c>
      <c r="H2" s="11" t="s">
        <v>42</v>
      </c>
      <c r="I2" s="11" t="s">
        <v>43</v>
      </c>
      <c r="J2" s="11" t="s">
        <v>44</v>
      </c>
      <c r="K2" s="11" t="s">
        <v>45</v>
      </c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14.4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14.4">
      <c r="A4" s="119"/>
      <c r="B4" s="119" t="s">
        <v>157</v>
      </c>
      <c r="C4" s="119"/>
      <c r="D4" s="121">
        <v>0.18</v>
      </c>
      <c r="E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14.4">
      <c r="A5" s="119"/>
      <c r="B5" s="119" t="s">
        <v>158</v>
      </c>
      <c r="C5" s="119"/>
      <c r="D5" s="121">
        <v>0.65</v>
      </c>
      <c r="E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14.4">
      <c r="A6" s="119"/>
      <c r="B6" s="119"/>
      <c r="C6" s="119"/>
      <c r="D6" s="119"/>
      <c r="E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14.4">
      <c r="A7" s="119"/>
      <c r="B7" s="119"/>
      <c r="C7" s="119" t="s">
        <v>159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14.4">
      <c r="A8" s="119"/>
      <c r="B8" s="119" t="s">
        <v>160</v>
      </c>
      <c r="C8" s="119"/>
      <c r="D8" s="119" t="s">
        <v>161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14.4">
      <c r="A9" s="119"/>
      <c r="B9" s="119">
        <v>34</v>
      </c>
      <c r="C9" s="119"/>
      <c r="D9" s="119">
        <v>24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ht="14.4">
      <c r="A10" s="119"/>
      <c r="B10" s="119"/>
      <c r="C10" s="119"/>
      <c r="D10" s="119" t="s">
        <v>162</v>
      </c>
      <c r="E10" s="119" t="s">
        <v>163</v>
      </c>
      <c r="F10" s="119" t="s">
        <v>164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spans="1:26" ht="14.4">
      <c r="A11" s="119"/>
      <c r="B11" s="119"/>
      <c r="C11" s="119"/>
      <c r="D11" s="119"/>
      <c r="E11" s="119" t="s">
        <v>165</v>
      </c>
      <c r="F11" s="119" t="s">
        <v>166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ht="14.4">
      <c r="A12" s="119"/>
      <c r="B12" s="119"/>
      <c r="C12" s="119"/>
      <c r="D12" s="119"/>
      <c r="E12" s="119" t="s">
        <v>167</v>
      </c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ht="14.4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spans="1:26" ht="14.4">
      <c r="A14" s="119"/>
      <c r="B14" s="119" t="s">
        <v>168</v>
      </c>
      <c r="C14" s="119" t="s">
        <v>169</v>
      </c>
      <c r="D14" s="119"/>
      <c r="E14" s="119" t="s">
        <v>170</v>
      </c>
      <c r="F14" s="119"/>
      <c r="G14" s="119" t="s">
        <v>171</v>
      </c>
      <c r="H14" s="119"/>
      <c r="I14" s="119" t="s">
        <v>172</v>
      </c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spans="1:26" ht="14.4">
      <c r="A15" s="119"/>
      <c r="B15" s="119"/>
      <c r="C15" s="119"/>
      <c r="D15" s="119"/>
      <c r="E15" s="119" t="s">
        <v>173</v>
      </c>
      <c r="F15" s="119"/>
      <c r="G15" s="119"/>
      <c r="H15" s="119"/>
      <c r="I15" s="119" t="s">
        <v>174</v>
      </c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ht="14.4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26" ht="14.4">
      <c r="A17" s="119"/>
      <c r="B17" s="119" t="s">
        <v>175</v>
      </c>
      <c r="C17" s="119"/>
      <c r="D17" s="119"/>
      <c r="E17" s="119">
        <v>3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 ht="14.4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ht="14.4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</row>
    <row r="20" spans="1:26" ht="14.4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</row>
    <row r="21" spans="1:26" ht="14.4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spans="1:26" ht="14.4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</row>
    <row r="23" spans="1:26" ht="14.4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</row>
    <row r="24" spans="1:26" ht="14.4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spans="1:26" ht="14.4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26" ht="14.4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1:26" ht="14.4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</row>
    <row r="28" spans="1:26" ht="14.4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1:26" ht="14.4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26" ht="14.4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26" ht="14.4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26" ht="14.4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spans="1:26" ht="14.4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1:26" ht="14.4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1:26" ht="14.4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6" ht="14.4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6" ht="14.4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ht="14.4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39" spans="1:26" ht="14.4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</row>
    <row r="40" spans="1:26" ht="14.4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</row>
    <row r="41" spans="1:26" ht="14.4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</row>
    <row r="42" spans="1:26" ht="14.4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</row>
    <row r="43" spans="1:26" ht="14.4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</row>
    <row r="44" spans="1:26" ht="14.4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</row>
    <row r="45" spans="1:26" ht="14.4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</row>
    <row r="46" spans="1:26" ht="14.4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</row>
    <row r="47" spans="1:26" ht="14.4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</row>
    <row r="48" spans="1:26" ht="14.4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</row>
    <row r="49" spans="1:26" ht="14.4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</row>
    <row r="50" spans="1:26" ht="14.4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</row>
    <row r="51" spans="1:26" ht="14.4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</row>
    <row r="52" spans="1:26" ht="14.4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</row>
    <row r="53" spans="1:26" ht="14.4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</row>
    <row r="54" spans="1:26" ht="14.4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</row>
    <row r="55" spans="1:26" ht="14.4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</row>
    <row r="56" spans="1:26" ht="14.4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</row>
    <row r="57" spans="1:26" ht="14.4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</row>
    <row r="58" spans="1:26" ht="14.4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</row>
    <row r="59" spans="1:26" ht="28.8">
      <c r="A59" s="119"/>
      <c r="B59" s="1" t="s">
        <v>176</v>
      </c>
      <c r="C59" s="24" t="s">
        <v>33</v>
      </c>
      <c r="E59" s="24" t="s">
        <v>177</v>
      </c>
      <c r="G59" s="24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</row>
    <row r="60" spans="1:26" ht="14.4">
      <c r="A60" s="119"/>
      <c r="B60" s="1" t="s">
        <v>178</v>
      </c>
      <c r="C60" s="1">
        <f ca="1">IFERROR(__xludf.DUMMYFUNCTION("GOOGLEFINANCE(C59,""PRICE"")"),1407.3)</f>
        <v>1407.3</v>
      </c>
      <c r="E60" s="122">
        <v>0.17</v>
      </c>
      <c r="G60" s="122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</row>
    <row r="61" spans="1:26" ht="14.4">
      <c r="A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 spans="1:26" ht="14.4">
      <c r="A62" s="119" t="s">
        <v>179</v>
      </c>
      <c r="B62" s="123"/>
      <c r="C62" s="123" t="s">
        <v>180</v>
      </c>
      <c r="D62" s="123" t="s">
        <v>181</v>
      </c>
      <c r="E62" s="123" t="s">
        <v>182</v>
      </c>
      <c r="F62" s="123" t="s">
        <v>183</v>
      </c>
      <c r="G62" s="123" t="s">
        <v>184</v>
      </c>
      <c r="H62" s="123" t="s">
        <v>185</v>
      </c>
      <c r="J62" s="123" t="s">
        <v>186</v>
      </c>
      <c r="K62" s="123" t="s">
        <v>187</v>
      </c>
      <c r="L62" s="123" t="s">
        <v>180</v>
      </c>
      <c r="M62" s="123" t="s">
        <v>185</v>
      </c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</row>
    <row r="63" spans="1:26" ht="14.4">
      <c r="A63" s="119"/>
      <c r="B63" s="11" t="s">
        <v>7</v>
      </c>
      <c r="C63" s="11">
        <v>135924</v>
      </c>
      <c r="D63" s="11">
        <v>147892</v>
      </c>
      <c r="E63" s="11">
        <v>123570</v>
      </c>
      <c r="F63" s="11">
        <v>107250</v>
      </c>
      <c r="G63" s="11">
        <v>82960</v>
      </c>
      <c r="H63" s="26">
        <f t="shared" ref="H63:H64" si="0">(C63/G63)^(1/5)-1</f>
        <v>0.10378752314999007</v>
      </c>
      <c r="J63" s="11" t="s">
        <v>7</v>
      </c>
      <c r="K63" s="11">
        <v>33942</v>
      </c>
      <c r="L63" s="11">
        <v>35607</v>
      </c>
      <c r="M63" s="15">
        <f t="shared" ref="M63:M66" si="1">(K63/L63)^(1/1)-1</f>
        <v>-4.6760468447215486E-2</v>
      </c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spans="1:26" ht="14.4">
      <c r="A64" s="119"/>
      <c r="B64" s="11" t="s">
        <v>8</v>
      </c>
      <c r="C64" s="11">
        <v>11938</v>
      </c>
      <c r="D64" s="11">
        <v>10493</v>
      </c>
      <c r="E64" s="11">
        <v>8620</v>
      </c>
      <c r="F64" s="11">
        <v>7020</v>
      </c>
      <c r="G64" s="11">
        <v>5070</v>
      </c>
      <c r="H64" s="26">
        <f t="shared" si="0"/>
        <v>0.18681963576148597</v>
      </c>
      <c r="J64" s="11" t="s">
        <v>8</v>
      </c>
      <c r="K64" s="11">
        <v>3981</v>
      </c>
      <c r="L64" s="11">
        <v>3098</v>
      </c>
      <c r="M64" s="15">
        <f t="shared" si="1"/>
        <v>0.28502259522272433</v>
      </c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</row>
    <row r="65" spans="1:26" ht="14.4">
      <c r="A65" s="119"/>
      <c r="B65" s="11" t="s">
        <v>188</v>
      </c>
      <c r="C65" s="11">
        <v>26.27</v>
      </c>
      <c r="D65" s="11">
        <v>23.11</v>
      </c>
      <c r="E65" s="11">
        <v>19.010000000000002</v>
      </c>
      <c r="F65" s="11"/>
      <c r="G65" s="11"/>
      <c r="J65" s="11" t="s">
        <v>188</v>
      </c>
      <c r="K65" s="11">
        <v>8.76</v>
      </c>
      <c r="L65" s="11">
        <v>6.82</v>
      </c>
      <c r="M65" s="15">
        <f t="shared" si="1"/>
        <v>0.28445747800586507</v>
      </c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</row>
    <row r="66" spans="1:26" ht="14.4">
      <c r="A66" s="119"/>
      <c r="B66" s="11" t="s">
        <v>20</v>
      </c>
      <c r="C66" s="17">
        <f t="shared" ref="C66:G66" si="2">(100*C64)/C63</f>
        <v>8.7828492392807753</v>
      </c>
      <c r="D66" s="17">
        <f t="shared" si="2"/>
        <v>7.0950423281854329</v>
      </c>
      <c r="E66" s="17">
        <f t="shared" si="2"/>
        <v>6.9758031884761671</v>
      </c>
      <c r="F66" s="17">
        <f t="shared" si="2"/>
        <v>6.5454545454545459</v>
      </c>
      <c r="G66" s="17">
        <f t="shared" si="2"/>
        <v>6.1113789778206362</v>
      </c>
      <c r="J66" s="11" t="s">
        <v>189</v>
      </c>
      <c r="K66" s="17">
        <f t="shared" ref="K66:L66" si="3">(100*K64)/K63</f>
        <v>11.728831536149903</v>
      </c>
      <c r="L66" s="17">
        <f t="shared" si="3"/>
        <v>8.700536411379785</v>
      </c>
      <c r="M66" s="15">
        <f t="shared" si="1"/>
        <v>0.34805843934050862</v>
      </c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</row>
    <row r="67" spans="1:26" ht="14.4">
      <c r="A67" s="119"/>
      <c r="B67" s="124" t="s">
        <v>190</v>
      </c>
      <c r="C67" s="125">
        <v>7.9399999999999998E-2</v>
      </c>
      <c r="D67" s="125">
        <v>9.4E-2</v>
      </c>
      <c r="E67" s="126"/>
      <c r="F67" s="126"/>
      <c r="G67" s="127"/>
      <c r="J67" s="11"/>
      <c r="K67" s="11"/>
      <c r="L67" s="11"/>
      <c r="M67" s="11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</row>
    <row r="68" spans="1:26" ht="14.4">
      <c r="A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</row>
    <row r="69" spans="1:26" ht="14.4">
      <c r="A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</row>
    <row r="70" spans="1:26" ht="14.4">
      <c r="A70" s="119"/>
      <c r="B70" s="123"/>
      <c r="C70" s="123">
        <v>2021</v>
      </c>
      <c r="D70" s="123">
        <v>2025</v>
      </c>
      <c r="E70" s="123">
        <v>2030</v>
      </c>
      <c r="F70" s="123"/>
      <c r="H70" s="1" t="s">
        <v>191</v>
      </c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</row>
    <row r="71" spans="1:26" ht="14.4">
      <c r="A71" s="119"/>
      <c r="B71" s="11" t="s">
        <v>7</v>
      </c>
      <c r="C71" s="128">
        <v>129568.13008678069</v>
      </c>
      <c r="D71" s="128">
        <v>192326.93637177744</v>
      </c>
      <c r="E71" s="128">
        <v>315113.86812195601</v>
      </c>
      <c r="F71" s="11"/>
      <c r="H71" s="1" t="s">
        <v>192</v>
      </c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</row>
    <row r="72" spans="1:26" ht="14.4">
      <c r="A72" s="119"/>
      <c r="B72" s="11" t="s">
        <v>8</v>
      </c>
      <c r="C72" s="128">
        <v>15340.599741768883</v>
      </c>
      <c r="D72" s="128">
        <v>30435.555368909412</v>
      </c>
      <c r="E72" s="128">
        <v>71664.62721775948</v>
      </c>
      <c r="F72" s="11"/>
      <c r="H72" s="1" t="s">
        <v>193</v>
      </c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</row>
    <row r="73" spans="1:26" ht="14.4">
      <c r="A73" s="119"/>
      <c r="B73" s="11" t="s">
        <v>188</v>
      </c>
      <c r="C73" s="128">
        <v>33.742697947214076</v>
      </c>
      <c r="D73" s="128">
        <v>66.945084869961022</v>
      </c>
      <c r="E73" s="128">
        <v>157.63124717506798</v>
      </c>
      <c r="F73" s="17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</row>
    <row r="74" spans="1:26" ht="14.4">
      <c r="A74" s="119"/>
      <c r="B74" s="11" t="s">
        <v>194</v>
      </c>
      <c r="C74" s="50">
        <v>1012.2809384164223</v>
      </c>
      <c r="D74" s="50">
        <v>1673.6271217490255</v>
      </c>
      <c r="E74" s="50">
        <v>3940.7811793766996</v>
      </c>
      <c r="F74" s="11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</row>
    <row r="75" spans="1:26" ht="14.4">
      <c r="A75" s="119"/>
      <c r="B75" s="124" t="s">
        <v>195</v>
      </c>
      <c r="C75" s="125">
        <v>1.78E-2</v>
      </c>
      <c r="D75" s="125">
        <v>2.3199999999999998E-2</v>
      </c>
      <c r="E75" s="1"/>
      <c r="F75" s="1" t="s">
        <v>196</v>
      </c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</row>
    <row r="76" spans="1:26" ht="14.4">
      <c r="A76" s="119"/>
      <c r="B76" s="1"/>
      <c r="C76" s="1"/>
      <c r="D76" s="1"/>
      <c r="E76" s="1"/>
      <c r="F76" s="1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</row>
    <row r="77" spans="1:26" ht="14.4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</row>
    <row r="78" spans="1:26" ht="14.4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</row>
    <row r="79" spans="1:26" ht="14.4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</row>
    <row r="80" spans="1:26" ht="14.4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</row>
    <row r="81" spans="1:26" ht="14.4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</row>
    <row r="82" spans="1:26" ht="14.4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</row>
    <row r="83" spans="1:26" ht="14.4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</row>
    <row r="84" spans="1:26" ht="14.4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</row>
    <row r="85" spans="1:26" ht="14.4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</row>
    <row r="86" spans="1:26" ht="14.4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</row>
    <row r="87" spans="1:26" ht="14.4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</row>
    <row r="88" spans="1:26" ht="14.4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</row>
    <row r="89" spans="1:26" ht="14.4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</row>
    <row r="90" spans="1:26" ht="14.4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</row>
    <row r="91" spans="1:26" ht="14.4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</row>
    <row r="92" spans="1:26" ht="14.4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</row>
    <row r="93" spans="1:26" ht="14.4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</row>
    <row r="94" spans="1:26" ht="14.4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</row>
    <row r="95" spans="1:26" ht="14.4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</row>
    <row r="96" spans="1:26" ht="14.4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</row>
    <row r="97" spans="1:26" ht="14.4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</row>
    <row r="98" spans="1:26" ht="14.4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</row>
    <row r="99" spans="1:26" ht="14.4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</row>
    <row r="100" spans="1:26" ht="14.4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</row>
    <row r="101" spans="1:26" ht="14.4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</row>
    <row r="102" spans="1:26" ht="14.4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</row>
    <row r="103" spans="1:26" ht="14.4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</row>
    <row r="104" spans="1:26" ht="14.4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</row>
    <row r="105" spans="1:26" ht="14.4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</row>
    <row r="106" spans="1:26" ht="14.4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</row>
    <row r="107" spans="1:26" ht="14.4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</row>
    <row r="108" spans="1:26" ht="14.4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</row>
    <row r="109" spans="1:26" ht="14.4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</row>
    <row r="110" spans="1:26" ht="14.4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</row>
    <row r="111" spans="1:26" ht="14.4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</row>
    <row r="112" spans="1:26" ht="14.4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</row>
    <row r="113" spans="1:26" ht="14.4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</row>
    <row r="114" spans="1:26" ht="14.4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</row>
    <row r="115" spans="1:26" ht="14.4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</row>
    <row r="116" spans="1:26" ht="14.4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</row>
    <row r="117" spans="1:26" ht="14.4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</row>
    <row r="118" spans="1:26" ht="14.4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</row>
    <row r="119" spans="1:26" ht="14.4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</row>
    <row r="120" spans="1:26" ht="14.4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</row>
    <row r="121" spans="1:26" ht="14.4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</row>
    <row r="122" spans="1:26" ht="14.4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</row>
    <row r="123" spans="1:26" ht="14.4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</row>
    <row r="124" spans="1:26" ht="14.4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</row>
    <row r="125" spans="1:26" ht="14.4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</row>
    <row r="126" spans="1:26" ht="14.4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</row>
    <row r="127" spans="1:26" ht="14.4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</row>
    <row r="128" spans="1:26" ht="14.4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</row>
    <row r="129" spans="1:26" ht="14.4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</row>
    <row r="130" spans="1:26" ht="14.4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</row>
    <row r="131" spans="1:26" ht="14.4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</row>
    <row r="132" spans="1:26" ht="14.4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</row>
    <row r="133" spans="1:26" ht="14.4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</row>
    <row r="134" spans="1:26" ht="14.4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</row>
    <row r="135" spans="1:26" ht="14.4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</row>
    <row r="136" spans="1:26" ht="14.4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</row>
    <row r="137" spans="1:26" ht="14.4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</row>
    <row r="138" spans="1:26" ht="14.4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</row>
    <row r="139" spans="1:26" ht="14.4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</row>
    <row r="140" spans="1:26" ht="14.4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</row>
    <row r="141" spans="1:26" ht="14.4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</row>
    <row r="142" spans="1:26" ht="14.4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</row>
    <row r="143" spans="1:26" ht="14.4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</row>
    <row r="144" spans="1:26" ht="14.4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</row>
    <row r="145" spans="1:26" ht="14.4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</row>
    <row r="146" spans="1:26" ht="14.4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</row>
    <row r="147" spans="1:26" ht="14.4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</row>
    <row r="148" spans="1:26" ht="14.4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</row>
    <row r="149" spans="1:26" ht="14.4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</row>
    <row r="150" spans="1:26" ht="14.4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</row>
    <row r="151" spans="1:26" ht="14.4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</row>
    <row r="152" spans="1:26" ht="14.4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</row>
    <row r="153" spans="1:26" ht="14.4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</row>
    <row r="154" spans="1:26" ht="14.4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</row>
    <row r="155" spans="1:26" ht="14.4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</row>
    <row r="156" spans="1:26" ht="14.4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</row>
    <row r="157" spans="1:26" ht="14.4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</row>
    <row r="158" spans="1:26" ht="14.4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</row>
    <row r="159" spans="1:26" ht="14.4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 spans="1:26" ht="14.4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</row>
    <row r="161" spans="1:26" ht="14.4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</row>
    <row r="162" spans="1:26" ht="14.4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</row>
    <row r="163" spans="1:26" ht="14.4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</row>
    <row r="164" spans="1:26" ht="14.4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</row>
    <row r="165" spans="1:26" ht="14.4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</row>
    <row r="166" spans="1:26" ht="14.4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</row>
    <row r="167" spans="1:26" ht="14.4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</row>
    <row r="168" spans="1:26" ht="14.4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</row>
    <row r="169" spans="1:26" ht="14.4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</row>
    <row r="170" spans="1:26" ht="14.4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</row>
    <row r="171" spans="1:26" ht="14.4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</row>
    <row r="172" spans="1:26" ht="14.4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</row>
    <row r="173" spans="1:26" ht="14.4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</row>
    <row r="174" spans="1:26" ht="14.4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</row>
    <row r="175" spans="1:26" ht="14.4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</row>
    <row r="176" spans="1:26" ht="14.4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</row>
    <row r="177" spans="1:26" ht="14.4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</row>
    <row r="178" spans="1:26" ht="14.4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</row>
    <row r="179" spans="1:26" ht="14.4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</row>
    <row r="180" spans="1:26" ht="14.4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</row>
    <row r="181" spans="1:26" ht="14.4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</row>
    <row r="182" spans="1:26" ht="14.4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</row>
    <row r="183" spans="1:26" ht="14.4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</row>
    <row r="184" spans="1:26" ht="14.4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</row>
    <row r="185" spans="1:26" ht="14.4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</row>
    <row r="186" spans="1:26" ht="14.4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</row>
    <row r="187" spans="1:26" ht="14.4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</row>
    <row r="188" spans="1:26" ht="14.4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</row>
    <row r="189" spans="1:26" ht="14.4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</row>
    <row r="190" spans="1:26" ht="14.4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</row>
    <row r="191" spans="1:26" ht="14.4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</row>
    <row r="192" spans="1:26" ht="14.4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</row>
    <row r="193" spans="1:26" ht="14.4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</row>
    <row r="194" spans="1:26" ht="14.4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</row>
    <row r="195" spans="1:26" ht="14.4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</row>
    <row r="196" spans="1:26" ht="14.4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</row>
    <row r="197" spans="1:26" ht="14.4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</row>
    <row r="198" spans="1:26" ht="14.4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</row>
    <row r="199" spans="1:26" ht="14.4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</row>
    <row r="200" spans="1:26" ht="14.4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</row>
    <row r="201" spans="1:26" ht="14.4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</row>
    <row r="202" spans="1:26" ht="14.4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</row>
    <row r="203" spans="1:26" ht="14.4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</row>
    <row r="204" spans="1:26" ht="14.4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</row>
    <row r="205" spans="1:26" ht="14.4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</row>
    <row r="206" spans="1:26" ht="14.4">
      <c r="A206" s="119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</row>
    <row r="207" spans="1:26" ht="14.4">
      <c r="A207" s="119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</row>
    <row r="208" spans="1:26" ht="14.4">
      <c r="A208" s="119"/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</row>
    <row r="209" spans="1:26" ht="14.4">
      <c r="A209" s="119"/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</row>
    <row r="210" spans="1:26" ht="14.4">
      <c r="A210" s="119"/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</row>
    <row r="211" spans="1:26" ht="14.4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</row>
    <row r="212" spans="1:26" ht="14.4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</row>
    <row r="213" spans="1:26" ht="14.4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</row>
    <row r="214" spans="1:26" ht="14.4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</row>
    <row r="215" spans="1:26" ht="14.4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</row>
    <row r="216" spans="1:26" ht="14.4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</row>
    <row r="217" spans="1:26" ht="14.4">
      <c r="A217" s="119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</row>
    <row r="218" spans="1:26" ht="14.4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</row>
    <row r="219" spans="1:26" ht="14.4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</row>
    <row r="220" spans="1:26" ht="14.4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</row>
    <row r="221" spans="1:26" ht="14.4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</row>
    <row r="222" spans="1:26" ht="14.4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</row>
    <row r="223" spans="1:26" ht="14.4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</row>
    <row r="224" spans="1:26" ht="14.4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</row>
    <row r="225" spans="1:26" ht="14.4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</row>
    <row r="226" spans="1:26" ht="14.4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</row>
    <row r="227" spans="1:26" ht="14.4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</row>
    <row r="228" spans="1:26" ht="14.4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</row>
    <row r="229" spans="1:26" ht="14.4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</row>
    <row r="230" spans="1:26" ht="14.4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</row>
    <row r="231" spans="1:26" ht="14.4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</row>
    <row r="232" spans="1:26" ht="14.4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</row>
    <row r="233" spans="1:26" ht="14.4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</row>
    <row r="234" spans="1:26" ht="14.4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</row>
    <row r="235" spans="1:26" ht="14.4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</row>
    <row r="236" spans="1:26" ht="14.4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</row>
    <row r="237" spans="1:26" ht="14.4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</row>
    <row r="238" spans="1:26" ht="14.4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</row>
    <row r="239" spans="1:26" ht="14.4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</row>
    <row r="240" spans="1:26" ht="14.4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</row>
    <row r="241" spans="1:26" ht="14.4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</row>
    <row r="242" spans="1:26" ht="14.4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</row>
    <row r="243" spans="1:26" ht="14.4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</row>
    <row r="244" spans="1:26" ht="14.4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</row>
    <row r="245" spans="1:26" ht="14.4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</row>
    <row r="246" spans="1:26" ht="14.4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</row>
    <row r="247" spans="1:26" ht="14.4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</row>
    <row r="248" spans="1:26" ht="14.4">
      <c r="A248" s="119"/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</row>
    <row r="249" spans="1:26" ht="14.4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</row>
    <row r="250" spans="1:26" ht="14.4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</row>
    <row r="251" spans="1:26" ht="14.4">
      <c r="A251" s="119"/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</row>
    <row r="252" spans="1:26" ht="14.4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</row>
    <row r="253" spans="1:26" ht="14.4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</row>
    <row r="254" spans="1:26" ht="14.4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</row>
    <row r="255" spans="1:26" ht="14.4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</row>
    <row r="256" spans="1:26" ht="14.4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</row>
    <row r="257" spans="1:26" ht="14.4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</row>
    <row r="258" spans="1:26" ht="14.4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</row>
    <row r="259" spans="1:26" ht="14.4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</row>
    <row r="260" spans="1:26" ht="14.4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</row>
    <row r="261" spans="1:26" ht="14.4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</row>
    <row r="262" spans="1:26" ht="14.4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</row>
    <row r="263" spans="1:26" ht="14.4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</row>
    <row r="264" spans="1:26" ht="14.4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</row>
    <row r="265" spans="1:26" ht="14.4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</row>
    <row r="266" spans="1:26" ht="14.4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</row>
    <row r="267" spans="1:26" ht="14.4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</row>
    <row r="268" spans="1:26" ht="14.4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</row>
    <row r="269" spans="1:26" ht="14.4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</row>
    <row r="270" spans="1:26" ht="14.4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</row>
    <row r="271" spans="1:26" ht="14.4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</row>
    <row r="272" spans="1:26" ht="14.4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</row>
    <row r="273" spans="1:26" ht="14.4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</row>
    <row r="274" spans="1:26" ht="14.4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</row>
    <row r="275" spans="1:26" ht="14.4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</row>
    <row r="276" spans="1:26" ht="14.4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</row>
    <row r="277" spans="1:26" ht="14.4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</row>
    <row r="278" spans="1:26" ht="14.4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</row>
    <row r="279" spans="1:26" ht="14.4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</row>
    <row r="280" spans="1:26" ht="14.4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</row>
    <row r="281" spans="1:26" ht="14.4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</row>
    <row r="282" spans="1:26" ht="14.4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</row>
    <row r="283" spans="1:26" ht="14.4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</row>
    <row r="284" spans="1:26" ht="14.4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</row>
    <row r="285" spans="1:26" ht="14.4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</row>
    <row r="286" spans="1:26" ht="14.4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</row>
    <row r="287" spans="1:26" ht="14.4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</row>
    <row r="288" spans="1:26" ht="14.4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</row>
    <row r="289" spans="1:26" ht="14.4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</row>
    <row r="290" spans="1:26" ht="14.4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</row>
    <row r="291" spans="1:26" ht="14.4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</row>
    <row r="292" spans="1:26" ht="14.4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</row>
    <row r="293" spans="1:26" ht="14.4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</row>
    <row r="294" spans="1:26" ht="14.4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</row>
    <row r="295" spans="1:26" ht="14.4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</row>
    <row r="296" spans="1:26" ht="14.4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</row>
    <row r="297" spans="1:26" ht="14.4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</row>
    <row r="298" spans="1:26" ht="14.4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</row>
    <row r="299" spans="1:26" ht="14.4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</row>
    <row r="300" spans="1:26" ht="14.4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</row>
    <row r="301" spans="1:26" ht="14.4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</row>
    <row r="302" spans="1:26" ht="14.4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</row>
    <row r="303" spans="1:26" ht="14.4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</row>
    <row r="304" spans="1:26" ht="14.4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</row>
    <row r="305" spans="1:26" ht="14.4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</row>
    <row r="306" spans="1:26" ht="14.4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</row>
    <row r="307" spans="1:26" ht="14.4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</row>
    <row r="308" spans="1:26" ht="14.4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</row>
    <row r="309" spans="1:26" ht="14.4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</row>
    <row r="310" spans="1:26" ht="14.4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</row>
    <row r="311" spans="1:26" ht="14.4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</row>
    <row r="312" spans="1:26" ht="14.4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</row>
    <row r="313" spans="1:26" ht="14.4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</row>
    <row r="314" spans="1:26" ht="14.4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</row>
    <row r="315" spans="1:26" ht="14.4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</row>
    <row r="316" spans="1:26" ht="14.4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</row>
    <row r="317" spans="1:26" ht="14.4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</row>
    <row r="318" spans="1:26" ht="14.4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</row>
    <row r="319" spans="1:26" ht="14.4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</row>
    <row r="320" spans="1:26" ht="14.4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</row>
    <row r="321" spans="1:26" ht="14.4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</row>
    <row r="322" spans="1:26" ht="14.4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</row>
    <row r="323" spans="1:26" ht="14.4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</row>
    <row r="324" spans="1:26" ht="14.4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</row>
    <row r="325" spans="1:26" ht="14.4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</row>
    <row r="326" spans="1:26" ht="14.4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</row>
    <row r="327" spans="1:26" ht="14.4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</row>
    <row r="328" spans="1:26" ht="14.4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</row>
    <row r="329" spans="1:26" ht="14.4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</row>
    <row r="330" spans="1:26" ht="14.4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</row>
    <row r="331" spans="1:26" ht="14.4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</row>
    <row r="332" spans="1:26" ht="14.4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</row>
    <row r="333" spans="1:26" ht="14.4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</row>
    <row r="334" spans="1:26" ht="14.4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</row>
    <row r="335" spans="1:26" ht="14.4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</row>
    <row r="336" spans="1:26" ht="14.4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</row>
    <row r="337" spans="1:26" ht="14.4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</row>
    <row r="338" spans="1:26" ht="14.4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</row>
    <row r="339" spans="1:26" ht="14.4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</row>
    <row r="340" spans="1:26" ht="14.4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</row>
    <row r="341" spans="1:26" ht="14.4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</row>
    <row r="342" spans="1:26" ht="14.4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</row>
    <row r="343" spans="1:26" ht="14.4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</row>
    <row r="344" spans="1:26" ht="14.4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</row>
    <row r="345" spans="1:26" ht="14.4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</row>
    <row r="346" spans="1:26" ht="14.4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</row>
    <row r="347" spans="1:26" ht="14.4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</row>
    <row r="348" spans="1:26" ht="14.4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</row>
    <row r="349" spans="1:26" ht="14.4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</row>
    <row r="350" spans="1:26" ht="14.4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</row>
    <row r="351" spans="1:26" ht="14.4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</row>
    <row r="352" spans="1:26" ht="14.4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</row>
    <row r="353" spans="1:26" ht="14.4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</row>
    <row r="354" spans="1:26" ht="14.4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</row>
    <row r="355" spans="1:26" ht="14.4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</row>
    <row r="356" spans="1:26" ht="14.4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</row>
    <row r="357" spans="1:26" ht="14.4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</row>
    <row r="358" spans="1:26" ht="14.4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</row>
    <row r="359" spans="1:26" ht="14.4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</row>
    <row r="360" spans="1:26" ht="14.4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</row>
    <row r="361" spans="1:26" ht="14.4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</row>
    <row r="362" spans="1:26" ht="14.4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</row>
    <row r="363" spans="1:26" ht="14.4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</row>
    <row r="364" spans="1:26" ht="14.4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</row>
    <row r="365" spans="1:26" ht="14.4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</row>
    <row r="366" spans="1:26" ht="14.4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</row>
    <row r="367" spans="1:26" ht="14.4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</row>
    <row r="368" spans="1:26" ht="14.4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</row>
    <row r="369" spans="1:26" ht="14.4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</row>
    <row r="370" spans="1:26" ht="14.4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</row>
    <row r="371" spans="1:26" ht="14.4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</row>
    <row r="372" spans="1:26" ht="14.4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</row>
    <row r="373" spans="1:26" ht="14.4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</row>
    <row r="374" spans="1:26" ht="14.4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</row>
    <row r="375" spans="1:26" ht="14.4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</row>
    <row r="376" spans="1:26" ht="14.4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</row>
    <row r="377" spans="1:26" ht="14.4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</row>
    <row r="378" spans="1:26" ht="14.4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</row>
    <row r="379" spans="1:26" ht="14.4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</row>
    <row r="380" spans="1:26" ht="14.4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</row>
    <row r="381" spans="1:26" ht="14.4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</row>
    <row r="382" spans="1:26" ht="14.4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</row>
    <row r="383" spans="1:26" ht="14.4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</row>
    <row r="384" spans="1:26" ht="14.4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</row>
    <row r="385" spans="1:26" ht="14.4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</row>
    <row r="386" spans="1:26" ht="14.4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</row>
    <row r="387" spans="1:26" ht="14.4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</row>
    <row r="388" spans="1:26" ht="14.4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</row>
    <row r="389" spans="1:26" ht="14.4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</row>
    <row r="390" spans="1:26" ht="14.4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</row>
    <row r="391" spans="1:26" ht="14.4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</row>
    <row r="392" spans="1:26" ht="14.4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</row>
    <row r="393" spans="1:26" ht="14.4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</row>
    <row r="394" spans="1:26" ht="14.4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</row>
    <row r="395" spans="1:26" ht="14.4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</row>
    <row r="396" spans="1:26" ht="14.4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</row>
    <row r="397" spans="1:26" ht="14.4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</row>
    <row r="398" spans="1:26" ht="14.4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</row>
    <row r="399" spans="1:26" ht="14.4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</row>
    <row r="400" spans="1:26" ht="14.4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</row>
    <row r="401" spans="1:26" ht="14.4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</row>
    <row r="402" spans="1:26" ht="14.4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</row>
    <row r="403" spans="1:26" ht="14.4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</row>
    <row r="404" spans="1:26" ht="14.4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</row>
    <row r="405" spans="1:26" ht="14.4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</row>
    <row r="406" spans="1:26" ht="14.4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</row>
    <row r="407" spans="1:26" ht="14.4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</row>
    <row r="408" spans="1:26" ht="14.4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</row>
    <row r="409" spans="1:26" ht="14.4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</row>
    <row r="410" spans="1:26" ht="14.4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</row>
    <row r="411" spans="1:26" ht="14.4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</row>
    <row r="412" spans="1:26" ht="14.4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</row>
    <row r="413" spans="1:26" ht="14.4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</row>
    <row r="414" spans="1:26" ht="14.4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</row>
    <row r="415" spans="1:26" ht="14.4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</row>
    <row r="416" spans="1:26" ht="14.4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</row>
    <row r="417" spans="1:26" ht="14.4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</row>
    <row r="418" spans="1:26" ht="14.4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</row>
    <row r="419" spans="1:26" ht="14.4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</row>
    <row r="420" spans="1:26" ht="14.4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</row>
    <row r="421" spans="1:26" ht="14.4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</row>
    <row r="422" spans="1:26" ht="14.4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</row>
    <row r="423" spans="1:26" ht="14.4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</row>
    <row r="424" spans="1:26" ht="14.4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</row>
    <row r="425" spans="1:26" ht="14.4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</row>
    <row r="426" spans="1:26" ht="14.4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</row>
    <row r="427" spans="1:26" ht="14.4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</row>
    <row r="428" spans="1:26" ht="14.4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</row>
    <row r="429" spans="1:26" ht="14.4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</row>
    <row r="430" spans="1:26" ht="14.4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</row>
    <row r="431" spans="1:26" ht="14.4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</row>
    <row r="432" spans="1:26" ht="14.4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</row>
    <row r="433" spans="1:26" ht="14.4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</row>
    <row r="434" spans="1:26" ht="14.4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</row>
    <row r="435" spans="1:26" ht="14.4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</row>
    <row r="436" spans="1:26" ht="14.4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</row>
    <row r="437" spans="1:26" ht="14.4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</row>
    <row r="438" spans="1:26" ht="14.4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</row>
    <row r="439" spans="1:26" ht="14.4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</row>
    <row r="440" spans="1:26" ht="14.4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</row>
    <row r="441" spans="1:26" ht="14.4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</row>
    <row r="442" spans="1:26" ht="14.4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</row>
    <row r="443" spans="1:26" ht="14.4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</row>
    <row r="444" spans="1:26" ht="14.4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</row>
    <row r="445" spans="1:26" ht="14.4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</row>
    <row r="446" spans="1:26" ht="14.4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</row>
    <row r="447" spans="1:26" ht="14.4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</row>
    <row r="448" spans="1:26" ht="14.4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</row>
    <row r="449" spans="1:26" ht="14.4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</row>
    <row r="450" spans="1:26" ht="14.4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</row>
    <row r="451" spans="1:26" ht="14.4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</row>
    <row r="452" spans="1:26" ht="14.4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</row>
    <row r="453" spans="1:26" ht="14.4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</row>
    <row r="454" spans="1:26" ht="14.4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</row>
    <row r="455" spans="1:26" ht="14.4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</row>
    <row r="456" spans="1:26" ht="14.4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</row>
    <row r="457" spans="1:26" ht="14.4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</row>
    <row r="458" spans="1:26" ht="14.4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</row>
    <row r="459" spans="1:26" ht="14.4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</row>
    <row r="460" spans="1:26" ht="14.4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</row>
    <row r="461" spans="1:26" ht="14.4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</row>
    <row r="462" spans="1:26" ht="14.4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</row>
    <row r="463" spans="1:26" ht="14.4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</row>
    <row r="464" spans="1:26" ht="14.4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</row>
    <row r="465" spans="1:26" ht="14.4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</row>
    <row r="466" spans="1:26" ht="14.4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</row>
    <row r="467" spans="1:26" ht="14.4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</row>
    <row r="468" spans="1:26" ht="14.4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</row>
    <row r="469" spans="1:26" ht="14.4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</row>
    <row r="470" spans="1:26" ht="14.4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</row>
    <row r="471" spans="1:26" ht="14.4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</row>
    <row r="472" spans="1:26" ht="14.4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</row>
    <row r="473" spans="1:26" ht="14.4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</row>
    <row r="474" spans="1:26" ht="14.4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</row>
    <row r="475" spans="1:26" ht="14.4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</row>
    <row r="476" spans="1:26" ht="14.4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</row>
    <row r="477" spans="1:26" ht="14.4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</row>
    <row r="478" spans="1:26" ht="14.4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</row>
    <row r="479" spans="1:26" ht="14.4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</row>
    <row r="480" spans="1:26" ht="14.4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</row>
    <row r="481" spans="1:26" ht="14.4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</row>
    <row r="482" spans="1:26" ht="14.4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</row>
    <row r="483" spans="1:26" ht="14.4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</row>
    <row r="484" spans="1:26" ht="14.4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</row>
    <row r="485" spans="1:26" ht="14.4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</row>
    <row r="486" spans="1:26" ht="14.4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</row>
    <row r="487" spans="1:26" ht="14.4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</row>
    <row r="488" spans="1:26" ht="14.4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</row>
    <row r="489" spans="1:26" ht="14.4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</row>
    <row r="490" spans="1:26" ht="14.4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</row>
    <row r="491" spans="1:26" ht="14.4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</row>
    <row r="492" spans="1:26" ht="14.4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</row>
    <row r="493" spans="1:26" ht="14.4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</row>
    <row r="494" spans="1:26" ht="14.4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</row>
    <row r="495" spans="1:26" ht="14.4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</row>
    <row r="496" spans="1:26" ht="14.4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</row>
    <row r="497" spans="1:26" ht="14.4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</row>
    <row r="498" spans="1:26" ht="14.4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</row>
    <row r="499" spans="1:26" ht="14.4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</row>
    <row r="500" spans="1:26" ht="14.4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</row>
    <row r="501" spans="1:26" ht="14.4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</row>
    <row r="502" spans="1:26" ht="14.4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</row>
    <row r="503" spans="1:26" ht="14.4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</row>
    <row r="504" spans="1:26" ht="14.4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</row>
    <row r="505" spans="1:26" ht="14.4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</row>
    <row r="506" spans="1:26" ht="14.4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</row>
    <row r="507" spans="1:26" ht="14.4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</row>
    <row r="508" spans="1:26" ht="14.4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</row>
    <row r="509" spans="1:26" ht="14.4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</row>
    <row r="510" spans="1:26" ht="14.4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</row>
    <row r="511" spans="1:26" ht="14.4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</row>
    <row r="512" spans="1:26" ht="14.4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</row>
    <row r="513" spans="1:26" ht="14.4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</row>
    <row r="514" spans="1:26" ht="14.4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</row>
    <row r="515" spans="1:26" ht="14.4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</row>
    <row r="516" spans="1:26" ht="14.4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</row>
    <row r="517" spans="1:26" ht="14.4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</row>
    <row r="518" spans="1:26" ht="14.4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</row>
    <row r="519" spans="1:26" ht="14.4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</row>
    <row r="520" spans="1:26" ht="14.4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</row>
    <row r="521" spans="1:26" ht="14.4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</row>
    <row r="522" spans="1:26" ht="14.4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</row>
    <row r="523" spans="1:26" ht="14.4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</row>
    <row r="524" spans="1:26" ht="14.4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</row>
    <row r="525" spans="1:26" ht="14.4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</row>
    <row r="526" spans="1:26" ht="14.4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</row>
    <row r="527" spans="1:26" ht="14.4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</row>
    <row r="528" spans="1:26" ht="14.4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</row>
    <row r="529" spans="1:26" ht="14.4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</row>
    <row r="530" spans="1:26" ht="14.4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</row>
    <row r="531" spans="1:26" ht="14.4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</row>
    <row r="532" spans="1:26" ht="14.4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</row>
    <row r="533" spans="1:26" ht="14.4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</row>
    <row r="534" spans="1:26" ht="14.4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</row>
    <row r="535" spans="1:26" ht="14.4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</row>
    <row r="536" spans="1:26" ht="14.4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</row>
    <row r="537" spans="1:26" ht="14.4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</row>
    <row r="538" spans="1:26" ht="14.4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</row>
    <row r="539" spans="1:26" ht="14.4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</row>
    <row r="540" spans="1:26" ht="14.4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</row>
    <row r="541" spans="1:26" ht="14.4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</row>
    <row r="542" spans="1:26" ht="14.4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</row>
    <row r="543" spans="1:26" ht="14.4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</row>
    <row r="544" spans="1:26" ht="14.4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</row>
    <row r="545" spans="1:26" ht="14.4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</row>
    <row r="546" spans="1:26" ht="14.4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</row>
    <row r="547" spans="1:26" ht="14.4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</row>
    <row r="548" spans="1:26" ht="14.4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</row>
    <row r="549" spans="1:26" ht="14.4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</row>
    <row r="550" spans="1:26" ht="14.4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</row>
    <row r="551" spans="1:26" ht="14.4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</row>
    <row r="552" spans="1:26" ht="14.4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</row>
    <row r="553" spans="1:26" ht="14.4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</row>
    <row r="554" spans="1:26" ht="14.4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</row>
    <row r="555" spans="1:26" ht="14.4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</row>
    <row r="556" spans="1:26" ht="14.4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</row>
    <row r="557" spans="1:26" ht="14.4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</row>
    <row r="558" spans="1:26" ht="14.4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</row>
    <row r="559" spans="1:26" ht="14.4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</row>
    <row r="560" spans="1:26" ht="14.4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</row>
    <row r="561" spans="1:26" ht="14.4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</row>
    <row r="562" spans="1:26" ht="14.4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</row>
    <row r="563" spans="1:26" ht="14.4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</row>
    <row r="564" spans="1:26" ht="14.4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</row>
    <row r="565" spans="1:26" ht="14.4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</row>
    <row r="566" spans="1:26" ht="14.4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</row>
    <row r="567" spans="1:26" ht="14.4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</row>
    <row r="568" spans="1:26" ht="14.4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</row>
    <row r="569" spans="1:26" ht="14.4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</row>
    <row r="570" spans="1:26" ht="14.4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</row>
    <row r="571" spans="1:26" ht="14.4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</row>
    <row r="572" spans="1:26" ht="14.4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</row>
    <row r="573" spans="1:26" ht="14.4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</row>
    <row r="574" spans="1:26" ht="14.4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</row>
    <row r="575" spans="1:26" ht="14.4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</row>
    <row r="576" spans="1:26" ht="14.4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</row>
    <row r="577" spans="1:26" ht="14.4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</row>
    <row r="578" spans="1:26" ht="14.4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</row>
    <row r="579" spans="1:26" ht="14.4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</row>
    <row r="580" spans="1:26" ht="14.4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</row>
    <row r="581" spans="1:26" ht="14.4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</row>
    <row r="582" spans="1:26" ht="14.4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</row>
    <row r="583" spans="1:26" ht="14.4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</row>
    <row r="584" spans="1:26" ht="14.4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</row>
    <row r="585" spans="1:26" ht="14.4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</row>
    <row r="586" spans="1:26" ht="14.4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</row>
    <row r="587" spans="1:26" ht="14.4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</row>
    <row r="588" spans="1:26" ht="14.4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</row>
    <row r="589" spans="1:26" ht="14.4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</row>
    <row r="590" spans="1:26" ht="14.4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</row>
    <row r="591" spans="1:26" ht="14.4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</row>
    <row r="592" spans="1:26" ht="14.4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</row>
    <row r="593" spans="1:26" ht="14.4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</row>
    <row r="594" spans="1:26" ht="14.4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</row>
    <row r="595" spans="1:26" ht="14.4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</row>
    <row r="596" spans="1:26" ht="14.4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</row>
    <row r="597" spans="1:26" ht="14.4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</row>
    <row r="598" spans="1:26" ht="14.4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</row>
    <row r="599" spans="1:26" ht="14.4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</row>
    <row r="600" spans="1:26" ht="14.4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</row>
    <row r="601" spans="1:26" ht="14.4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</row>
    <row r="602" spans="1:26" ht="14.4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</row>
    <row r="603" spans="1:26" ht="14.4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</row>
    <row r="604" spans="1:26" ht="14.4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</row>
    <row r="605" spans="1:26" ht="14.4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</row>
    <row r="606" spans="1:26" ht="14.4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</row>
    <row r="607" spans="1:26" ht="14.4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</row>
    <row r="608" spans="1:26" ht="14.4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</row>
    <row r="609" spans="1:26" ht="14.4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</row>
    <row r="610" spans="1:26" ht="14.4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</row>
    <row r="611" spans="1:26" ht="14.4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</row>
    <row r="612" spans="1:26" ht="14.4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</row>
    <row r="613" spans="1:26" ht="14.4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</row>
    <row r="614" spans="1:26" ht="14.4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</row>
    <row r="615" spans="1:26" ht="14.4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</row>
    <row r="616" spans="1:26" ht="14.4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</row>
    <row r="617" spans="1:26" ht="14.4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</row>
    <row r="618" spans="1:26" ht="14.4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</row>
    <row r="619" spans="1:26" ht="14.4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</row>
    <row r="620" spans="1:26" ht="14.4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</row>
    <row r="621" spans="1:26" ht="14.4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</row>
    <row r="622" spans="1:26" ht="14.4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</row>
    <row r="623" spans="1:26" ht="14.4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</row>
    <row r="624" spans="1:26" ht="14.4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</row>
    <row r="625" spans="1:26" ht="14.4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</row>
    <row r="626" spans="1:26" ht="14.4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</row>
    <row r="627" spans="1:26" ht="14.4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</row>
    <row r="628" spans="1:26" ht="14.4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</row>
    <row r="629" spans="1:26" ht="14.4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</row>
    <row r="630" spans="1:26" ht="14.4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</row>
    <row r="631" spans="1:26" ht="14.4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</row>
    <row r="632" spans="1:26" ht="14.4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</row>
    <row r="633" spans="1:26" ht="14.4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</row>
    <row r="634" spans="1:26" ht="14.4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</row>
    <row r="635" spans="1:26" ht="14.4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</row>
    <row r="636" spans="1:26" ht="14.4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</row>
    <row r="637" spans="1:26" ht="14.4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</row>
    <row r="638" spans="1:26" ht="14.4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</row>
    <row r="639" spans="1:26" ht="14.4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</row>
    <row r="640" spans="1:26" ht="14.4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</row>
    <row r="641" spans="1:26" ht="14.4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</row>
    <row r="642" spans="1:26" ht="14.4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</row>
    <row r="643" spans="1:26" ht="14.4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</row>
    <row r="644" spans="1:26" ht="14.4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</row>
    <row r="645" spans="1:26" ht="14.4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</row>
    <row r="646" spans="1:26" ht="14.4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</row>
    <row r="647" spans="1:26" ht="14.4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</row>
    <row r="648" spans="1:26" ht="14.4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</row>
    <row r="649" spans="1:26" ht="14.4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</row>
    <row r="650" spans="1:26" ht="14.4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</row>
    <row r="651" spans="1:26" ht="14.4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</row>
    <row r="652" spans="1:26" ht="14.4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</row>
    <row r="653" spans="1:26" ht="14.4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</row>
    <row r="654" spans="1:26" ht="14.4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</row>
    <row r="655" spans="1:26" ht="14.4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</row>
    <row r="656" spans="1:26" ht="14.4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</row>
    <row r="657" spans="1:26" ht="14.4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</row>
    <row r="658" spans="1:26" ht="14.4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</row>
    <row r="659" spans="1:26" ht="14.4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</row>
    <row r="660" spans="1:26" ht="14.4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</row>
    <row r="661" spans="1:26" ht="14.4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</row>
    <row r="662" spans="1:26" ht="14.4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</row>
    <row r="663" spans="1:26" ht="14.4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</row>
    <row r="664" spans="1:26" ht="14.4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</row>
    <row r="665" spans="1:26" ht="14.4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</row>
    <row r="666" spans="1:26" ht="14.4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</row>
    <row r="667" spans="1:26" ht="14.4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</row>
    <row r="668" spans="1:26" ht="14.4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</row>
    <row r="669" spans="1:26" ht="14.4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</row>
    <row r="670" spans="1:26" ht="14.4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</row>
    <row r="671" spans="1:26" ht="14.4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</row>
    <row r="672" spans="1:26" ht="14.4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</row>
    <row r="673" spans="1:26" ht="14.4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</row>
    <row r="674" spans="1:26" ht="14.4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</row>
    <row r="675" spans="1:26" ht="14.4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</row>
    <row r="676" spans="1:26" ht="14.4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</row>
    <row r="677" spans="1:26" ht="14.4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</row>
    <row r="678" spans="1:26" ht="14.4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</row>
    <row r="679" spans="1:26" ht="14.4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</row>
    <row r="680" spans="1:26" ht="14.4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</row>
    <row r="681" spans="1:26" ht="14.4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</row>
    <row r="682" spans="1:26" ht="14.4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</row>
    <row r="683" spans="1:26" ht="14.4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</row>
    <row r="684" spans="1:26" ht="14.4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</row>
    <row r="685" spans="1:26" ht="14.4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</row>
    <row r="686" spans="1:26" ht="14.4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</row>
    <row r="687" spans="1:26" ht="14.4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</row>
    <row r="688" spans="1:26" ht="14.4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</row>
    <row r="689" spans="1:26" ht="14.4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</row>
    <row r="690" spans="1:26" ht="14.4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</row>
    <row r="691" spans="1:26" ht="14.4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</row>
    <row r="692" spans="1:26" ht="14.4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</row>
    <row r="693" spans="1:26" ht="14.4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</row>
    <row r="694" spans="1:26" ht="14.4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</row>
    <row r="695" spans="1:26" ht="14.4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</row>
    <row r="696" spans="1:26" ht="14.4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</row>
    <row r="697" spans="1:26" ht="14.4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</row>
    <row r="698" spans="1:26" ht="14.4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</row>
    <row r="699" spans="1:26" ht="14.4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</row>
    <row r="700" spans="1:26" ht="14.4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</row>
    <row r="701" spans="1:26" ht="14.4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</row>
    <row r="702" spans="1:26" ht="14.4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</row>
    <row r="703" spans="1:26" ht="14.4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</row>
    <row r="704" spans="1:26" ht="14.4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</row>
    <row r="705" spans="1:26" ht="14.4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</row>
    <row r="706" spans="1:26" ht="14.4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</row>
    <row r="707" spans="1:26" ht="14.4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</row>
    <row r="708" spans="1:26" ht="14.4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</row>
    <row r="709" spans="1:26" ht="14.4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</row>
    <row r="710" spans="1:26" ht="14.4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</row>
    <row r="711" spans="1:26" ht="14.4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</row>
    <row r="712" spans="1:26" ht="14.4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</row>
    <row r="713" spans="1:26" ht="14.4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</row>
    <row r="714" spans="1:26" ht="14.4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</row>
    <row r="715" spans="1:26" ht="14.4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</row>
    <row r="716" spans="1:26" ht="14.4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</row>
    <row r="717" spans="1:26" ht="14.4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</row>
    <row r="718" spans="1:26" ht="14.4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</row>
    <row r="719" spans="1:26" ht="14.4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</row>
    <row r="720" spans="1:26" ht="14.4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</row>
    <row r="721" spans="1:26" ht="14.4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</row>
    <row r="722" spans="1:26" ht="14.4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</row>
    <row r="723" spans="1:26" ht="14.4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</row>
    <row r="724" spans="1:26" ht="14.4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</row>
    <row r="725" spans="1:26" ht="14.4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</row>
    <row r="726" spans="1:26" ht="14.4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</row>
    <row r="727" spans="1:26" ht="14.4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</row>
    <row r="728" spans="1:26" ht="14.4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</row>
    <row r="729" spans="1:26" ht="14.4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</row>
    <row r="730" spans="1:26" ht="14.4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</row>
    <row r="731" spans="1:26" ht="14.4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</row>
    <row r="732" spans="1:26" ht="14.4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</row>
    <row r="733" spans="1:26" ht="14.4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</row>
    <row r="734" spans="1:26" ht="14.4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</row>
    <row r="735" spans="1:26" ht="14.4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</row>
    <row r="736" spans="1:26" ht="14.4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</row>
    <row r="737" spans="1:26" ht="14.4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</row>
    <row r="738" spans="1:26" ht="14.4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</row>
    <row r="739" spans="1:26" ht="14.4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</row>
    <row r="740" spans="1:26" ht="14.4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</row>
    <row r="741" spans="1:26" ht="14.4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</row>
    <row r="742" spans="1:26" ht="14.4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</row>
    <row r="743" spans="1:26" ht="14.4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</row>
    <row r="744" spans="1:26" ht="14.4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</row>
    <row r="745" spans="1:26" ht="14.4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</row>
    <row r="746" spans="1:26" ht="14.4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</row>
    <row r="747" spans="1:26" ht="14.4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</row>
    <row r="748" spans="1:26" ht="14.4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</row>
    <row r="749" spans="1:26" ht="14.4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</row>
    <row r="750" spans="1:26" ht="14.4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</row>
    <row r="751" spans="1:26" ht="14.4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</row>
    <row r="752" spans="1:26" ht="14.4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</row>
    <row r="753" spans="1:26" ht="14.4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</row>
    <row r="754" spans="1:26" ht="14.4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</row>
    <row r="755" spans="1:26" ht="14.4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</row>
    <row r="756" spans="1:26" ht="14.4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</row>
    <row r="757" spans="1:26" ht="14.4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</row>
    <row r="758" spans="1:26" ht="14.4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</row>
    <row r="759" spans="1:26" ht="14.4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</row>
    <row r="760" spans="1:26" ht="14.4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</row>
    <row r="761" spans="1:26" ht="14.4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</row>
    <row r="762" spans="1:26" ht="14.4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</row>
    <row r="763" spans="1:26" ht="14.4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</row>
    <row r="764" spans="1:26" ht="14.4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</row>
    <row r="765" spans="1:26" ht="14.4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</row>
    <row r="766" spans="1:26" ht="14.4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</row>
    <row r="767" spans="1:26" ht="14.4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</row>
    <row r="768" spans="1:26" ht="14.4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</row>
    <row r="769" spans="1:26" ht="14.4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</row>
    <row r="770" spans="1:26" ht="14.4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</row>
    <row r="771" spans="1:26" ht="14.4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</row>
    <row r="772" spans="1:26" ht="14.4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</row>
    <row r="773" spans="1:26" ht="14.4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</row>
    <row r="774" spans="1:26" ht="14.4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</row>
    <row r="775" spans="1:26" ht="14.4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</row>
    <row r="776" spans="1:26" ht="14.4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</row>
    <row r="777" spans="1:26" ht="14.4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</row>
    <row r="778" spans="1:26" ht="14.4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</row>
    <row r="779" spans="1:26" ht="14.4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</row>
    <row r="780" spans="1:26" ht="14.4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</row>
    <row r="781" spans="1:26" ht="14.4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</row>
    <row r="782" spans="1:26" ht="14.4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</row>
    <row r="783" spans="1:26" ht="14.4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</row>
    <row r="784" spans="1:26" ht="14.4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</row>
    <row r="785" spans="1:26" ht="14.4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</row>
    <row r="786" spans="1:26" ht="14.4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</row>
    <row r="787" spans="1:26" ht="14.4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</row>
    <row r="788" spans="1:26" ht="14.4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</row>
    <row r="789" spans="1:26" ht="14.4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</row>
    <row r="790" spans="1:26" ht="14.4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</row>
    <row r="791" spans="1:26" ht="14.4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</row>
    <row r="792" spans="1:26" ht="14.4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</row>
    <row r="793" spans="1:26" ht="14.4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</row>
    <row r="794" spans="1:26" ht="14.4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</row>
    <row r="795" spans="1:26" ht="14.4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</row>
    <row r="796" spans="1:26" ht="14.4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</row>
    <row r="797" spans="1:26" ht="14.4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</row>
    <row r="798" spans="1:26" ht="14.4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</row>
    <row r="799" spans="1:26" ht="14.4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</row>
    <row r="800" spans="1:26" ht="14.4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</row>
    <row r="801" spans="1:26" ht="14.4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</row>
    <row r="802" spans="1:26" ht="14.4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</row>
    <row r="803" spans="1:26" ht="14.4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</row>
    <row r="804" spans="1:26" ht="14.4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</row>
    <row r="805" spans="1:26" ht="14.4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</row>
    <row r="806" spans="1:26" ht="14.4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</row>
    <row r="807" spans="1:26" ht="14.4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</row>
    <row r="808" spans="1:26" ht="14.4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</row>
    <row r="809" spans="1:26" ht="14.4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</row>
    <row r="810" spans="1:26" ht="14.4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</row>
    <row r="811" spans="1:26" ht="14.4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</row>
    <row r="812" spans="1:26" ht="14.4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</row>
    <row r="813" spans="1:26" ht="14.4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</row>
    <row r="814" spans="1:26" ht="14.4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</row>
    <row r="815" spans="1:26" ht="14.4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</row>
    <row r="816" spans="1:26" ht="14.4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</row>
    <row r="817" spans="1:26" ht="14.4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</row>
    <row r="818" spans="1:26" ht="14.4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</row>
    <row r="819" spans="1:26" ht="14.4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</row>
    <row r="820" spans="1:26" ht="14.4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</row>
    <row r="821" spans="1:26" ht="14.4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</row>
    <row r="822" spans="1:26" ht="14.4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</row>
    <row r="823" spans="1:26" ht="14.4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</row>
    <row r="824" spans="1:26" ht="14.4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</row>
    <row r="825" spans="1:26" ht="14.4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</row>
    <row r="826" spans="1:26" ht="14.4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</row>
    <row r="827" spans="1:26" ht="14.4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</row>
    <row r="828" spans="1:26" ht="14.4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</row>
    <row r="829" spans="1:26" ht="14.4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</row>
    <row r="830" spans="1:26" ht="14.4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</row>
    <row r="831" spans="1:26" ht="14.4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</row>
    <row r="832" spans="1:26" ht="14.4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</row>
    <row r="833" spans="1:26" ht="14.4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</row>
    <row r="834" spans="1:26" ht="14.4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</row>
    <row r="835" spans="1:26" ht="14.4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</row>
    <row r="836" spans="1:26" ht="14.4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</row>
    <row r="837" spans="1:26" ht="14.4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</row>
    <row r="838" spans="1:26" ht="14.4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</row>
    <row r="839" spans="1:26" ht="14.4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</row>
    <row r="840" spans="1:26" ht="14.4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</row>
    <row r="841" spans="1:26" ht="14.4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</row>
    <row r="842" spans="1:26" ht="14.4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</row>
    <row r="843" spans="1:26" ht="14.4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</row>
    <row r="844" spans="1:26" ht="14.4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</row>
    <row r="845" spans="1:26" ht="14.4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</row>
    <row r="846" spans="1:26" ht="14.4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</row>
    <row r="847" spans="1:26" ht="14.4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</row>
    <row r="848" spans="1:26" ht="14.4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</row>
    <row r="849" spans="1:26" ht="14.4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</row>
    <row r="850" spans="1:26" ht="14.4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</row>
    <row r="851" spans="1:26" ht="14.4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</row>
    <row r="852" spans="1:26" ht="14.4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</row>
    <row r="853" spans="1:26" ht="14.4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</row>
    <row r="854" spans="1:26" ht="14.4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</row>
    <row r="855" spans="1:26" ht="14.4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</row>
    <row r="856" spans="1:26" ht="14.4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</row>
    <row r="857" spans="1:26" ht="14.4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</row>
    <row r="858" spans="1:26" ht="14.4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</row>
    <row r="859" spans="1:26" ht="14.4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</row>
    <row r="860" spans="1:26" ht="14.4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</row>
    <row r="861" spans="1:26" ht="14.4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</row>
    <row r="862" spans="1:26" ht="14.4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</row>
    <row r="863" spans="1:26" ht="14.4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</row>
    <row r="864" spans="1:26" ht="14.4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</row>
    <row r="865" spans="1:26" ht="14.4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</row>
    <row r="866" spans="1:26" ht="14.4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</row>
    <row r="867" spans="1:26" ht="14.4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</row>
    <row r="868" spans="1:26" ht="14.4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</row>
    <row r="869" spans="1:26" ht="14.4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</row>
    <row r="870" spans="1:26" ht="14.4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</row>
    <row r="871" spans="1:26" ht="14.4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</row>
    <row r="872" spans="1:26" ht="14.4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</row>
    <row r="873" spans="1:26" ht="14.4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</row>
    <row r="874" spans="1:26" ht="14.4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</row>
    <row r="875" spans="1:26" ht="14.4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</row>
    <row r="876" spans="1:26" ht="14.4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</row>
    <row r="877" spans="1:26" ht="14.4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</row>
    <row r="878" spans="1:26" ht="14.4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</row>
    <row r="879" spans="1:26" ht="14.4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</row>
    <row r="880" spans="1:26" ht="14.4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</row>
    <row r="881" spans="1:26" ht="14.4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</row>
    <row r="882" spans="1:26" ht="14.4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</row>
    <row r="883" spans="1:26" ht="14.4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</row>
    <row r="884" spans="1:26" ht="14.4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</row>
    <row r="885" spans="1:26" ht="14.4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</row>
    <row r="886" spans="1:26" ht="14.4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</row>
    <row r="887" spans="1:26" ht="14.4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</row>
    <row r="888" spans="1:26" ht="14.4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</row>
    <row r="889" spans="1:26" ht="14.4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</row>
    <row r="890" spans="1:26" ht="14.4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</row>
    <row r="891" spans="1:26" ht="14.4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</row>
    <row r="892" spans="1:26" ht="14.4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</row>
    <row r="893" spans="1:26" ht="14.4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</row>
    <row r="894" spans="1:26" ht="14.4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</row>
    <row r="895" spans="1:26" ht="14.4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</row>
    <row r="896" spans="1:26" ht="14.4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</row>
    <row r="897" spans="1:26" ht="14.4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</row>
    <row r="898" spans="1:26" ht="14.4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</row>
    <row r="899" spans="1:26" ht="14.4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</row>
    <row r="900" spans="1:26" ht="14.4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</row>
    <row r="901" spans="1:26" ht="14.4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</row>
    <row r="902" spans="1:26" ht="14.4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</row>
    <row r="903" spans="1:26" ht="14.4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</row>
    <row r="904" spans="1:26" ht="14.4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</row>
    <row r="905" spans="1:26" ht="14.4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</row>
    <row r="906" spans="1:26" ht="14.4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</row>
    <row r="907" spans="1:26" ht="14.4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</row>
    <row r="908" spans="1:26" ht="14.4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</row>
    <row r="909" spans="1:26" ht="14.4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</row>
    <row r="910" spans="1:26" ht="14.4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</row>
    <row r="911" spans="1:26" ht="14.4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</row>
    <row r="912" spans="1:26" ht="14.4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</row>
    <row r="913" spans="1:26" ht="14.4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</row>
    <row r="914" spans="1:26" ht="14.4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</row>
    <row r="915" spans="1:26" ht="14.4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</row>
    <row r="916" spans="1:26" ht="14.4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</row>
    <row r="917" spans="1:26" ht="14.4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</row>
    <row r="918" spans="1:26" ht="14.4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</row>
    <row r="919" spans="1:26" ht="14.4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</row>
    <row r="920" spans="1:26" ht="14.4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</row>
    <row r="921" spans="1:26" ht="14.4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</row>
    <row r="922" spans="1:26" ht="14.4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</row>
    <row r="923" spans="1:26" ht="14.4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</row>
    <row r="924" spans="1:26" ht="14.4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</row>
    <row r="925" spans="1:26" ht="14.4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</row>
    <row r="926" spans="1:26" ht="14.4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</row>
    <row r="927" spans="1:26" ht="14.4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</row>
    <row r="928" spans="1:26" ht="14.4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</row>
    <row r="929" spans="1:26" ht="14.4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</row>
    <row r="930" spans="1:26" ht="14.4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</row>
    <row r="931" spans="1:26" ht="14.4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</row>
    <row r="932" spans="1:26" ht="14.4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</row>
    <row r="933" spans="1:26" ht="14.4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</row>
    <row r="934" spans="1:26" ht="14.4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</row>
    <row r="935" spans="1:26" ht="14.4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</row>
    <row r="936" spans="1:26" ht="14.4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</row>
    <row r="937" spans="1:26" ht="14.4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</row>
    <row r="938" spans="1:26" ht="14.4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</row>
    <row r="939" spans="1:26" ht="14.4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  <c r="Z939" s="119"/>
    </row>
    <row r="940" spans="1:26" ht="14.4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</row>
    <row r="941" spans="1:26" ht="14.4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</row>
    <row r="942" spans="1:26" ht="14.4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</row>
    <row r="943" spans="1:26" ht="14.4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</row>
    <row r="944" spans="1:26" ht="14.4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</row>
    <row r="945" spans="1:26" ht="14.4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</row>
    <row r="946" spans="1:26" ht="14.4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</row>
    <row r="947" spans="1:26" ht="14.4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</row>
    <row r="948" spans="1:26" ht="14.4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  <c r="Z948" s="119"/>
    </row>
    <row r="949" spans="1:26" ht="14.4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  <c r="Z949" s="119"/>
    </row>
    <row r="950" spans="1:26" ht="14.4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  <c r="Z950" s="119"/>
    </row>
    <row r="951" spans="1:26" ht="14.4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119"/>
      <c r="U951" s="119"/>
      <c r="V951" s="119"/>
      <c r="W951" s="119"/>
      <c r="X951" s="119"/>
      <c r="Y951" s="119"/>
      <c r="Z951" s="119"/>
    </row>
    <row r="952" spans="1:26" ht="14.4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T952" s="119"/>
      <c r="U952" s="119"/>
      <c r="V952" s="119"/>
      <c r="W952" s="119"/>
      <c r="X952" s="119"/>
      <c r="Y952" s="119"/>
      <c r="Z952" s="119"/>
    </row>
    <row r="953" spans="1:26" ht="14.4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  <c r="Z953" s="119"/>
    </row>
    <row r="954" spans="1:26" ht="14.4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  <c r="Z954" s="119"/>
    </row>
    <row r="955" spans="1:26" ht="14.4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T955" s="119"/>
      <c r="U955" s="119"/>
      <c r="V955" s="119"/>
      <c r="W955" s="119"/>
      <c r="X955" s="119"/>
      <c r="Y955" s="119"/>
      <c r="Z955" s="119"/>
    </row>
    <row r="956" spans="1:26" ht="14.4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T956" s="119"/>
      <c r="U956" s="119"/>
      <c r="V956" s="119"/>
      <c r="W956" s="119"/>
      <c r="X956" s="119"/>
      <c r="Y956" s="119"/>
      <c r="Z956" s="119"/>
    </row>
    <row r="957" spans="1:26" ht="14.4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  <c r="Z957" s="119"/>
    </row>
    <row r="958" spans="1:26" ht="14.4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119"/>
      <c r="U958" s="119"/>
      <c r="V958" s="119"/>
      <c r="W958" s="119"/>
      <c r="X958" s="119"/>
      <c r="Y958" s="119"/>
      <c r="Z958" s="119"/>
    </row>
    <row r="959" spans="1:26" ht="14.4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  <c r="Z959" s="119"/>
    </row>
    <row r="960" spans="1:26" ht="14.4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  <c r="Z960" s="119"/>
    </row>
    <row r="961" spans="1:26" ht="14.4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  <c r="Z961" s="119"/>
    </row>
    <row r="962" spans="1:26" ht="14.4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  <c r="Z962" s="119"/>
    </row>
    <row r="963" spans="1:26" ht="14.4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  <c r="Z963" s="119"/>
    </row>
    <row r="964" spans="1:26" ht="14.4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  <c r="Z964" s="119"/>
    </row>
    <row r="965" spans="1:26" ht="14.4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  <c r="Z965" s="119"/>
    </row>
    <row r="966" spans="1:26" ht="14.4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T966" s="119"/>
      <c r="U966" s="119"/>
      <c r="V966" s="119"/>
      <c r="W966" s="119"/>
      <c r="X966" s="119"/>
      <c r="Y966" s="119"/>
      <c r="Z966" s="119"/>
    </row>
    <row r="967" spans="1:26" ht="14.4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  <c r="Z967" s="119"/>
    </row>
    <row r="968" spans="1:26" ht="14.4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  <c r="Z968" s="119"/>
    </row>
    <row r="969" spans="1:26" ht="14.4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</row>
    <row r="970" spans="1:26" ht="14.4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  <c r="Z970" s="119"/>
    </row>
    <row r="971" spans="1:26" ht="14.4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  <c r="Y971" s="119"/>
      <c r="Z971" s="119"/>
    </row>
    <row r="972" spans="1:26" ht="14.4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  <c r="Z972" s="119"/>
    </row>
    <row r="973" spans="1:26" ht="14.4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  <c r="Z973" s="119"/>
    </row>
    <row r="974" spans="1:26" ht="14.4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  <c r="Z974" s="119"/>
    </row>
    <row r="975" spans="1:26" ht="14.4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T975" s="119"/>
      <c r="U975" s="119"/>
      <c r="V975" s="119"/>
      <c r="W975" s="119"/>
      <c r="X975" s="119"/>
      <c r="Y975" s="119"/>
      <c r="Z975" s="119"/>
    </row>
    <row r="976" spans="1:26" ht="14.4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T976" s="119"/>
      <c r="U976" s="119"/>
      <c r="V976" s="119"/>
      <c r="W976" s="119"/>
      <c r="X976" s="119"/>
      <c r="Y976" s="119"/>
      <c r="Z976" s="119"/>
    </row>
    <row r="977" spans="1:26" ht="14.4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  <c r="Z977" s="119"/>
    </row>
    <row r="978" spans="1:26" ht="14.4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  <c r="Z978" s="119"/>
    </row>
    <row r="979" spans="1:26" ht="14.4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T979" s="119"/>
      <c r="U979" s="119"/>
      <c r="V979" s="119"/>
      <c r="W979" s="119"/>
      <c r="X979" s="119"/>
      <c r="Y979" s="119"/>
      <c r="Z979" s="119"/>
    </row>
    <row r="980" spans="1:26" ht="14.4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  <c r="Z980" s="119"/>
    </row>
    <row r="981" spans="1:26" ht="14.4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  <c r="Z981" s="119"/>
    </row>
    <row r="982" spans="1:26" ht="14.4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  <c r="Z982" s="119"/>
    </row>
    <row r="983" spans="1:26" ht="14.4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T983" s="119"/>
      <c r="U983" s="119"/>
      <c r="V983" s="119"/>
      <c r="W983" s="119"/>
      <c r="X983" s="119"/>
      <c r="Y983" s="119"/>
      <c r="Z983" s="119"/>
    </row>
    <row r="984" spans="1:26" ht="14.4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  <c r="Z984" s="119"/>
    </row>
    <row r="985" spans="1:26" ht="14.4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T985" s="119"/>
      <c r="U985" s="119"/>
      <c r="V985" s="119"/>
      <c r="W985" s="119"/>
      <c r="X985" s="119"/>
      <c r="Y985" s="119"/>
      <c r="Z985" s="119"/>
    </row>
    <row r="986" spans="1:26" ht="14.4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T986" s="119"/>
      <c r="U986" s="119"/>
      <c r="V986" s="119"/>
      <c r="W986" s="119"/>
      <c r="X986" s="119"/>
      <c r="Y986" s="119"/>
      <c r="Z986" s="119"/>
    </row>
    <row r="987" spans="1:26" ht="14.4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T987" s="119"/>
      <c r="U987" s="119"/>
      <c r="V987" s="119"/>
      <c r="W987" s="119"/>
      <c r="X987" s="119"/>
      <c r="Y987" s="119"/>
      <c r="Z987" s="119"/>
    </row>
    <row r="988" spans="1:26" ht="14.4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  <c r="Z988" s="119"/>
    </row>
    <row r="989" spans="1:26" ht="14.4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T989" s="119"/>
      <c r="U989" s="119"/>
      <c r="V989" s="119"/>
      <c r="W989" s="119"/>
      <c r="X989" s="119"/>
      <c r="Y989" s="119"/>
      <c r="Z989" s="119"/>
    </row>
    <row r="990" spans="1:26" ht="14.4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T990" s="119"/>
      <c r="U990" s="119"/>
      <c r="V990" s="119"/>
      <c r="W990" s="119"/>
      <c r="X990" s="119"/>
      <c r="Y990" s="119"/>
      <c r="Z990" s="119"/>
    </row>
    <row r="991" spans="1:26" ht="14.4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T991" s="119"/>
      <c r="U991" s="119"/>
      <c r="V991" s="119"/>
      <c r="W991" s="119"/>
      <c r="X991" s="119"/>
      <c r="Y991" s="119"/>
      <c r="Z991" s="119"/>
    </row>
    <row r="992" spans="1:26" ht="14.4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T992" s="119"/>
      <c r="U992" s="119"/>
      <c r="V992" s="119"/>
      <c r="W992" s="119"/>
      <c r="X992" s="119"/>
      <c r="Y992" s="119"/>
      <c r="Z992" s="119"/>
    </row>
    <row r="993" spans="1:26" ht="14.4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T993" s="119"/>
      <c r="U993" s="119"/>
      <c r="V993" s="119"/>
      <c r="W993" s="119"/>
      <c r="X993" s="119"/>
      <c r="Y993" s="119"/>
      <c r="Z993" s="119"/>
    </row>
    <row r="994" spans="1:26" ht="14.4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T994" s="119"/>
      <c r="U994" s="119"/>
      <c r="V994" s="119"/>
      <c r="W994" s="119"/>
      <c r="X994" s="119"/>
      <c r="Y994" s="119"/>
      <c r="Z994" s="119"/>
    </row>
    <row r="995" spans="1:26" ht="14.4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  <c r="Z995" s="119"/>
    </row>
    <row r="996" spans="1:26" ht="14.4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T996" s="119"/>
      <c r="U996" s="119"/>
      <c r="V996" s="119"/>
      <c r="W996" s="119"/>
      <c r="X996" s="119"/>
      <c r="Y996" s="119"/>
      <c r="Z996" s="119"/>
    </row>
    <row r="997" spans="1:26" ht="14.4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  <c r="Z997" s="119"/>
    </row>
    <row r="998" spans="1:26" ht="14.4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T998" s="119"/>
      <c r="U998" s="119"/>
      <c r="V998" s="119"/>
      <c r="W998" s="119"/>
      <c r="X998" s="119"/>
      <c r="Y998" s="119"/>
      <c r="Z998" s="119"/>
    </row>
    <row r="999" spans="1:26" ht="14.4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T999" s="119"/>
      <c r="U999" s="119"/>
      <c r="V999" s="119"/>
      <c r="W999" s="119"/>
      <c r="X999" s="119"/>
      <c r="Y999" s="119"/>
      <c r="Z999" s="119"/>
    </row>
    <row r="1000" spans="1:26" ht="14.4">
      <c r="A1000" s="119"/>
      <c r="B1000" s="119"/>
      <c r="C1000" s="119"/>
      <c r="D1000" s="119"/>
      <c r="E1000" s="119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19"/>
      <c r="T1000" s="119"/>
      <c r="U1000" s="119"/>
      <c r="V1000" s="119"/>
      <c r="W1000" s="119"/>
      <c r="X1000" s="119"/>
      <c r="Y1000" s="119"/>
      <c r="Z1000" s="119"/>
    </row>
    <row r="1001" spans="1:26" ht="14.4">
      <c r="A1001" s="119"/>
      <c r="B1001" s="119"/>
      <c r="C1001" s="119"/>
      <c r="D1001" s="119"/>
      <c r="E1001" s="119"/>
      <c r="F1001" s="119"/>
      <c r="G1001" s="119"/>
      <c r="H1001" s="119"/>
      <c r="I1001" s="119"/>
      <c r="J1001" s="119"/>
      <c r="K1001" s="119"/>
      <c r="L1001" s="119"/>
      <c r="M1001" s="119"/>
      <c r="N1001" s="119"/>
      <c r="O1001" s="119"/>
      <c r="P1001" s="119"/>
      <c r="Q1001" s="119"/>
      <c r="R1001" s="119"/>
      <c r="S1001" s="119"/>
      <c r="T1001" s="119"/>
      <c r="U1001" s="119"/>
      <c r="V1001" s="119"/>
      <c r="W1001" s="119"/>
      <c r="X1001" s="119"/>
      <c r="Y1001" s="119"/>
      <c r="Z1001" s="119"/>
    </row>
    <row r="1002" spans="1:26" ht="14.4">
      <c r="A1002" s="119"/>
      <c r="B1002" s="119"/>
      <c r="C1002" s="119"/>
      <c r="D1002" s="119"/>
      <c r="E1002" s="119"/>
      <c r="F1002" s="119"/>
      <c r="G1002" s="119"/>
      <c r="H1002" s="119"/>
      <c r="I1002" s="119"/>
      <c r="J1002" s="119"/>
      <c r="K1002" s="119"/>
      <c r="L1002" s="119"/>
      <c r="M1002" s="119"/>
      <c r="N1002" s="119"/>
      <c r="O1002" s="119"/>
      <c r="P1002" s="119"/>
      <c r="Q1002" s="119"/>
      <c r="R1002" s="119"/>
      <c r="S1002" s="119"/>
      <c r="T1002" s="119"/>
      <c r="U1002" s="119"/>
      <c r="V1002" s="119"/>
      <c r="W1002" s="119"/>
      <c r="X1002" s="119"/>
      <c r="Y1002" s="119"/>
      <c r="Z1002" s="119"/>
    </row>
    <row r="1003" spans="1:26" ht="14.4">
      <c r="A1003" s="119"/>
      <c r="B1003" s="119"/>
      <c r="C1003" s="119"/>
      <c r="D1003" s="119"/>
      <c r="E1003" s="119"/>
      <c r="F1003" s="119"/>
      <c r="G1003" s="119"/>
      <c r="H1003" s="119"/>
      <c r="I1003" s="119"/>
      <c r="J1003" s="119"/>
      <c r="K1003" s="119"/>
      <c r="L1003" s="119"/>
      <c r="M1003" s="119"/>
      <c r="N1003" s="119"/>
      <c r="O1003" s="119"/>
      <c r="P1003" s="119"/>
      <c r="Q1003" s="119"/>
      <c r="R1003" s="119"/>
      <c r="S1003" s="119"/>
      <c r="T1003" s="119"/>
      <c r="U1003" s="119"/>
      <c r="V1003" s="119"/>
      <c r="W1003" s="119"/>
      <c r="X1003" s="119"/>
      <c r="Y1003" s="119"/>
      <c r="Z1003" s="119"/>
    </row>
  </sheetData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P1000"/>
  <sheetViews>
    <sheetView workbookViewId="0"/>
  </sheetViews>
  <sheetFormatPr defaultColWidth="14.44140625" defaultRowHeight="15" customHeight="1"/>
  <cols>
    <col min="1" max="26" width="8.6640625" customWidth="1"/>
  </cols>
  <sheetData>
    <row r="3" spans="3:16" ht="14.4">
      <c r="C3" s="11"/>
      <c r="D3" s="11">
        <v>2020</v>
      </c>
      <c r="E3" s="11">
        <v>2019</v>
      </c>
      <c r="F3" s="11">
        <v>2018</v>
      </c>
      <c r="G3" s="11">
        <v>2017</v>
      </c>
      <c r="H3" s="11">
        <v>2016</v>
      </c>
      <c r="I3" s="11">
        <v>2015</v>
      </c>
      <c r="J3" s="11">
        <v>2014</v>
      </c>
      <c r="K3" s="1" t="s">
        <v>185</v>
      </c>
    </row>
    <row r="4" spans="3:16" ht="14.4">
      <c r="C4" s="11" t="s">
        <v>7</v>
      </c>
      <c r="D4" s="11">
        <v>515150</v>
      </c>
      <c r="E4" s="11">
        <v>456113</v>
      </c>
      <c r="F4" s="11">
        <v>417993</v>
      </c>
      <c r="G4" s="11">
        <v>335854</v>
      </c>
      <c r="H4" s="11">
        <v>184358</v>
      </c>
      <c r="I4" s="11">
        <v>151839</v>
      </c>
      <c r="J4" s="11">
        <v>146801</v>
      </c>
      <c r="K4" s="22">
        <f t="shared" ref="K4:K5" si="0">(E4/J4)^(1/5)-1</f>
        <v>0.25449428540543129</v>
      </c>
      <c r="L4" s="22"/>
    </row>
    <row r="5" spans="3:16" ht="14.4">
      <c r="C5" s="11" t="s">
        <v>197</v>
      </c>
      <c r="D5" s="11">
        <v>-2783</v>
      </c>
      <c r="E5" s="11">
        <v>27576</v>
      </c>
      <c r="F5" s="11">
        <v>32335</v>
      </c>
      <c r="G5" s="11">
        <v>31276</v>
      </c>
      <c r="H5" s="11">
        <v>28484</v>
      </c>
      <c r="I5" s="11">
        <v>26937</v>
      </c>
      <c r="J5" s="11">
        <v>22532</v>
      </c>
      <c r="K5" s="22">
        <f t="shared" si="0"/>
        <v>4.1229120166276889E-2</v>
      </c>
      <c r="L5" s="22"/>
      <c r="P5" s="22"/>
    </row>
    <row r="6" spans="3:16" ht="14.4">
      <c r="C6" s="11" t="s">
        <v>17</v>
      </c>
      <c r="D6" s="11">
        <v>-1.06</v>
      </c>
      <c r="E6" s="11">
        <v>15.72</v>
      </c>
      <c r="F6" s="11">
        <v>18.64</v>
      </c>
      <c r="G6" s="11"/>
      <c r="H6" s="11"/>
      <c r="I6" s="11"/>
      <c r="J6" s="11"/>
      <c r="P6" s="122"/>
    </row>
    <row r="7" spans="3:16" ht="14.4">
      <c r="C7" s="11" t="s">
        <v>9</v>
      </c>
      <c r="D7" s="11">
        <v>8772</v>
      </c>
      <c r="E7" s="11">
        <v>8772</v>
      </c>
      <c r="F7" s="11">
        <f>4386*2</f>
        <v>8772</v>
      </c>
      <c r="G7" s="11"/>
      <c r="H7" s="11"/>
      <c r="I7" s="11"/>
      <c r="J7" s="11"/>
    </row>
    <row r="8" spans="3:16" ht="14.4">
      <c r="C8" s="11" t="s">
        <v>198</v>
      </c>
      <c r="D8" s="11"/>
      <c r="E8" s="11"/>
      <c r="F8" s="11">
        <v>123</v>
      </c>
      <c r="G8" s="11"/>
      <c r="H8" s="11"/>
      <c r="I8" s="11"/>
      <c r="J8" s="11"/>
    </row>
    <row r="9" spans="3:16" ht="14.4">
      <c r="C9" s="11" t="s">
        <v>20</v>
      </c>
      <c r="D9" s="129">
        <f t="shared" ref="D9:J9" si="1">(100*D5)/D4</f>
        <v>-0.54023100067941376</v>
      </c>
      <c r="E9" s="129">
        <f t="shared" si="1"/>
        <v>6.0458702119869416</v>
      </c>
      <c r="F9" s="129">
        <f t="shared" si="1"/>
        <v>7.7357754794936762</v>
      </c>
      <c r="G9" s="129">
        <f t="shared" si="1"/>
        <v>9.3123797840728404</v>
      </c>
      <c r="H9" s="129">
        <f t="shared" si="1"/>
        <v>15.45037372937437</v>
      </c>
      <c r="I9" s="129">
        <f t="shared" si="1"/>
        <v>17.740501452196074</v>
      </c>
      <c r="J9" s="129">
        <f t="shared" si="1"/>
        <v>15.348669286993958</v>
      </c>
    </row>
    <row r="11" spans="3:16" ht="14.4">
      <c r="C11" s="11" t="s">
        <v>199</v>
      </c>
      <c r="D11" s="11" t="s">
        <v>181</v>
      </c>
      <c r="E11" s="11" t="s">
        <v>182</v>
      </c>
      <c r="F11" s="11" t="s">
        <v>185</v>
      </c>
    </row>
    <row r="12" spans="3:16" ht="14.4">
      <c r="C12" s="11" t="s">
        <v>200</v>
      </c>
      <c r="D12" s="11">
        <v>422295</v>
      </c>
      <c r="E12" s="11">
        <v>371423</v>
      </c>
      <c r="F12" s="15">
        <f t="shared" ref="F12:F14" si="2">(D12/E12)^(1/1)-1</f>
        <v>0.13696513140004796</v>
      </c>
    </row>
    <row r="13" spans="3:16" ht="14.4">
      <c r="C13" s="11" t="s">
        <v>201</v>
      </c>
      <c r="D13" s="11">
        <v>234253</v>
      </c>
      <c r="E13" s="11">
        <v>225450</v>
      </c>
      <c r="F13" s="15">
        <f t="shared" si="2"/>
        <v>3.9046351740962493E-2</v>
      </c>
    </row>
    <row r="14" spans="3:16" ht="14.4">
      <c r="C14" s="11" t="s">
        <v>202</v>
      </c>
      <c r="D14" s="11">
        <v>427961</v>
      </c>
      <c r="E14" s="11">
        <v>354657</v>
      </c>
      <c r="F14" s="15">
        <f t="shared" si="2"/>
        <v>0.20668984399010881</v>
      </c>
    </row>
    <row r="15" spans="3:16" ht="14.4">
      <c r="C15" s="11" t="s">
        <v>203</v>
      </c>
      <c r="D15" s="11">
        <v>-14961</v>
      </c>
      <c r="E15" s="11">
        <v>18687</v>
      </c>
      <c r="F15" s="130">
        <v>-4.09</v>
      </c>
    </row>
    <row r="16" spans="3:16" ht="14.4">
      <c r="C16" s="11" t="s">
        <v>188</v>
      </c>
      <c r="D16" s="11">
        <v>-8.5299999999999994</v>
      </c>
      <c r="E16" s="11">
        <v>10.65</v>
      </c>
      <c r="F16" s="15">
        <f t="shared" ref="F16:F17" si="3">(D16/E16)^(1/1)-1</f>
        <v>-1.8009389671361502</v>
      </c>
    </row>
    <row r="17" spans="3:6" ht="14.4">
      <c r="C17" s="11" t="s">
        <v>189</v>
      </c>
      <c r="D17" s="131">
        <f t="shared" ref="D17:E17" si="4">(100*D15)/D12</f>
        <v>-3.5427840727453557</v>
      </c>
      <c r="E17" s="131">
        <f t="shared" si="4"/>
        <v>5.0311908524781721</v>
      </c>
      <c r="F17" s="15">
        <f t="shared" si="3"/>
        <v>-1.7041641187195902</v>
      </c>
    </row>
    <row r="18" spans="3:6" ht="14.4">
      <c r="C18" s="11" t="s">
        <v>204</v>
      </c>
      <c r="D18" s="11">
        <v>6.75</v>
      </c>
      <c r="E18" s="11"/>
      <c r="F18" s="11"/>
    </row>
    <row r="19" spans="3:6" ht="14.4">
      <c r="C19" s="11" t="s">
        <v>205</v>
      </c>
      <c r="D19" s="11">
        <v>4.3899999999999997</v>
      </c>
      <c r="E19" s="11">
        <v>3.06</v>
      </c>
      <c r="F19" s="11"/>
    </row>
    <row r="21" spans="3:6" ht="15.75" customHeight="1"/>
    <row r="22" spans="3:6" ht="15.75" customHeight="1"/>
    <row r="23" spans="3:6" ht="15.75" customHeight="1"/>
    <row r="24" spans="3:6" ht="15.75" customHeight="1"/>
    <row r="25" spans="3:6" ht="15.75" customHeight="1"/>
    <row r="26" spans="3:6" ht="15.75" customHeight="1"/>
    <row r="27" spans="3:6" ht="15.75" customHeight="1"/>
    <row r="28" spans="3:6" ht="15.75" customHeight="1"/>
    <row r="29" spans="3:6" ht="15.75" customHeight="1"/>
    <row r="30" spans="3:6" ht="15.75" customHeight="1"/>
    <row r="31" spans="3:6" ht="15.75" customHeight="1"/>
    <row r="32" spans="3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997"/>
  <sheetViews>
    <sheetView showGridLines="0" workbookViewId="0"/>
  </sheetViews>
  <sheetFormatPr defaultColWidth="14.44140625" defaultRowHeight="15" customHeight="1"/>
  <cols>
    <col min="1" max="1" width="8.6640625" customWidth="1"/>
    <col min="2" max="2" width="13.33203125" customWidth="1"/>
    <col min="3" max="3" width="10.6640625" customWidth="1"/>
    <col min="4" max="4" width="14.88671875" customWidth="1"/>
    <col min="5" max="5" width="16.6640625" customWidth="1"/>
    <col min="6" max="6" width="14.5546875" customWidth="1"/>
    <col min="7" max="7" width="15.88671875" customWidth="1"/>
    <col min="8" max="8" width="11.109375" customWidth="1"/>
    <col min="9" max="9" width="8.6640625" customWidth="1"/>
    <col min="10" max="11" width="11.33203125" customWidth="1"/>
    <col min="12" max="12" width="11.88671875" customWidth="1"/>
    <col min="13" max="13" width="13.33203125" customWidth="1"/>
    <col min="14" max="14" width="10.5546875" customWidth="1"/>
    <col min="15" max="15" width="15" customWidth="1"/>
    <col min="16" max="16" width="9.6640625" customWidth="1"/>
    <col min="17" max="17" width="9.88671875" customWidth="1"/>
    <col min="18" max="18" width="12.5546875" customWidth="1"/>
    <col min="19" max="19" width="8.44140625" customWidth="1"/>
    <col min="20" max="20" width="15" customWidth="1"/>
    <col min="21" max="21" width="13.44140625" customWidth="1"/>
    <col min="22" max="22" width="12.6640625" customWidth="1"/>
    <col min="23" max="34" width="8.6640625" customWidth="1"/>
  </cols>
  <sheetData>
    <row r="1" spans="1:22" ht="14.4">
      <c r="A1" s="172" t="s">
        <v>206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22" ht="1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2" ht="15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2" ht="14.4">
      <c r="B4" s="132" t="s">
        <v>60</v>
      </c>
      <c r="C4" s="28"/>
      <c r="I4" s="132" t="s">
        <v>207</v>
      </c>
      <c r="J4" s="1" t="s">
        <v>208</v>
      </c>
      <c r="P4" s="132" t="s">
        <v>209</v>
      </c>
      <c r="Q4" s="1" t="s">
        <v>208</v>
      </c>
    </row>
    <row r="5" spans="1:22" ht="14.4">
      <c r="A5" s="1"/>
      <c r="B5" s="132" t="s">
        <v>210</v>
      </c>
      <c r="C5" s="132" t="s">
        <v>194</v>
      </c>
      <c r="D5" s="132" t="s">
        <v>211</v>
      </c>
      <c r="E5" s="132" t="s">
        <v>212</v>
      </c>
      <c r="F5" s="132" t="s">
        <v>213</v>
      </c>
      <c r="G5" s="132" t="s">
        <v>214</v>
      </c>
      <c r="H5" s="132" t="s">
        <v>10</v>
      </c>
      <c r="I5" s="132" t="s">
        <v>215</v>
      </c>
      <c r="J5" s="132" t="s">
        <v>97</v>
      </c>
      <c r="K5" s="132" t="s">
        <v>216</v>
      </c>
      <c r="L5" s="132" t="s">
        <v>217</v>
      </c>
      <c r="M5" s="132" t="s">
        <v>218</v>
      </c>
      <c r="N5" s="132" t="s">
        <v>219</v>
      </c>
      <c r="O5" s="132" t="s">
        <v>220</v>
      </c>
      <c r="P5" s="132" t="s">
        <v>221</v>
      </c>
      <c r="Q5" s="132" t="s">
        <v>222</v>
      </c>
      <c r="R5" s="132" t="s">
        <v>223</v>
      </c>
      <c r="S5" s="132" t="s">
        <v>224</v>
      </c>
      <c r="T5" s="132" t="s">
        <v>225</v>
      </c>
      <c r="U5" s="132" t="s">
        <v>226</v>
      </c>
      <c r="V5" s="132" t="s">
        <v>227</v>
      </c>
    </row>
    <row r="6" spans="1:22" ht="15.6">
      <c r="A6" s="1"/>
      <c r="B6" s="49" t="s">
        <v>77</v>
      </c>
      <c r="C6" s="13">
        <f ca="1">IFERROR(__xludf.DUMMYFUNCTION("GOOGLEFINANCE(B6,""PRICE"")"),1407.3)</f>
        <v>1407.3</v>
      </c>
      <c r="D6" s="13">
        <f ca="1">IFERROR(__xludf.DUMMYFUNCTION("GOOGLEFINANCE(B6,""marketcap"")/10000000"),69389.8524862)</f>
        <v>69389.852486200005</v>
      </c>
      <c r="E6" s="133">
        <f t="shared" ref="E6:G6" si="0">D17</f>
        <v>25908.68</v>
      </c>
      <c r="F6" s="133">
        <f t="shared" si="0"/>
        <v>1528.61212</v>
      </c>
      <c r="G6" s="133">
        <f t="shared" si="0"/>
        <v>30.9848</v>
      </c>
      <c r="H6" s="48">
        <v>10</v>
      </c>
      <c r="I6" s="48">
        <v>491</v>
      </c>
      <c r="J6" s="48">
        <v>10297</v>
      </c>
      <c r="K6" s="48">
        <v>35</v>
      </c>
      <c r="L6" s="48">
        <v>162</v>
      </c>
      <c r="M6" s="48">
        <v>507</v>
      </c>
      <c r="N6" s="48">
        <v>11492</v>
      </c>
      <c r="O6" s="48">
        <v>35659</v>
      </c>
      <c r="P6" s="48">
        <v>10361</v>
      </c>
      <c r="Q6" s="48">
        <v>34544</v>
      </c>
      <c r="R6" s="48">
        <v>575</v>
      </c>
      <c r="S6" s="48">
        <v>298</v>
      </c>
      <c r="T6" s="48">
        <v>36927</v>
      </c>
      <c r="U6" s="48">
        <v>-34287</v>
      </c>
      <c r="V6" s="11">
        <f t="shared" ref="V6:V7" si="1">J6+I6</f>
        <v>10788</v>
      </c>
    </row>
    <row r="7" spans="1:22" ht="15.6">
      <c r="B7" s="49" t="s">
        <v>228</v>
      </c>
      <c r="C7" s="49">
        <v>1070</v>
      </c>
      <c r="D7" s="13">
        <f>(C7*(I6/H6))</f>
        <v>52537</v>
      </c>
      <c r="E7" s="133">
        <f t="shared" ref="E7:F7" si="2">D31</f>
        <v>21772</v>
      </c>
      <c r="F7" s="133">
        <f t="shared" si="2"/>
        <v>1729</v>
      </c>
      <c r="G7" s="133">
        <f>G31</f>
        <v>35.21</v>
      </c>
      <c r="H7" s="49">
        <v>10</v>
      </c>
      <c r="I7" s="49">
        <v>491</v>
      </c>
      <c r="J7" s="134">
        <v>9901</v>
      </c>
      <c r="K7" s="134">
        <v>255</v>
      </c>
      <c r="L7" s="134">
        <v>50</v>
      </c>
      <c r="M7" s="134">
        <v>162</v>
      </c>
      <c r="N7" s="134">
        <v>10641</v>
      </c>
      <c r="O7" s="134">
        <v>33067</v>
      </c>
      <c r="P7" s="134">
        <v>9858</v>
      </c>
      <c r="Q7" s="134">
        <v>33322</v>
      </c>
      <c r="R7" s="134">
        <v>564</v>
      </c>
      <c r="S7" s="134">
        <v>265</v>
      </c>
      <c r="T7" s="134">
        <v>35659</v>
      </c>
      <c r="U7" s="134">
        <v>-33369</v>
      </c>
      <c r="V7" s="11">
        <f t="shared" si="1"/>
        <v>10392</v>
      </c>
    </row>
    <row r="8" spans="1:22" ht="14.4">
      <c r="B8" s="135" t="s">
        <v>50</v>
      </c>
      <c r="C8" s="136">
        <f t="shared" ref="C8:V8" ca="1" si="3">(C6/C7)-1</f>
        <v>0.31523364485981298</v>
      </c>
      <c r="D8" s="136">
        <f t="shared" ca="1" si="3"/>
        <v>0.32078064004796625</v>
      </c>
      <c r="E8" s="136">
        <f t="shared" si="3"/>
        <v>0.18999999999999995</v>
      </c>
      <c r="F8" s="136">
        <f t="shared" si="3"/>
        <v>-0.11589813765182189</v>
      </c>
      <c r="G8" s="136">
        <f t="shared" si="3"/>
        <v>-0.12</v>
      </c>
      <c r="H8" s="136">
        <f t="shared" si="3"/>
        <v>0</v>
      </c>
      <c r="I8" s="136">
        <f t="shared" si="3"/>
        <v>0</v>
      </c>
      <c r="J8" s="136">
        <f t="shared" si="3"/>
        <v>3.9995960004040043E-2</v>
      </c>
      <c r="K8" s="136">
        <f t="shared" si="3"/>
        <v>-0.86274509803921573</v>
      </c>
      <c r="L8" s="136">
        <f t="shared" si="3"/>
        <v>2.2400000000000002</v>
      </c>
      <c r="M8" s="136">
        <f t="shared" si="3"/>
        <v>2.1296296296296298</v>
      </c>
      <c r="N8" s="136">
        <f t="shared" si="3"/>
        <v>7.997368668358229E-2</v>
      </c>
      <c r="O8" s="136">
        <f t="shared" si="3"/>
        <v>7.8386306589651289E-2</v>
      </c>
      <c r="P8" s="136">
        <f t="shared" si="3"/>
        <v>5.1024548589977625E-2</v>
      </c>
      <c r="Q8" s="136">
        <f t="shared" si="3"/>
        <v>3.6672468639337374E-2</v>
      </c>
      <c r="R8" s="136">
        <f t="shared" si="3"/>
        <v>1.9503546099290725E-2</v>
      </c>
      <c r="S8" s="136">
        <f t="shared" si="3"/>
        <v>0.12452830188679243</v>
      </c>
      <c r="T8" s="136">
        <f t="shared" si="3"/>
        <v>3.5559045402282718E-2</v>
      </c>
      <c r="U8" s="136">
        <f t="shared" si="3"/>
        <v>2.7510563696844459E-2</v>
      </c>
      <c r="V8" s="137">
        <f t="shared" si="3"/>
        <v>3.8106235565819935E-2</v>
      </c>
    </row>
    <row r="10" spans="1:22" ht="14.4">
      <c r="B10" s="132" t="s">
        <v>50</v>
      </c>
      <c r="D10" s="132" t="s">
        <v>88</v>
      </c>
      <c r="E10" s="1"/>
      <c r="F10" s="1"/>
      <c r="H10" s="132" t="s">
        <v>92</v>
      </c>
      <c r="J10" s="132" t="s">
        <v>229</v>
      </c>
      <c r="K10" s="132" t="s">
        <v>230</v>
      </c>
      <c r="L10" s="134"/>
      <c r="M10" s="134"/>
      <c r="N10" s="134"/>
      <c r="O10" s="134"/>
    </row>
    <row r="11" spans="1:22" ht="14.4">
      <c r="B11" s="132" t="s">
        <v>231</v>
      </c>
      <c r="C11" s="132" t="s">
        <v>142</v>
      </c>
      <c r="D11" s="132" t="s">
        <v>232</v>
      </c>
      <c r="E11" s="132" t="s">
        <v>87</v>
      </c>
      <c r="F11" s="132" t="s">
        <v>233</v>
      </c>
      <c r="G11" s="132" t="s">
        <v>86</v>
      </c>
      <c r="H11" s="132" t="s">
        <v>89</v>
      </c>
      <c r="I11" s="132" t="s">
        <v>234</v>
      </c>
      <c r="J11" s="132" t="s">
        <v>235</v>
      </c>
      <c r="K11" s="132" t="s">
        <v>236</v>
      </c>
      <c r="L11" s="132" t="s">
        <v>237</v>
      </c>
      <c r="M11" s="132" t="s">
        <v>238</v>
      </c>
      <c r="N11" s="132" t="s">
        <v>239</v>
      </c>
      <c r="O11" s="132" t="s">
        <v>240</v>
      </c>
      <c r="U11" s="1"/>
    </row>
    <row r="12" spans="1:22" ht="14.4">
      <c r="B12" s="138">
        <f>R31</f>
        <v>0.19746835443037969</v>
      </c>
      <c r="C12" s="27">
        <v>9.9000000000000005E-2</v>
      </c>
      <c r="D12" s="139">
        <f>P37</f>
        <v>5.8894593778314706E-2</v>
      </c>
      <c r="E12" s="138">
        <v>1.038</v>
      </c>
      <c r="F12" s="138">
        <v>0.1721</v>
      </c>
      <c r="G12" s="138">
        <v>0.74099999999999999</v>
      </c>
      <c r="H12" s="48" t="s">
        <v>241</v>
      </c>
      <c r="I12" s="133">
        <f>P38</f>
        <v>113</v>
      </c>
      <c r="J12" s="138">
        <f>F6/(J6+I6)</f>
        <v>0.14169559881349647</v>
      </c>
      <c r="K12" s="140">
        <f ca="1">C6/G6</f>
        <v>45.41904417649944</v>
      </c>
      <c r="L12" s="139">
        <f ca="1">G6/C6</f>
        <v>2.2017196049172173E-2</v>
      </c>
      <c r="M12" s="140">
        <v>220</v>
      </c>
      <c r="N12" s="140">
        <f ca="1">C6/M12</f>
        <v>6.3968181818181815</v>
      </c>
      <c r="O12" s="141">
        <f>S20</f>
        <v>3.3333333333333335</v>
      </c>
    </row>
    <row r="13" spans="1:22" ht="14.4">
      <c r="B13" s="1"/>
      <c r="C13" s="1"/>
      <c r="D13" s="1"/>
      <c r="E13" s="1"/>
      <c r="F13" s="1"/>
      <c r="G13" s="1"/>
    </row>
    <row r="14" spans="1:22" ht="14.4">
      <c r="B14" s="142" t="s">
        <v>242</v>
      </c>
      <c r="C14" s="143" t="s">
        <v>243</v>
      </c>
      <c r="D14" s="132" t="s">
        <v>244</v>
      </c>
      <c r="E14" s="132" t="s">
        <v>8</v>
      </c>
      <c r="F14" s="132" t="s">
        <v>17</v>
      </c>
      <c r="G14" s="132" t="s">
        <v>245</v>
      </c>
      <c r="N14" s="51"/>
    </row>
    <row r="15" spans="1:22" ht="14.4">
      <c r="C15" s="144" t="s">
        <v>246</v>
      </c>
      <c r="D15" s="145">
        <f t="shared" ref="D15:F15" si="4">FV(D20,5,0,-D16,0)</f>
        <v>96945.376920589944</v>
      </c>
      <c r="E15" s="145">
        <f t="shared" si="4"/>
        <v>6954.4736414045055</v>
      </c>
      <c r="F15" s="145">
        <f t="shared" si="4"/>
        <v>140.96641787989378</v>
      </c>
      <c r="G15" s="146">
        <f t="shared" ref="G15:G17" si="5">F15*30</f>
        <v>4228.9925363968132</v>
      </c>
    </row>
    <row r="16" spans="1:22" ht="14.4">
      <c r="C16" s="144" t="s">
        <v>247</v>
      </c>
      <c r="D16" s="145">
        <f>FV(D20,6,0,-D17,0)</f>
        <v>53215.159568847477</v>
      </c>
      <c r="E16" s="145">
        <f t="shared" ref="E16:E17" si="6">D16*G20</f>
        <v>3774.6096685185616</v>
      </c>
      <c r="F16" s="145">
        <f>(E16*F17)/E17</f>
        <v>76.51092394656267</v>
      </c>
      <c r="G16" s="146">
        <f t="shared" si="5"/>
        <v>2295.3277183968803</v>
      </c>
      <c r="I16" s="132" t="s">
        <v>248</v>
      </c>
      <c r="J16" s="132" t="s">
        <v>249</v>
      </c>
      <c r="K16" s="132" t="s">
        <v>250</v>
      </c>
      <c r="L16" s="132" t="s">
        <v>250</v>
      </c>
      <c r="M16" s="132" t="s">
        <v>251</v>
      </c>
    </row>
    <row r="17" spans="2:34" ht="15.75" customHeight="1">
      <c r="C17" s="144" t="s">
        <v>252</v>
      </c>
      <c r="D17" s="145">
        <f>FV(D21,1,0,-D31,0)</f>
        <v>25908.68</v>
      </c>
      <c r="E17" s="145">
        <f t="shared" si="6"/>
        <v>1528.61212</v>
      </c>
      <c r="F17" s="145">
        <f>FV(F21,1,0,-G31,0)</f>
        <v>30.9848</v>
      </c>
      <c r="G17" s="146">
        <f t="shared" si="5"/>
        <v>929.54399999999998</v>
      </c>
      <c r="H17" s="51"/>
      <c r="I17" s="17">
        <v>12.03</v>
      </c>
      <c r="J17" s="17">
        <v>7.18</v>
      </c>
      <c r="K17" s="17">
        <v>8.9</v>
      </c>
      <c r="L17" s="17">
        <v>7.95</v>
      </c>
      <c r="M17" s="17">
        <f>SUM(I17:L17)</f>
        <v>36.06</v>
      </c>
    </row>
    <row r="18" spans="2:34" ht="15.75" customHeight="1">
      <c r="C18" s="28"/>
      <c r="E18" s="51"/>
    </row>
    <row r="19" spans="2:34" ht="15.75" customHeight="1">
      <c r="B19" s="142" t="s">
        <v>253</v>
      </c>
      <c r="C19" s="143" t="s">
        <v>243</v>
      </c>
      <c r="D19" s="132" t="s">
        <v>244</v>
      </c>
      <c r="E19" s="132" t="s">
        <v>8</v>
      </c>
      <c r="F19" s="132" t="s">
        <v>17</v>
      </c>
      <c r="G19" s="132" t="s">
        <v>254</v>
      </c>
      <c r="I19" s="142" t="s">
        <v>255</v>
      </c>
      <c r="J19" s="132" t="s">
        <v>256</v>
      </c>
      <c r="K19" s="132" t="s">
        <v>257</v>
      </c>
      <c r="L19" s="132" t="s">
        <v>125</v>
      </c>
      <c r="M19" s="132" t="s">
        <v>258</v>
      </c>
      <c r="N19" s="132" t="s">
        <v>259</v>
      </c>
      <c r="O19" s="51"/>
      <c r="P19" s="147" t="s">
        <v>214</v>
      </c>
      <c r="Q19" s="147" t="s">
        <v>260</v>
      </c>
      <c r="R19" s="147" t="s">
        <v>261</v>
      </c>
      <c r="S19" s="147" t="s">
        <v>240</v>
      </c>
    </row>
    <row r="20" spans="2:34" ht="15.75" customHeight="1">
      <c r="C20" s="144" t="s">
        <v>262</v>
      </c>
      <c r="D20" s="20">
        <f>MEDIAN(D26:D28)</f>
        <v>0.12745274145095764</v>
      </c>
      <c r="E20" s="20">
        <v>0.13</v>
      </c>
      <c r="F20" s="20">
        <v>0.13</v>
      </c>
      <c r="G20" s="27">
        <f>MEDIAN(I26:I28)</f>
        <v>7.0931097437284471E-2</v>
      </c>
      <c r="I20" s="132" t="s">
        <v>244</v>
      </c>
      <c r="J20" s="20">
        <v>0.23400000000000001</v>
      </c>
      <c r="K20" s="20">
        <v>0.21199999999999999</v>
      </c>
      <c r="L20" s="27">
        <v>0.17299999999999999</v>
      </c>
      <c r="M20" s="27">
        <v>0.19700000000000001</v>
      </c>
      <c r="N20" s="20">
        <v>0.19</v>
      </c>
      <c r="P20" s="148">
        <v>35</v>
      </c>
      <c r="Q20" s="148">
        <v>35</v>
      </c>
      <c r="R20" s="148">
        <v>31</v>
      </c>
      <c r="S20" s="173">
        <f>40/12</f>
        <v>3.3333333333333335</v>
      </c>
    </row>
    <row r="21" spans="2:34" ht="15.75" customHeight="1">
      <c r="C21" s="144" t="s">
        <v>252</v>
      </c>
      <c r="D21" s="20">
        <v>0.19</v>
      </c>
      <c r="E21" s="20">
        <f>(E17/E31)-1</f>
        <v>-0.11589813765182189</v>
      </c>
      <c r="F21" s="20">
        <v>-0.12</v>
      </c>
      <c r="G21" s="27">
        <v>5.8999999999999997E-2</v>
      </c>
      <c r="I21" s="132" t="s">
        <v>8</v>
      </c>
      <c r="J21" s="20">
        <v>0.46600000000000003</v>
      </c>
      <c r="K21" s="20">
        <v>0.35</v>
      </c>
      <c r="L21" s="27">
        <v>0.36</v>
      </c>
      <c r="M21" s="27">
        <v>0.11700000000000001</v>
      </c>
      <c r="N21" s="20">
        <v>-0.12</v>
      </c>
      <c r="P21" s="147" t="s">
        <v>263</v>
      </c>
      <c r="Q21" s="147" t="s">
        <v>264</v>
      </c>
      <c r="R21" s="147" t="s">
        <v>265</v>
      </c>
      <c r="S21" s="168"/>
    </row>
    <row r="22" spans="2:34" ht="15.75" customHeight="1">
      <c r="C22" s="28"/>
      <c r="I22" s="132" t="s">
        <v>254</v>
      </c>
      <c r="J22" s="20">
        <v>8.6999999999999994E-2</v>
      </c>
      <c r="K22" s="27">
        <v>7.9000000000000001E-2</v>
      </c>
      <c r="L22" s="27">
        <v>7.9000000000000001E-2</v>
      </c>
      <c r="M22" s="27">
        <v>5.8999999999999997E-2</v>
      </c>
      <c r="N22" s="27">
        <v>5.8999999999999997E-2</v>
      </c>
      <c r="P22" s="148">
        <f>C7/P20</f>
        <v>30.571428571428573</v>
      </c>
      <c r="Q22" s="149">
        <f ca="1">C6/Q20</f>
        <v>40.208571428571425</v>
      </c>
      <c r="R22" s="148">
        <f ca="1">C6/R20</f>
        <v>45.396774193548389</v>
      </c>
      <c r="S22" s="168"/>
      <c r="AE22" s="122"/>
      <c r="AF22" s="122"/>
      <c r="AG22" s="122"/>
      <c r="AH22" s="122"/>
    </row>
    <row r="23" spans="2:34" ht="15.75" customHeight="1">
      <c r="C23" s="28"/>
      <c r="AE23" s="1"/>
      <c r="AF23" s="1"/>
      <c r="AG23" s="1"/>
      <c r="AH23" s="1"/>
    </row>
    <row r="24" spans="2:34" ht="15.75" customHeight="1">
      <c r="B24" s="142" t="s">
        <v>185</v>
      </c>
      <c r="C24" s="143" t="s">
        <v>243</v>
      </c>
      <c r="D24" s="132" t="s">
        <v>244</v>
      </c>
      <c r="E24" s="132" t="s">
        <v>8</v>
      </c>
      <c r="F24" s="132" t="s">
        <v>215</v>
      </c>
      <c r="G24" s="132" t="s">
        <v>17</v>
      </c>
      <c r="H24" s="132" t="s">
        <v>28</v>
      </c>
      <c r="I24" s="132" t="s">
        <v>20</v>
      </c>
      <c r="J24" s="132" t="s">
        <v>266</v>
      </c>
      <c r="K24" s="132" t="s">
        <v>267</v>
      </c>
      <c r="L24" s="132" t="s">
        <v>268</v>
      </c>
      <c r="M24" s="132" t="s">
        <v>269</v>
      </c>
      <c r="N24" s="132" t="s">
        <v>270</v>
      </c>
    </row>
    <row r="25" spans="2:34" ht="15.75" customHeight="1">
      <c r="C25" s="144" t="s">
        <v>271</v>
      </c>
      <c r="D25" s="27">
        <f t="shared" ref="D25:H25" si="7">(D31/D32)-1</f>
        <v>0.17293395108285736</v>
      </c>
      <c r="E25" s="27">
        <f t="shared" si="7"/>
        <v>0.36034618410700237</v>
      </c>
      <c r="F25" s="27">
        <f t="shared" si="7"/>
        <v>0</v>
      </c>
      <c r="G25" s="27">
        <f t="shared" si="7"/>
        <v>0.35893477421844855</v>
      </c>
      <c r="H25" s="27">
        <f t="shared" si="7"/>
        <v>0.14874115326604009</v>
      </c>
      <c r="I25" s="27">
        <f>I31</f>
        <v>7.9413926143670766E-2</v>
      </c>
      <c r="J25" s="27">
        <f t="shared" ref="J25:K25" si="8">(J31/J32)-1</f>
        <v>-0.15651135005973715</v>
      </c>
      <c r="K25" s="27">
        <f t="shared" si="8"/>
        <v>-0.11996644295302017</v>
      </c>
      <c r="L25" s="128">
        <f t="shared" ref="L25:M25" si="9">L31</f>
        <v>40.10224368077251</v>
      </c>
      <c r="M25" s="128">
        <f t="shared" si="9"/>
        <v>29.792672536211303</v>
      </c>
      <c r="N25" s="50">
        <f t="shared" ref="N25:N26" si="10">AVERAGE(L25:M25)</f>
        <v>34.947458108491908</v>
      </c>
    </row>
    <row r="26" spans="2:34" ht="15.75" customHeight="1">
      <c r="C26" s="144" t="s">
        <v>272</v>
      </c>
      <c r="D26" s="27">
        <f t="shared" ref="D26:H26" si="11">(D31/D36)^(1/5)-1</f>
        <v>0.1199459299261425</v>
      </c>
      <c r="E26" s="27">
        <f t="shared" si="11"/>
        <v>0.14936388172122528</v>
      </c>
      <c r="F26" s="27">
        <f t="shared" si="11"/>
        <v>1.5792794514919661E-2</v>
      </c>
      <c r="G26" s="27">
        <f t="shared" si="11"/>
        <v>0.13131223716838503</v>
      </c>
      <c r="H26" s="27">
        <f t="shared" si="11"/>
        <v>0.1935892111512223</v>
      </c>
      <c r="I26" s="27">
        <f>MEDIAN(I31:I36)</f>
        <v>7.5172511790477625E-2</v>
      </c>
      <c r="J26" s="27">
        <f t="shared" ref="J26:K26" si="12">(J31/J36)^(1/5)-1</f>
        <v>0.10119350794136683</v>
      </c>
      <c r="K26" s="27">
        <f t="shared" si="12"/>
        <v>0.11126328984755185</v>
      </c>
      <c r="L26" s="128">
        <f t="shared" ref="L26:M26" si="13">MEDIAN(L31:L36)</f>
        <v>48.04764611312298</v>
      </c>
      <c r="M26" s="128">
        <f t="shared" si="13"/>
        <v>31.127892625732798</v>
      </c>
      <c r="N26" s="50">
        <f t="shared" si="10"/>
        <v>39.587769369427889</v>
      </c>
    </row>
    <row r="27" spans="2:34" ht="15.75" customHeight="1">
      <c r="C27" s="144" t="s">
        <v>273</v>
      </c>
      <c r="D27" s="27">
        <f t="shared" ref="D27:H27" si="14">(D31/D41)^(1/10)-1</f>
        <v>0.12989042871859136</v>
      </c>
      <c r="E27" s="27">
        <f t="shared" si="14"/>
        <v>0.18906982091997193</v>
      </c>
      <c r="F27" s="27">
        <f t="shared" si="14"/>
        <v>1.1719231628742444E-2</v>
      </c>
      <c r="G27" s="27">
        <f t="shared" si="14"/>
        <v>0.17532181877083008</v>
      </c>
      <c r="H27" s="27">
        <f t="shared" si="14"/>
        <v>0.21416566213457089</v>
      </c>
      <c r="I27" s="27">
        <f>MEDIAN(I31:I41)</f>
        <v>7.0931097437284471E-2</v>
      </c>
      <c r="J27" s="11"/>
      <c r="K27" s="11"/>
      <c r="L27" s="11"/>
      <c r="M27" s="11"/>
      <c r="N27" s="11">
        <v>30</v>
      </c>
    </row>
    <row r="28" spans="2:34" ht="15.75" customHeight="1">
      <c r="C28" s="144" t="s">
        <v>274</v>
      </c>
      <c r="D28" s="27">
        <f t="shared" ref="D28:H28" si="15">(D31/D46)^(1/15)-1</f>
        <v>0.12745274145095764</v>
      </c>
      <c r="E28" s="27">
        <f t="shared" si="15"/>
        <v>0.2068793354603462</v>
      </c>
      <c r="F28" s="27">
        <f t="shared" si="15"/>
        <v>1.7769290910264912E-2</v>
      </c>
      <c r="G28" s="27">
        <f t="shared" si="15"/>
        <v>0.17842781465374125</v>
      </c>
      <c r="H28" s="27">
        <f t="shared" si="15"/>
        <v>0.19329217380632535</v>
      </c>
      <c r="I28" s="27">
        <f>MEDIAN(I31:I46)</f>
        <v>6.6963885161277686E-2</v>
      </c>
      <c r="J28" s="11"/>
      <c r="K28" s="11"/>
      <c r="L28" s="11"/>
      <c r="M28" s="11"/>
      <c r="N28" s="11"/>
    </row>
    <row r="29" spans="2:34" ht="15.75" customHeight="1">
      <c r="C29" s="28"/>
      <c r="G29" s="23">
        <f>(E33*G51)/E51</f>
        <v>133.90909090909091</v>
      </c>
    </row>
    <row r="30" spans="2:34" ht="15.75" customHeight="1">
      <c r="B30" s="142" t="s">
        <v>275</v>
      </c>
      <c r="C30" s="143" t="s">
        <v>243</v>
      </c>
      <c r="D30" s="132" t="s">
        <v>244</v>
      </c>
      <c r="E30" s="132" t="s">
        <v>8</v>
      </c>
      <c r="F30" s="132" t="s">
        <v>215</v>
      </c>
      <c r="G30" s="132" t="s">
        <v>17</v>
      </c>
      <c r="H30" s="132" t="s">
        <v>28</v>
      </c>
      <c r="I30" s="132" t="s">
        <v>20</v>
      </c>
      <c r="J30" s="132" t="s">
        <v>266</v>
      </c>
      <c r="K30" s="132" t="s">
        <v>267</v>
      </c>
      <c r="L30" s="132" t="s">
        <v>268</v>
      </c>
      <c r="M30" s="132" t="s">
        <v>269</v>
      </c>
      <c r="O30" s="150" t="s">
        <v>258</v>
      </c>
      <c r="P30" s="150" t="s">
        <v>258</v>
      </c>
      <c r="Q30" s="150" t="s">
        <v>276</v>
      </c>
      <c r="R30" s="150" t="s">
        <v>185</v>
      </c>
      <c r="U30" s="150" t="s">
        <v>277</v>
      </c>
      <c r="V30" s="150" t="s">
        <v>250</v>
      </c>
      <c r="W30" s="150" t="s">
        <v>278</v>
      </c>
      <c r="X30" s="150" t="s">
        <v>185</v>
      </c>
      <c r="Z30" s="1"/>
      <c r="AA30" s="1"/>
      <c r="AB30" s="1"/>
      <c r="AC30" s="1"/>
      <c r="AE30" s="1"/>
      <c r="AF30" s="1"/>
      <c r="AG30" s="1"/>
      <c r="AH30" s="1"/>
    </row>
    <row r="31" spans="2:34" ht="15.75" customHeight="1">
      <c r="C31" s="144" t="s">
        <v>57</v>
      </c>
      <c r="D31" s="11">
        <v>21772</v>
      </c>
      <c r="E31" s="11">
        <v>1729</v>
      </c>
      <c r="F31" s="11">
        <v>491</v>
      </c>
      <c r="G31" s="50">
        <v>35.21</v>
      </c>
      <c r="H31" s="11">
        <v>9901</v>
      </c>
      <c r="I31" s="20">
        <f t="shared" ref="I31:I51" si="16">E31/D31</f>
        <v>7.9413926143670766E-2</v>
      </c>
      <c r="J31" s="11">
        <v>1412</v>
      </c>
      <c r="K31" s="11">
        <v>1049</v>
      </c>
      <c r="L31" s="50">
        <f t="shared" ref="L31:L36" si="17">J31/G31</f>
        <v>40.10224368077251</v>
      </c>
      <c r="M31" s="50">
        <f t="shared" ref="M31:M36" si="18">K31/G31</f>
        <v>29.792672536211303</v>
      </c>
      <c r="O31" s="151" t="s">
        <v>279</v>
      </c>
      <c r="P31" s="152">
        <v>6622</v>
      </c>
      <c r="Q31" s="152">
        <v>5530</v>
      </c>
      <c r="R31" s="153">
        <f t="shared" ref="R31:R38" si="19">(P31/Q31)^(1/1)-1</f>
        <v>0.19746835443037969</v>
      </c>
      <c r="U31" s="151" t="s">
        <v>279</v>
      </c>
      <c r="V31" s="152">
        <v>5340</v>
      </c>
      <c r="W31" s="152">
        <v>5001</v>
      </c>
      <c r="X31" s="153">
        <f t="shared" ref="X31:X38" si="20">(V31/W31)^(1/1)-1</f>
        <v>6.7786442711457617E-2</v>
      </c>
      <c r="Z31" s="1"/>
      <c r="AA31" s="1"/>
      <c r="AB31" s="1"/>
      <c r="AC31" s="51"/>
      <c r="AE31" s="1"/>
      <c r="AF31" s="1"/>
      <c r="AG31" s="1"/>
      <c r="AH31" s="51"/>
    </row>
    <row r="32" spans="2:34" ht="15.75" customHeight="1">
      <c r="C32" s="144" t="s">
        <v>56</v>
      </c>
      <c r="D32" s="11">
        <v>18562</v>
      </c>
      <c r="E32" s="11">
        <v>1271</v>
      </c>
      <c r="F32" s="11">
        <v>491</v>
      </c>
      <c r="G32" s="50">
        <v>25.91</v>
      </c>
      <c r="H32" s="11">
        <v>8619</v>
      </c>
      <c r="I32" s="20">
        <f t="shared" si="16"/>
        <v>6.8473224868009913E-2</v>
      </c>
      <c r="J32" s="11">
        <v>1674</v>
      </c>
      <c r="K32" s="11">
        <v>1192</v>
      </c>
      <c r="L32" s="50">
        <f t="shared" si="17"/>
        <v>64.608259359320726</v>
      </c>
      <c r="M32" s="50">
        <f t="shared" si="18"/>
        <v>46.005403319181781</v>
      </c>
      <c r="O32" s="151" t="s">
        <v>280</v>
      </c>
      <c r="P32" s="152">
        <v>622</v>
      </c>
      <c r="Q32" s="152">
        <v>490</v>
      </c>
      <c r="R32" s="153">
        <f t="shared" si="19"/>
        <v>0.26938775510204072</v>
      </c>
      <c r="U32" s="151" t="s">
        <v>280</v>
      </c>
      <c r="V32" s="152">
        <v>616</v>
      </c>
      <c r="W32" s="152">
        <v>538</v>
      </c>
      <c r="X32" s="153">
        <f t="shared" si="20"/>
        <v>0.14498141263940512</v>
      </c>
      <c r="Z32" s="1"/>
      <c r="AA32" s="1"/>
      <c r="AB32" s="1"/>
      <c r="AC32" s="51"/>
      <c r="AE32" s="1"/>
      <c r="AF32" s="1"/>
      <c r="AG32" s="1"/>
      <c r="AH32" s="51"/>
    </row>
    <row r="33" spans="2:34" ht="15.75" customHeight="1">
      <c r="C33" s="144" t="s">
        <v>281</v>
      </c>
      <c r="D33" s="11">
        <v>14320</v>
      </c>
      <c r="E33" s="11">
        <v>1473</v>
      </c>
      <c r="F33" s="11">
        <v>455</v>
      </c>
      <c r="G33" s="50">
        <v>32.409999999999997</v>
      </c>
      <c r="H33" s="11">
        <v>6981</v>
      </c>
      <c r="I33" s="20">
        <f t="shared" si="16"/>
        <v>0.10286312849162012</v>
      </c>
      <c r="J33" s="11">
        <v>1627</v>
      </c>
      <c r="K33" s="11">
        <v>1013</v>
      </c>
      <c r="L33" s="50">
        <f t="shared" si="17"/>
        <v>50.200555384140699</v>
      </c>
      <c r="M33" s="50">
        <f t="shared" si="18"/>
        <v>31.2557852514656</v>
      </c>
      <c r="O33" s="151" t="s">
        <v>282</v>
      </c>
      <c r="P33" s="152">
        <v>4538</v>
      </c>
      <c r="Q33" s="152">
        <v>3978</v>
      </c>
      <c r="R33" s="153">
        <f t="shared" si="19"/>
        <v>0.14077425842131719</v>
      </c>
      <c r="U33" s="151" t="s">
        <v>282</v>
      </c>
      <c r="V33" s="152">
        <v>5256</v>
      </c>
      <c r="W33" s="152">
        <v>4636</v>
      </c>
      <c r="X33" s="153">
        <f t="shared" si="20"/>
        <v>0.13373597929249348</v>
      </c>
      <c r="Z33" s="1"/>
      <c r="AA33" s="1"/>
      <c r="AB33" s="1"/>
      <c r="AC33" s="51"/>
      <c r="AE33" s="1"/>
      <c r="AF33" s="1"/>
      <c r="AG33" s="1"/>
      <c r="AH33" s="51"/>
    </row>
    <row r="34" spans="2:34" ht="15.75" customHeight="1">
      <c r="C34" s="144" t="s">
        <v>283</v>
      </c>
      <c r="D34" s="154">
        <v>13592</v>
      </c>
      <c r="E34" s="11">
        <v>1194</v>
      </c>
      <c r="F34" s="11">
        <v>454</v>
      </c>
      <c r="G34" s="11">
        <v>26</v>
      </c>
      <c r="H34" s="11">
        <v>5680</v>
      </c>
      <c r="I34" s="20">
        <f t="shared" si="16"/>
        <v>8.7845791642142443E-2</v>
      </c>
      <c r="J34" s="11">
        <v>1440</v>
      </c>
      <c r="K34" s="11">
        <v>806</v>
      </c>
      <c r="L34" s="50">
        <f t="shared" si="17"/>
        <v>55.384615384615387</v>
      </c>
      <c r="M34" s="50">
        <f t="shared" si="18"/>
        <v>31</v>
      </c>
      <c r="O34" s="151" t="s">
        <v>284</v>
      </c>
      <c r="P34" s="152">
        <v>4207</v>
      </c>
      <c r="Q34" s="152">
        <v>3662</v>
      </c>
      <c r="R34" s="153">
        <f t="shared" si="19"/>
        <v>0.14882577826324406</v>
      </c>
      <c r="U34" s="151" t="s">
        <v>284</v>
      </c>
      <c r="V34" s="152">
        <v>3977</v>
      </c>
      <c r="W34" s="152">
        <v>3627</v>
      </c>
      <c r="X34" s="153">
        <f t="shared" si="20"/>
        <v>9.6498483595257811E-2</v>
      </c>
      <c r="Z34" s="1"/>
      <c r="AA34" s="1"/>
      <c r="AB34" s="1"/>
      <c r="AC34" s="51"/>
      <c r="AE34" s="1"/>
      <c r="AF34" s="1"/>
      <c r="AG34" s="1"/>
      <c r="AH34" s="51"/>
    </row>
    <row r="35" spans="2:34" ht="15.75" customHeight="1">
      <c r="C35" s="144" t="s">
        <v>285</v>
      </c>
      <c r="D35" s="11">
        <v>14789</v>
      </c>
      <c r="E35" s="11">
        <v>1049</v>
      </c>
      <c r="F35" s="11">
        <v>454</v>
      </c>
      <c r="G35" s="11">
        <v>23</v>
      </c>
      <c r="H35" s="11">
        <v>4866</v>
      </c>
      <c r="I35" s="20">
        <f t="shared" si="16"/>
        <v>7.0931097437284471E-2</v>
      </c>
      <c r="J35" s="11">
        <v>1037</v>
      </c>
      <c r="K35" s="11">
        <v>683</v>
      </c>
      <c r="L35" s="50">
        <f t="shared" si="17"/>
        <v>45.086956521739133</v>
      </c>
      <c r="M35" s="50">
        <f t="shared" si="18"/>
        <v>29.695652173913043</v>
      </c>
      <c r="O35" s="151" t="s">
        <v>8</v>
      </c>
      <c r="P35" s="152">
        <v>390</v>
      </c>
      <c r="Q35" s="152">
        <v>349</v>
      </c>
      <c r="R35" s="153">
        <f t="shared" si="19"/>
        <v>0.11747851002865328</v>
      </c>
      <c r="U35" s="151" t="s">
        <v>8</v>
      </c>
      <c r="V35" s="152">
        <v>437</v>
      </c>
      <c r="W35" s="152">
        <v>313</v>
      </c>
      <c r="X35" s="153">
        <f t="shared" si="20"/>
        <v>0.39616613418530355</v>
      </c>
      <c r="Z35" s="1"/>
      <c r="AA35" s="122"/>
      <c r="AB35" s="122"/>
      <c r="AC35" s="51"/>
      <c r="AE35" s="1"/>
      <c r="AF35" s="122"/>
      <c r="AG35" s="122"/>
      <c r="AH35" s="51"/>
    </row>
    <row r="36" spans="2:34" ht="15.75" customHeight="1">
      <c r="B36" s="142" t="s">
        <v>286</v>
      </c>
      <c r="C36" s="144" t="s">
        <v>287</v>
      </c>
      <c r="D36" s="11">
        <v>12357</v>
      </c>
      <c r="E36" s="11">
        <v>862</v>
      </c>
      <c r="F36" s="11">
        <v>454</v>
      </c>
      <c r="G36" s="11">
        <v>19</v>
      </c>
      <c r="H36" s="11">
        <v>4087</v>
      </c>
      <c r="I36" s="20">
        <f t="shared" si="16"/>
        <v>6.9758031884761679E-2</v>
      </c>
      <c r="J36" s="11">
        <v>872</v>
      </c>
      <c r="K36" s="11">
        <v>619</v>
      </c>
      <c r="L36" s="50">
        <f t="shared" si="17"/>
        <v>45.89473684210526</v>
      </c>
      <c r="M36" s="50">
        <f t="shared" si="18"/>
        <v>32.578947368421055</v>
      </c>
      <c r="O36" s="151" t="s">
        <v>17</v>
      </c>
      <c r="P36" s="152">
        <v>7.95</v>
      </c>
      <c r="Q36" s="152">
        <v>7.11</v>
      </c>
      <c r="R36" s="153">
        <f t="shared" si="19"/>
        <v>0.1181434599156117</v>
      </c>
      <c r="S36" s="51"/>
      <c r="U36" s="151" t="s">
        <v>17</v>
      </c>
      <c r="V36" s="152">
        <v>8.9</v>
      </c>
      <c r="W36" s="152">
        <v>6.37</v>
      </c>
      <c r="X36" s="153">
        <f t="shared" si="20"/>
        <v>0.39717425431711151</v>
      </c>
    </row>
    <row r="37" spans="2:34" ht="15.75" customHeight="1">
      <c r="C37" s="144" t="s">
        <v>288</v>
      </c>
      <c r="D37" s="11">
        <v>10725</v>
      </c>
      <c r="E37" s="11">
        <v>702</v>
      </c>
      <c r="F37" s="11">
        <v>451</v>
      </c>
      <c r="G37" s="11">
        <v>16</v>
      </c>
      <c r="H37" s="11">
        <v>3274</v>
      </c>
      <c r="I37" s="20">
        <f t="shared" si="16"/>
        <v>6.545454545454546E-2</v>
      </c>
      <c r="J37" s="11"/>
      <c r="K37" s="11"/>
      <c r="L37" s="11"/>
      <c r="M37" s="11"/>
      <c r="O37" s="151" t="s">
        <v>20</v>
      </c>
      <c r="P37" s="153">
        <f t="shared" ref="P37:Q37" si="21">(P35/P31)</f>
        <v>5.8894593778314706E-2</v>
      </c>
      <c r="Q37" s="153">
        <f t="shared" si="21"/>
        <v>6.311030741410488E-2</v>
      </c>
      <c r="R37" s="153">
        <f t="shared" si="19"/>
        <v>-6.6799130102921711E-2</v>
      </c>
      <c r="U37" s="151" t="s">
        <v>20</v>
      </c>
      <c r="V37" s="153">
        <f t="shared" ref="V37:W37" si="22">(V35/V31)</f>
        <v>8.1835205992509361E-2</v>
      </c>
      <c r="W37" s="153">
        <f t="shared" si="22"/>
        <v>6.2587482503499298E-2</v>
      </c>
      <c r="X37" s="153">
        <f t="shared" si="20"/>
        <v>0.30753311555443874</v>
      </c>
    </row>
    <row r="38" spans="2:34" ht="15.75" customHeight="1">
      <c r="C38" s="144" t="s">
        <v>289</v>
      </c>
      <c r="D38" s="11">
        <v>8296</v>
      </c>
      <c r="E38" s="154">
        <v>507</v>
      </c>
      <c r="F38" s="11">
        <v>448</v>
      </c>
      <c r="G38" s="11">
        <v>11</v>
      </c>
      <c r="H38" s="11">
        <v>2728</v>
      </c>
      <c r="I38" s="20">
        <f t="shared" si="16"/>
        <v>6.1113789778206362E-2</v>
      </c>
      <c r="J38" s="11"/>
      <c r="K38" s="11"/>
      <c r="L38" s="11"/>
      <c r="M38" s="11"/>
      <c r="O38" s="151" t="s">
        <v>234</v>
      </c>
      <c r="P38" s="155">
        <v>113</v>
      </c>
      <c r="Q38" s="155">
        <v>36</v>
      </c>
      <c r="R38" s="153">
        <f t="shared" si="19"/>
        <v>2.1388888888888888</v>
      </c>
      <c r="S38" s="51"/>
      <c r="U38" s="151" t="s">
        <v>234</v>
      </c>
      <c r="V38" s="155">
        <v>113</v>
      </c>
      <c r="W38" s="155">
        <v>36</v>
      </c>
      <c r="X38" s="153">
        <f t="shared" si="20"/>
        <v>2.1388888888888888</v>
      </c>
      <c r="Z38" s="22"/>
    </row>
    <row r="39" spans="2:34" ht="15.75" customHeight="1">
      <c r="C39" s="144" t="s">
        <v>290</v>
      </c>
      <c r="D39" s="154">
        <v>6914</v>
      </c>
      <c r="E39" s="11">
        <v>536</v>
      </c>
      <c r="F39" s="11">
        <v>447</v>
      </c>
      <c r="G39" s="11">
        <v>12</v>
      </c>
      <c r="H39" s="11">
        <v>2377</v>
      </c>
      <c r="I39" s="20">
        <f t="shared" si="16"/>
        <v>7.7523864622505059E-2</v>
      </c>
      <c r="J39" s="11"/>
      <c r="K39" s="11"/>
      <c r="L39" s="11"/>
      <c r="M39" s="11"/>
    </row>
    <row r="40" spans="2:34" ht="15.75" customHeight="1">
      <c r="C40" s="144" t="s">
        <v>291</v>
      </c>
      <c r="D40" s="11">
        <v>7134</v>
      </c>
      <c r="E40" s="11">
        <v>511</v>
      </c>
      <c r="F40" s="11">
        <v>445</v>
      </c>
      <c r="G40" s="11">
        <v>12</v>
      </c>
      <c r="H40" s="11">
        <v>1936</v>
      </c>
      <c r="I40" s="20">
        <f t="shared" si="16"/>
        <v>7.1628819736473226E-2</v>
      </c>
      <c r="J40" s="11"/>
      <c r="K40" s="11"/>
      <c r="L40" s="11"/>
      <c r="M40" s="11"/>
      <c r="O40" s="132" t="s">
        <v>292</v>
      </c>
      <c r="P40" s="150" t="s">
        <v>258</v>
      </c>
      <c r="Q40" s="150" t="s">
        <v>276</v>
      </c>
      <c r="R40" s="132" t="s">
        <v>185</v>
      </c>
      <c r="S40" s="132" t="s">
        <v>293</v>
      </c>
      <c r="U40" s="132" t="s">
        <v>294</v>
      </c>
      <c r="V40" s="150" t="s">
        <v>258</v>
      </c>
      <c r="W40" s="150" t="s">
        <v>276</v>
      </c>
      <c r="X40" s="132" t="s">
        <v>185</v>
      </c>
      <c r="Y40" s="132" t="s">
        <v>293</v>
      </c>
    </row>
    <row r="41" spans="2:34" ht="15.75" customHeight="1">
      <c r="C41" s="144" t="s">
        <v>295</v>
      </c>
      <c r="D41" s="11">
        <v>6420</v>
      </c>
      <c r="E41" s="11">
        <v>306</v>
      </c>
      <c r="F41" s="11">
        <v>437</v>
      </c>
      <c r="G41" s="11">
        <v>7</v>
      </c>
      <c r="H41" s="11">
        <v>1422</v>
      </c>
      <c r="I41" s="20">
        <f t="shared" si="16"/>
        <v>4.7663551401869161E-2</v>
      </c>
      <c r="J41" s="11"/>
      <c r="K41" s="11"/>
      <c r="L41" s="11"/>
      <c r="M41" s="11"/>
      <c r="O41" s="11" t="s">
        <v>296</v>
      </c>
      <c r="P41" s="11">
        <v>2145</v>
      </c>
      <c r="Q41" s="11">
        <v>1832</v>
      </c>
      <c r="R41" s="27">
        <f t="shared" ref="R41:R47" si="23">(P41/Q41)^(1/1)-1</f>
        <v>0.17085152838427953</v>
      </c>
      <c r="S41" s="27">
        <f t="shared" ref="S41:S47" si="24">P41/$P$49</f>
        <v>0.50974334600760451</v>
      </c>
      <c r="U41" s="11" t="s">
        <v>297</v>
      </c>
      <c r="V41" s="11">
        <v>2102</v>
      </c>
      <c r="W41" s="11">
        <v>2036</v>
      </c>
      <c r="X41" s="27">
        <f t="shared" ref="X41:X47" si="25">(V41/W41)^(1/1)-1</f>
        <v>3.2416502946954751E-2</v>
      </c>
      <c r="Y41" s="27">
        <f t="shared" ref="Y41:Y47" si="26">V41/$V$49</f>
        <v>0.46613740187164593</v>
      </c>
    </row>
    <row r="42" spans="2:34" ht="15.75" customHeight="1">
      <c r="C42" s="144" t="s">
        <v>298</v>
      </c>
      <c r="D42" s="11">
        <v>5358</v>
      </c>
      <c r="E42" s="154">
        <v>-416</v>
      </c>
      <c r="F42" s="11">
        <v>437</v>
      </c>
      <c r="G42" s="11">
        <v>-10</v>
      </c>
      <c r="H42" s="11">
        <v>1420</v>
      </c>
      <c r="I42" s="20">
        <f t="shared" si="16"/>
        <v>-7.764091078760732E-2</v>
      </c>
      <c r="J42" s="11"/>
      <c r="K42" s="11"/>
      <c r="L42" s="11"/>
      <c r="M42" s="11"/>
      <c r="O42" s="11" t="s">
        <v>299</v>
      </c>
      <c r="P42" s="11">
        <v>737</v>
      </c>
      <c r="Q42" s="11">
        <v>668</v>
      </c>
      <c r="R42" s="27">
        <f t="shared" si="23"/>
        <v>0.1032934131736527</v>
      </c>
      <c r="S42" s="27">
        <f t="shared" si="24"/>
        <v>0.1751425855513308</v>
      </c>
      <c r="U42" s="11" t="s">
        <v>300</v>
      </c>
      <c r="V42" s="50">
        <f>263+1054+0.4</f>
        <v>1317.4</v>
      </c>
      <c r="W42" s="50">
        <f>772+228+0.3</f>
        <v>1000.3</v>
      </c>
      <c r="X42" s="27">
        <f t="shared" si="25"/>
        <v>0.317004898530441</v>
      </c>
      <c r="Y42" s="27">
        <f t="shared" si="26"/>
        <v>0.29214529649177279</v>
      </c>
    </row>
    <row r="43" spans="2:34" ht="15.75" customHeight="1">
      <c r="C43" s="144" t="s">
        <v>301</v>
      </c>
      <c r="D43" s="11">
        <v>4408</v>
      </c>
      <c r="E43" s="154">
        <v>-80</v>
      </c>
      <c r="F43" s="11">
        <v>405</v>
      </c>
      <c r="G43" s="11">
        <v>-2</v>
      </c>
      <c r="H43" s="11">
        <v>1126</v>
      </c>
      <c r="I43" s="20">
        <f t="shared" si="16"/>
        <v>-1.8148820326678767E-2</v>
      </c>
      <c r="J43" s="11"/>
      <c r="K43" s="11"/>
      <c r="L43" s="11"/>
      <c r="M43" s="11"/>
      <c r="O43" s="11" t="s">
        <v>302</v>
      </c>
      <c r="P43" s="11">
        <v>183</v>
      </c>
      <c r="Q43" s="11">
        <v>463</v>
      </c>
      <c r="R43" s="27">
        <f t="shared" si="23"/>
        <v>-0.60475161987041037</v>
      </c>
      <c r="S43" s="27">
        <f t="shared" si="24"/>
        <v>4.3488593155893533E-2</v>
      </c>
      <c r="U43" s="11" t="s">
        <v>303</v>
      </c>
      <c r="V43" s="11">
        <v>131</v>
      </c>
      <c r="W43" s="11">
        <v>151</v>
      </c>
      <c r="X43" s="27">
        <f t="shared" si="25"/>
        <v>-0.13245033112582782</v>
      </c>
      <c r="Y43" s="27">
        <f t="shared" si="26"/>
        <v>2.9050427994855195E-2</v>
      </c>
    </row>
    <row r="44" spans="2:34" ht="15.75" customHeight="1">
      <c r="C44" s="144" t="s">
        <v>304</v>
      </c>
      <c r="D44" s="154">
        <v>3695</v>
      </c>
      <c r="E44" s="11">
        <v>144</v>
      </c>
      <c r="F44" s="11">
        <v>404</v>
      </c>
      <c r="G44" s="11">
        <v>4</v>
      </c>
      <c r="H44" s="11">
        <v>1269</v>
      </c>
      <c r="I44" s="20">
        <f t="shared" si="16"/>
        <v>3.8971583220568339E-2</v>
      </c>
      <c r="J44" s="11"/>
      <c r="K44" s="11"/>
      <c r="L44" s="11"/>
      <c r="M44" s="11"/>
      <c r="O44" s="11" t="s">
        <v>305</v>
      </c>
      <c r="P44" s="11">
        <v>313</v>
      </c>
      <c r="Q44" s="11">
        <v>279</v>
      </c>
      <c r="R44" s="27">
        <f t="shared" si="23"/>
        <v>0.12186379928315416</v>
      </c>
      <c r="S44" s="27">
        <f t="shared" si="24"/>
        <v>7.4382129277566544E-2</v>
      </c>
      <c r="U44" s="11" t="s">
        <v>306</v>
      </c>
      <c r="V44" s="11">
        <v>116</v>
      </c>
      <c r="W44" s="11">
        <v>106</v>
      </c>
      <c r="X44" s="27">
        <f t="shared" si="25"/>
        <v>9.4339622641509413E-2</v>
      </c>
      <c r="Y44" s="27">
        <f t="shared" si="26"/>
        <v>2.5724043109948112E-2</v>
      </c>
    </row>
    <row r="45" spans="2:34" ht="15.75" customHeight="1">
      <c r="C45" s="144" t="s">
        <v>307</v>
      </c>
      <c r="D45" s="11">
        <v>3749</v>
      </c>
      <c r="E45" s="154">
        <v>24</v>
      </c>
      <c r="F45" s="11">
        <v>403</v>
      </c>
      <c r="G45" s="11">
        <v>1</v>
      </c>
      <c r="H45" s="11">
        <v>1200</v>
      </c>
      <c r="I45" s="20">
        <f t="shared" si="16"/>
        <v>6.4017071218991735E-3</v>
      </c>
      <c r="J45" s="11"/>
      <c r="K45" s="11"/>
      <c r="L45" s="11"/>
      <c r="M45" s="11"/>
      <c r="O45" s="11" t="s">
        <v>308</v>
      </c>
      <c r="P45" s="11">
        <v>224</v>
      </c>
      <c r="Q45" s="11">
        <v>207</v>
      </c>
      <c r="R45" s="27">
        <f t="shared" si="23"/>
        <v>8.212560386473422E-2</v>
      </c>
      <c r="S45" s="27">
        <f t="shared" si="24"/>
        <v>5.3231939163498096E-2</v>
      </c>
      <c r="U45" s="11" t="s">
        <v>309</v>
      </c>
      <c r="V45" s="11">
        <f>22+179</f>
        <v>201</v>
      </c>
      <c r="W45" s="11">
        <f>17+151</f>
        <v>168</v>
      </c>
      <c r="X45" s="27">
        <f t="shared" si="25"/>
        <v>0.1964285714285714</v>
      </c>
      <c r="Y45" s="27">
        <f t="shared" si="26"/>
        <v>4.4573557457754917E-2</v>
      </c>
    </row>
    <row r="46" spans="2:34" ht="15.75" customHeight="1">
      <c r="C46" s="144" t="s">
        <v>54</v>
      </c>
      <c r="D46" s="11">
        <v>3601</v>
      </c>
      <c r="E46" s="11">
        <v>103</v>
      </c>
      <c r="F46" s="11">
        <v>377</v>
      </c>
      <c r="G46" s="11">
        <v>3</v>
      </c>
      <c r="H46" s="11">
        <v>699</v>
      </c>
      <c r="I46" s="20">
        <f t="shared" si="16"/>
        <v>2.8603165787281309E-2</v>
      </c>
      <c r="J46" s="11"/>
      <c r="K46" s="11"/>
      <c r="L46" s="11"/>
      <c r="M46" s="11"/>
      <c r="O46" s="11" t="s">
        <v>310</v>
      </c>
      <c r="P46" s="11">
        <v>556</v>
      </c>
      <c r="Q46" s="11">
        <v>78</v>
      </c>
      <c r="R46" s="27">
        <f t="shared" si="23"/>
        <v>6.1282051282051286</v>
      </c>
      <c r="S46" s="27">
        <f t="shared" si="24"/>
        <v>0.13212927756653992</v>
      </c>
      <c r="U46" s="11" t="s">
        <v>311</v>
      </c>
      <c r="V46" s="11">
        <v>20</v>
      </c>
      <c r="W46" s="11">
        <v>8</v>
      </c>
      <c r="X46" s="27">
        <f t="shared" si="25"/>
        <v>1.5</v>
      </c>
      <c r="Y46" s="27">
        <f t="shared" si="26"/>
        <v>4.4351798465427777E-3</v>
      </c>
    </row>
    <row r="47" spans="2:34" ht="15.75" customHeight="1">
      <c r="C47" s="144" t="s">
        <v>312</v>
      </c>
      <c r="D47" s="11">
        <v>3004</v>
      </c>
      <c r="E47" s="11">
        <v>68</v>
      </c>
      <c r="F47" s="11">
        <v>336</v>
      </c>
      <c r="G47" s="11">
        <v>2</v>
      </c>
      <c r="H47" s="11">
        <v>457</v>
      </c>
      <c r="I47" s="20">
        <f t="shared" si="16"/>
        <v>2.2636484687083888E-2</v>
      </c>
      <c r="J47" s="11"/>
      <c r="K47" s="11"/>
      <c r="L47" s="11"/>
      <c r="M47" s="11"/>
      <c r="O47" s="11" t="s">
        <v>313</v>
      </c>
      <c r="P47" s="11">
        <v>50</v>
      </c>
      <c r="Q47" s="11">
        <v>135</v>
      </c>
      <c r="R47" s="27">
        <f t="shared" si="23"/>
        <v>-0.62962962962962965</v>
      </c>
      <c r="S47" s="27">
        <f t="shared" si="24"/>
        <v>1.1882129277566539E-2</v>
      </c>
      <c r="U47" s="1" t="s">
        <v>314</v>
      </c>
      <c r="V47" s="1">
        <v>622</v>
      </c>
      <c r="W47" s="1">
        <v>490</v>
      </c>
      <c r="X47" s="27">
        <f t="shared" si="25"/>
        <v>0.26938775510204072</v>
      </c>
      <c r="Y47" s="27">
        <f t="shared" si="26"/>
        <v>0.13793409322748038</v>
      </c>
    </row>
    <row r="48" spans="2:34" ht="15.75" customHeight="1">
      <c r="C48" s="144" t="s">
        <v>315</v>
      </c>
      <c r="D48" s="11">
        <v>1592</v>
      </c>
      <c r="E48" s="11">
        <v>50</v>
      </c>
      <c r="F48" s="11">
        <v>245</v>
      </c>
      <c r="G48" s="11">
        <v>2</v>
      </c>
      <c r="H48" s="11">
        <v>128</v>
      </c>
      <c r="I48" s="20">
        <f t="shared" si="16"/>
        <v>3.1407035175879394E-2</v>
      </c>
      <c r="J48" s="11"/>
      <c r="K48" s="11"/>
      <c r="L48" s="11"/>
      <c r="M48" s="11"/>
    </row>
    <row r="49" spans="3:25" ht="15.75" customHeight="1">
      <c r="C49" s="144" t="s">
        <v>316</v>
      </c>
      <c r="D49" s="11">
        <v>885</v>
      </c>
      <c r="E49" s="11">
        <v>48</v>
      </c>
      <c r="F49" s="11">
        <v>220</v>
      </c>
      <c r="G49" s="11">
        <v>2</v>
      </c>
      <c r="H49" s="11">
        <v>29</v>
      </c>
      <c r="I49" s="20">
        <f t="shared" si="16"/>
        <v>5.4237288135593219E-2</v>
      </c>
      <c r="J49" s="11"/>
      <c r="K49" s="11"/>
      <c r="L49" s="11"/>
      <c r="M49" s="11"/>
      <c r="O49" s="156" t="s">
        <v>317</v>
      </c>
      <c r="P49" s="156">
        <f t="shared" ref="P49:Q49" si="27">SUM(P41:P47)</f>
        <v>4208</v>
      </c>
      <c r="Q49" s="156">
        <f t="shared" si="27"/>
        <v>3662</v>
      </c>
      <c r="R49" s="157">
        <f>(P49/Q49)^(1/1)-1</f>
        <v>0.14909885308574555</v>
      </c>
      <c r="S49" s="158">
        <f>P49/$P$49</f>
        <v>1</v>
      </c>
      <c r="U49" s="156" t="s">
        <v>318</v>
      </c>
      <c r="V49" s="159">
        <f t="shared" ref="V49:W49" si="28">SUM(V41:V47)</f>
        <v>4509.3999999999996</v>
      </c>
      <c r="W49" s="159">
        <f t="shared" si="28"/>
        <v>3959.3</v>
      </c>
      <c r="X49" s="157">
        <f>(V49/W49)^(1/1)-1</f>
        <v>0.13893870128558072</v>
      </c>
      <c r="Y49" s="27">
        <f>V49/$V$49</f>
        <v>1</v>
      </c>
    </row>
    <row r="50" spans="3:25" ht="15.75" customHeight="1">
      <c r="C50" s="144" t="s">
        <v>319</v>
      </c>
      <c r="D50" s="11">
        <v>507</v>
      </c>
      <c r="E50" s="154">
        <v>32</v>
      </c>
      <c r="F50" s="11">
        <v>220</v>
      </c>
      <c r="G50" s="11">
        <v>1</v>
      </c>
      <c r="H50" s="11">
        <v>6</v>
      </c>
      <c r="I50" s="20">
        <f t="shared" si="16"/>
        <v>6.3116370808678504E-2</v>
      </c>
      <c r="J50" s="11"/>
      <c r="K50" s="11"/>
      <c r="L50" s="11"/>
      <c r="M50" s="11"/>
    </row>
    <row r="51" spans="3:25" ht="15.75" customHeight="1">
      <c r="C51" s="144" t="s">
        <v>320</v>
      </c>
      <c r="D51" s="11">
        <v>208</v>
      </c>
      <c r="E51" s="11">
        <v>33</v>
      </c>
      <c r="F51" s="11">
        <v>110</v>
      </c>
      <c r="G51" s="11">
        <v>3</v>
      </c>
      <c r="H51" s="11">
        <v>3</v>
      </c>
      <c r="I51" s="20">
        <f t="shared" si="16"/>
        <v>0.15865384615384615</v>
      </c>
      <c r="J51" s="11"/>
      <c r="K51" s="11"/>
      <c r="L51" s="11"/>
      <c r="M51" s="11"/>
    </row>
    <row r="52" spans="3:25" ht="15.75" customHeight="1">
      <c r="C52" s="28"/>
      <c r="X52" s="122"/>
      <c r="Y52" s="51"/>
    </row>
    <row r="53" spans="3:25" ht="15.75" customHeight="1">
      <c r="C53" s="28"/>
      <c r="V53" s="23"/>
      <c r="W53" s="23"/>
      <c r="X53" s="122"/>
      <c r="Y53" s="51"/>
    </row>
    <row r="54" spans="3:25" ht="15.75" customHeight="1">
      <c r="C54" s="28"/>
      <c r="X54" s="122"/>
      <c r="Y54" s="51"/>
    </row>
    <row r="55" spans="3:25" ht="15.75" customHeight="1">
      <c r="C55" s="28"/>
      <c r="X55" s="122"/>
      <c r="Y55" s="51"/>
    </row>
    <row r="56" spans="3:25" ht="15.75" customHeight="1">
      <c r="C56" s="28"/>
      <c r="X56" s="122"/>
      <c r="Y56" s="51"/>
    </row>
    <row r="57" spans="3:25" ht="15.75" customHeight="1">
      <c r="C57" s="28"/>
      <c r="X57" s="122"/>
      <c r="Y57" s="51"/>
    </row>
    <row r="58" spans="3:25" ht="15.75" customHeight="1">
      <c r="C58" s="28"/>
      <c r="X58" s="122"/>
      <c r="Y58" s="51"/>
    </row>
    <row r="59" spans="3:25" ht="15.75" customHeight="1">
      <c r="C59" s="28"/>
    </row>
    <row r="60" spans="3:25" ht="15.75" customHeight="1">
      <c r="C60" s="28"/>
      <c r="V60" s="23"/>
      <c r="W60" s="23"/>
      <c r="X60" s="51"/>
      <c r="Y60" s="51"/>
    </row>
    <row r="61" spans="3:25" ht="15.75" customHeight="1">
      <c r="C61" s="28"/>
    </row>
    <row r="62" spans="3:25" ht="15.75" customHeight="1">
      <c r="C62" s="28"/>
    </row>
    <row r="63" spans="3:25" ht="15.75" customHeight="1">
      <c r="C63" s="28"/>
    </row>
    <row r="64" spans="3:25" ht="15.75" customHeight="1">
      <c r="C64" s="28"/>
    </row>
    <row r="65" spans="3:3" ht="15.75" customHeight="1">
      <c r="C65" s="28"/>
    </row>
    <row r="66" spans="3:3" ht="15.75" customHeight="1">
      <c r="C66" s="28"/>
    </row>
    <row r="67" spans="3:3" ht="15.75" customHeight="1">
      <c r="C67" s="28"/>
    </row>
    <row r="68" spans="3:3" ht="15.75" customHeight="1">
      <c r="C68" s="28"/>
    </row>
    <row r="69" spans="3:3" ht="15.75" customHeight="1">
      <c r="C69" s="28"/>
    </row>
    <row r="70" spans="3:3" ht="15.75" customHeight="1">
      <c r="C70" s="28"/>
    </row>
    <row r="71" spans="3:3" ht="15.75" customHeight="1">
      <c r="C71" s="28"/>
    </row>
    <row r="72" spans="3:3" ht="15.75" customHeight="1">
      <c r="C72" s="28"/>
    </row>
    <row r="73" spans="3:3" ht="15.75" customHeight="1">
      <c r="C73" s="28"/>
    </row>
    <row r="74" spans="3:3" ht="15.75" customHeight="1">
      <c r="C74" s="28"/>
    </row>
    <row r="75" spans="3:3" ht="15.75" customHeight="1">
      <c r="C75" s="28"/>
    </row>
    <row r="76" spans="3:3" ht="15.75" customHeight="1">
      <c r="C76" s="28"/>
    </row>
    <row r="77" spans="3:3" ht="15.75" customHeight="1">
      <c r="C77" s="28"/>
    </row>
    <row r="78" spans="3:3" ht="15.75" customHeight="1">
      <c r="C78" s="28"/>
    </row>
    <row r="79" spans="3:3" ht="15.75" customHeight="1">
      <c r="C79" s="28"/>
    </row>
    <row r="80" spans="3:3" ht="15.75" customHeight="1">
      <c r="C80" s="28"/>
    </row>
    <row r="81" spans="2:17" ht="15.75" customHeight="1">
      <c r="C81" s="28"/>
    </row>
    <row r="82" spans="2:17" ht="15.75" customHeight="1">
      <c r="C82" s="28"/>
    </row>
    <row r="83" spans="2:17" ht="15.75" customHeight="1">
      <c r="C83" s="28"/>
    </row>
    <row r="84" spans="2:17" ht="15.75" customHeight="1">
      <c r="C84" s="28"/>
    </row>
    <row r="85" spans="2:17" ht="15.75" customHeight="1">
      <c r="C85" s="28"/>
    </row>
    <row r="86" spans="2:17" ht="15.75" customHeight="1">
      <c r="C86" s="28"/>
    </row>
    <row r="87" spans="2:17" ht="15.75" customHeight="1">
      <c r="C87" s="28"/>
    </row>
    <row r="88" spans="2:17" ht="15.75" customHeight="1">
      <c r="B88" s="174" t="s">
        <v>321</v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</row>
    <row r="89" spans="2:17" ht="15.75" customHeight="1"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</row>
    <row r="90" spans="2:17" ht="15.75" customHeight="1"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</row>
    <row r="91" spans="2:17" ht="15.75" customHeight="1">
      <c r="C91" s="28"/>
    </row>
    <row r="92" spans="2:17" ht="15.75" customHeight="1">
      <c r="C92" s="28"/>
    </row>
    <row r="93" spans="2:17" ht="15.75" customHeight="1">
      <c r="C93" s="28"/>
    </row>
    <row r="94" spans="2:17" ht="15.75" customHeight="1">
      <c r="C94" s="28"/>
    </row>
    <row r="95" spans="2:17" ht="15.75" customHeight="1">
      <c r="C95" s="28"/>
    </row>
    <row r="96" spans="2:17" ht="15.75" customHeight="1">
      <c r="C96" s="28"/>
    </row>
    <row r="97" spans="3:3" ht="15.75" customHeight="1">
      <c r="C97" s="28"/>
    </row>
    <row r="98" spans="3:3" ht="15.75" customHeight="1">
      <c r="C98" s="28"/>
    </row>
    <row r="99" spans="3:3" ht="15.75" customHeight="1">
      <c r="C99" s="28"/>
    </row>
    <row r="100" spans="3:3" ht="15.75" customHeight="1">
      <c r="C100" s="28"/>
    </row>
    <row r="101" spans="3:3" ht="15.75" customHeight="1">
      <c r="C101" s="28"/>
    </row>
    <row r="102" spans="3:3" ht="15.75" customHeight="1">
      <c r="C102" s="28"/>
    </row>
    <row r="103" spans="3:3" ht="15.75" customHeight="1">
      <c r="C103" s="28"/>
    </row>
    <row r="104" spans="3:3" ht="15.75" customHeight="1">
      <c r="C104" s="28"/>
    </row>
    <row r="105" spans="3:3" ht="15.75" customHeight="1">
      <c r="C105" s="28"/>
    </row>
    <row r="106" spans="3:3" ht="15.75" customHeight="1">
      <c r="C106" s="28"/>
    </row>
    <row r="107" spans="3:3" ht="15.75" customHeight="1">
      <c r="C107" s="28"/>
    </row>
    <row r="108" spans="3:3" ht="15.75" customHeight="1">
      <c r="C108" s="28"/>
    </row>
    <row r="109" spans="3:3" ht="15.75" customHeight="1">
      <c r="C109" s="28"/>
    </row>
    <row r="110" spans="3:3" ht="15.75" customHeight="1">
      <c r="C110" s="28"/>
    </row>
    <row r="111" spans="3:3" ht="15.75" customHeight="1">
      <c r="C111" s="28"/>
    </row>
    <row r="112" spans="3:3" ht="15.75" customHeight="1">
      <c r="C112" s="28"/>
    </row>
    <row r="113" spans="3:3" ht="15.75" customHeight="1">
      <c r="C113" s="28"/>
    </row>
    <row r="114" spans="3:3" ht="15.75" customHeight="1">
      <c r="C114" s="28"/>
    </row>
    <row r="115" spans="3:3" ht="15.75" customHeight="1">
      <c r="C115" s="28"/>
    </row>
    <row r="116" spans="3:3" ht="15.75" customHeight="1">
      <c r="C116" s="28"/>
    </row>
    <row r="117" spans="3:3" ht="15.75" customHeight="1">
      <c r="C117" s="28"/>
    </row>
    <row r="118" spans="3:3" ht="15.75" customHeight="1">
      <c r="C118" s="28"/>
    </row>
    <row r="119" spans="3:3" ht="15.75" customHeight="1">
      <c r="C119" s="28"/>
    </row>
    <row r="120" spans="3:3" ht="15.75" customHeight="1">
      <c r="C120" s="28"/>
    </row>
    <row r="121" spans="3:3" ht="15.75" customHeight="1">
      <c r="C121" s="28"/>
    </row>
    <row r="122" spans="3:3" ht="15.75" customHeight="1">
      <c r="C122" s="28"/>
    </row>
    <row r="123" spans="3:3" ht="15.75" customHeight="1">
      <c r="C123" s="28"/>
    </row>
    <row r="124" spans="3:3" ht="15.75" customHeight="1">
      <c r="C124" s="28"/>
    </row>
    <row r="125" spans="3:3" ht="15.75" customHeight="1">
      <c r="C125" s="28"/>
    </row>
    <row r="126" spans="3:3" ht="15.75" customHeight="1">
      <c r="C126" s="28"/>
    </row>
    <row r="127" spans="3:3" ht="15.75" customHeight="1">
      <c r="C127" s="28"/>
    </row>
    <row r="128" spans="3:3" ht="15.75" customHeight="1">
      <c r="C128" s="28"/>
    </row>
    <row r="129" spans="3:3" ht="15.75" customHeight="1">
      <c r="C129" s="28"/>
    </row>
    <row r="130" spans="3:3" ht="15.75" customHeight="1">
      <c r="C130" s="28"/>
    </row>
    <row r="131" spans="3:3" ht="15.75" customHeight="1">
      <c r="C131" s="28"/>
    </row>
    <row r="132" spans="3:3" ht="15.75" customHeight="1">
      <c r="C132" s="28"/>
    </row>
    <row r="133" spans="3:3" ht="15.75" customHeight="1">
      <c r="C133" s="28"/>
    </row>
    <row r="134" spans="3:3" ht="15.75" customHeight="1">
      <c r="C134" s="28"/>
    </row>
    <row r="135" spans="3:3" ht="15.75" customHeight="1">
      <c r="C135" s="28"/>
    </row>
    <row r="136" spans="3:3" ht="15.75" customHeight="1">
      <c r="C136" s="28"/>
    </row>
    <row r="137" spans="3:3" ht="15.75" customHeight="1">
      <c r="C137" s="28"/>
    </row>
    <row r="138" spans="3:3" ht="15.75" customHeight="1">
      <c r="C138" s="28"/>
    </row>
    <row r="139" spans="3:3" ht="15.75" customHeight="1">
      <c r="C139" s="28"/>
    </row>
    <row r="140" spans="3:3" ht="15.75" customHeight="1">
      <c r="C140" s="28"/>
    </row>
    <row r="141" spans="3:3" ht="15.75" customHeight="1">
      <c r="C141" s="28"/>
    </row>
    <row r="142" spans="3:3" ht="15.75" customHeight="1">
      <c r="C142" s="28"/>
    </row>
    <row r="143" spans="3:3" ht="15.75" customHeight="1">
      <c r="C143" s="28"/>
    </row>
    <row r="144" spans="3:3" ht="15.75" customHeight="1">
      <c r="C144" s="28"/>
    </row>
    <row r="145" spans="3:3" ht="15.75" customHeight="1">
      <c r="C145" s="28"/>
    </row>
    <row r="146" spans="3:3" ht="15.75" customHeight="1">
      <c r="C146" s="28"/>
    </row>
    <row r="147" spans="3:3" ht="15.75" customHeight="1">
      <c r="C147" s="28"/>
    </row>
    <row r="148" spans="3:3" ht="15.75" customHeight="1">
      <c r="C148" s="28"/>
    </row>
    <row r="149" spans="3:3" ht="15.75" customHeight="1">
      <c r="C149" s="28"/>
    </row>
    <row r="150" spans="3:3" ht="15.75" customHeight="1">
      <c r="C150" s="28"/>
    </row>
    <row r="151" spans="3:3" ht="15.75" customHeight="1">
      <c r="C151" s="28"/>
    </row>
    <row r="152" spans="3:3" ht="15.75" customHeight="1">
      <c r="C152" s="28"/>
    </row>
    <row r="153" spans="3:3" ht="15.75" customHeight="1">
      <c r="C153" s="28"/>
    </row>
    <row r="154" spans="3:3" ht="15.75" customHeight="1">
      <c r="C154" s="28"/>
    </row>
    <row r="155" spans="3:3" ht="15.75" customHeight="1">
      <c r="C155" s="28"/>
    </row>
    <row r="156" spans="3:3" ht="15.75" customHeight="1">
      <c r="C156" s="28"/>
    </row>
    <row r="157" spans="3:3" ht="15.75" customHeight="1">
      <c r="C157" s="28"/>
    </row>
    <row r="158" spans="3:3" ht="15.75" customHeight="1">
      <c r="C158" s="28"/>
    </row>
    <row r="159" spans="3:3" ht="15.75" customHeight="1">
      <c r="C159" s="28"/>
    </row>
    <row r="160" spans="3:3" ht="15.75" customHeight="1">
      <c r="C160" s="28"/>
    </row>
    <row r="161" spans="3:3" ht="15.75" customHeight="1">
      <c r="C161" s="28"/>
    </row>
    <row r="162" spans="3:3" ht="15.75" customHeight="1">
      <c r="C162" s="28"/>
    </row>
    <row r="163" spans="3:3" ht="15.75" customHeight="1">
      <c r="C163" s="28"/>
    </row>
    <row r="164" spans="3:3" ht="15.75" customHeight="1">
      <c r="C164" s="28"/>
    </row>
    <row r="165" spans="3:3" ht="15.75" customHeight="1">
      <c r="C165" s="28"/>
    </row>
    <row r="166" spans="3:3" ht="15.75" customHeight="1">
      <c r="C166" s="28"/>
    </row>
    <row r="167" spans="3:3" ht="15.75" customHeight="1">
      <c r="C167" s="28"/>
    </row>
    <row r="168" spans="3:3" ht="15.75" customHeight="1">
      <c r="C168" s="28"/>
    </row>
    <row r="169" spans="3:3" ht="15.75" customHeight="1">
      <c r="C169" s="28"/>
    </row>
    <row r="170" spans="3:3" ht="15.75" customHeight="1">
      <c r="C170" s="28"/>
    </row>
    <row r="171" spans="3:3" ht="15.75" customHeight="1">
      <c r="C171" s="28"/>
    </row>
    <row r="172" spans="3:3" ht="15.75" customHeight="1">
      <c r="C172" s="28"/>
    </row>
    <row r="173" spans="3:3" ht="15.75" customHeight="1">
      <c r="C173" s="28"/>
    </row>
    <row r="174" spans="3:3" ht="15.75" customHeight="1">
      <c r="C174" s="28"/>
    </row>
    <row r="175" spans="3:3" ht="15.75" customHeight="1">
      <c r="C175" s="28"/>
    </row>
    <row r="176" spans="3:3" ht="15.75" customHeight="1">
      <c r="C176" s="28"/>
    </row>
    <row r="177" spans="3:3" ht="15.75" customHeight="1">
      <c r="C177" s="28"/>
    </row>
    <row r="178" spans="3:3" ht="15.75" customHeight="1">
      <c r="C178" s="28"/>
    </row>
    <row r="179" spans="3:3" ht="15.75" customHeight="1">
      <c r="C179" s="28"/>
    </row>
    <row r="180" spans="3:3" ht="15.75" customHeight="1">
      <c r="C180" s="28"/>
    </row>
    <row r="181" spans="3:3" ht="15.75" customHeight="1">
      <c r="C181" s="28"/>
    </row>
    <row r="182" spans="3:3" ht="15.75" customHeight="1">
      <c r="C182" s="28"/>
    </row>
    <row r="183" spans="3:3" ht="15.75" customHeight="1">
      <c r="C183" s="28"/>
    </row>
    <row r="184" spans="3:3" ht="15.75" customHeight="1">
      <c r="C184" s="28"/>
    </row>
    <row r="185" spans="3:3" ht="15.75" customHeight="1">
      <c r="C185" s="28"/>
    </row>
    <row r="186" spans="3:3" ht="15.75" customHeight="1">
      <c r="C186" s="28"/>
    </row>
    <row r="187" spans="3:3" ht="15.75" customHeight="1">
      <c r="C187" s="28"/>
    </row>
    <row r="188" spans="3:3" ht="15.75" customHeight="1">
      <c r="C188" s="28"/>
    </row>
    <row r="189" spans="3:3" ht="15.75" customHeight="1">
      <c r="C189" s="28"/>
    </row>
    <row r="190" spans="3:3" ht="15.75" customHeight="1">
      <c r="C190" s="28"/>
    </row>
    <row r="191" spans="3:3" ht="15.75" customHeight="1">
      <c r="C191" s="28"/>
    </row>
    <row r="192" spans="3:3" ht="15.75" customHeight="1">
      <c r="C192" s="28"/>
    </row>
    <row r="193" spans="3:3" ht="15.75" customHeight="1">
      <c r="C193" s="28"/>
    </row>
    <row r="194" spans="3:3" ht="15.75" customHeight="1">
      <c r="C194" s="28"/>
    </row>
    <row r="195" spans="3:3" ht="15.75" customHeight="1">
      <c r="C195" s="28"/>
    </row>
    <row r="196" spans="3:3" ht="15.75" customHeight="1">
      <c r="C196" s="28"/>
    </row>
    <row r="197" spans="3:3" ht="15.75" customHeight="1">
      <c r="C197" s="28"/>
    </row>
    <row r="198" spans="3:3" ht="15.75" customHeight="1">
      <c r="C198" s="28"/>
    </row>
    <row r="199" spans="3:3" ht="15.75" customHeight="1">
      <c r="C199" s="28"/>
    </row>
    <row r="200" spans="3:3" ht="15.75" customHeight="1">
      <c r="C200" s="28"/>
    </row>
    <row r="201" spans="3:3" ht="15.75" customHeight="1">
      <c r="C201" s="28"/>
    </row>
    <row r="202" spans="3:3" ht="15.75" customHeight="1">
      <c r="C202" s="28"/>
    </row>
    <row r="203" spans="3:3" ht="15.75" customHeight="1">
      <c r="C203" s="28"/>
    </row>
    <row r="204" spans="3:3" ht="15.75" customHeight="1">
      <c r="C204" s="28"/>
    </row>
    <row r="205" spans="3:3" ht="15.75" customHeight="1">
      <c r="C205" s="28"/>
    </row>
    <row r="206" spans="3:3" ht="15.75" customHeight="1">
      <c r="C206" s="28"/>
    </row>
    <row r="207" spans="3:3" ht="15.75" customHeight="1">
      <c r="C207" s="28"/>
    </row>
    <row r="208" spans="3:3" ht="15.75" customHeight="1">
      <c r="C208" s="28"/>
    </row>
    <row r="209" spans="3:3" ht="15.75" customHeight="1">
      <c r="C209" s="28"/>
    </row>
    <row r="210" spans="3:3" ht="15.75" customHeight="1">
      <c r="C210" s="28"/>
    </row>
    <row r="211" spans="3:3" ht="15.75" customHeight="1">
      <c r="C211" s="28"/>
    </row>
    <row r="212" spans="3:3" ht="15.75" customHeight="1">
      <c r="C212" s="28"/>
    </row>
    <row r="213" spans="3:3" ht="15.75" customHeight="1">
      <c r="C213" s="28"/>
    </row>
    <row r="214" spans="3:3" ht="15.75" customHeight="1">
      <c r="C214" s="28"/>
    </row>
    <row r="215" spans="3:3" ht="15.75" customHeight="1">
      <c r="C215" s="28"/>
    </row>
    <row r="216" spans="3:3" ht="15.75" customHeight="1">
      <c r="C216" s="28"/>
    </row>
    <row r="217" spans="3:3" ht="15.75" customHeight="1">
      <c r="C217" s="28"/>
    </row>
    <row r="218" spans="3:3" ht="15.75" customHeight="1">
      <c r="C218" s="28"/>
    </row>
    <row r="219" spans="3:3" ht="15.75" customHeight="1">
      <c r="C219" s="28"/>
    </row>
    <row r="220" spans="3:3" ht="15.75" customHeight="1">
      <c r="C220" s="28"/>
    </row>
    <row r="221" spans="3:3" ht="15.75" customHeight="1">
      <c r="C221" s="28"/>
    </row>
    <row r="222" spans="3:3" ht="15.75" customHeight="1">
      <c r="C222" s="28"/>
    </row>
    <row r="223" spans="3:3" ht="15.75" customHeight="1">
      <c r="C223" s="28"/>
    </row>
    <row r="224" spans="3:3" ht="15.75" customHeight="1">
      <c r="C224" s="28"/>
    </row>
    <row r="225" spans="3:3" ht="15.75" customHeight="1">
      <c r="C225" s="28"/>
    </row>
    <row r="226" spans="3:3" ht="15.75" customHeight="1">
      <c r="C226" s="28"/>
    </row>
    <row r="227" spans="3:3" ht="15.75" customHeight="1">
      <c r="C227" s="28"/>
    </row>
    <row r="228" spans="3:3" ht="15.75" customHeight="1">
      <c r="C228" s="28"/>
    </row>
    <row r="229" spans="3:3" ht="15.75" customHeight="1">
      <c r="C229" s="28"/>
    </row>
    <row r="230" spans="3:3" ht="15.75" customHeight="1">
      <c r="C230" s="28"/>
    </row>
    <row r="231" spans="3:3" ht="15.75" customHeight="1">
      <c r="C231" s="28"/>
    </row>
    <row r="232" spans="3:3" ht="15.75" customHeight="1">
      <c r="C232" s="28"/>
    </row>
    <row r="233" spans="3:3" ht="15.75" customHeight="1">
      <c r="C233" s="28"/>
    </row>
    <row r="234" spans="3:3" ht="15.75" customHeight="1">
      <c r="C234" s="28"/>
    </row>
    <row r="235" spans="3:3" ht="15.75" customHeight="1">
      <c r="C235" s="28"/>
    </row>
    <row r="236" spans="3:3" ht="15.75" customHeight="1">
      <c r="C236" s="28"/>
    </row>
    <row r="237" spans="3:3" ht="15.75" customHeight="1">
      <c r="C237" s="28"/>
    </row>
    <row r="238" spans="3:3" ht="15.75" customHeight="1">
      <c r="C238" s="28"/>
    </row>
    <row r="239" spans="3:3" ht="15.75" customHeight="1">
      <c r="C239" s="28"/>
    </row>
    <row r="240" spans="3:3" ht="15.75" customHeight="1">
      <c r="C240" s="28"/>
    </row>
    <row r="241" spans="3:3" ht="15.75" customHeight="1">
      <c r="C241" s="28"/>
    </row>
    <row r="242" spans="3:3" ht="15.75" customHeight="1">
      <c r="C242" s="28"/>
    </row>
    <row r="243" spans="3:3" ht="15.75" customHeight="1">
      <c r="C243" s="28"/>
    </row>
    <row r="244" spans="3:3" ht="15.75" customHeight="1">
      <c r="C244" s="28"/>
    </row>
    <row r="245" spans="3:3" ht="15.75" customHeight="1">
      <c r="C245" s="28"/>
    </row>
    <row r="246" spans="3:3" ht="15.75" customHeight="1">
      <c r="C246" s="28"/>
    </row>
    <row r="247" spans="3:3" ht="15.75" customHeight="1">
      <c r="C247" s="28"/>
    </row>
    <row r="248" spans="3:3" ht="15.75" customHeight="1">
      <c r="C248" s="28"/>
    </row>
    <row r="249" spans="3:3" ht="15.75" customHeight="1">
      <c r="C249" s="28"/>
    </row>
    <row r="250" spans="3:3" ht="15.75" customHeight="1">
      <c r="C250" s="28"/>
    </row>
    <row r="251" spans="3:3" ht="15.75" customHeight="1">
      <c r="C251" s="28"/>
    </row>
    <row r="252" spans="3:3" ht="15.75" customHeight="1">
      <c r="C252" s="28"/>
    </row>
    <row r="253" spans="3:3" ht="15.75" customHeight="1">
      <c r="C253" s="28"/>
    </row>
    <row r="254" spans="3:3" ht="15.75" customHeight="1">
      <c r="C254" s="28"/>
    </row>
    <row r="255" spans="3:3" ht="15.75" customHeight="1">
      <c r="C255" s="28"/>
    </row>
    <row r="256" spans="3:3" ht="15.75" customHeight="1">
      <c r="C256" s="28"/>
    </row>
    <row r="257" spans="3:3" ht="15.75" customHeight="1">
      <c r="C257" s="28"/>
    </row>
    <row r="258" spans="3:3" ht="15.75" customHeight="1">
      <c r="C258" s="28"/>
    </row>
    <row r="259" spans="3:3" ht="15.75" customHeight="1">
      <c r="C259" s="28"/>
    </row>
    <row r="260" spans="3:3" ht="15.75" customHeight="1">
      <c r="C260" s="28"/>
    </row>
    <row r="261" spans="3:3" ht="15.75" customHeight="1">
      <c r="C261" s="28"/>
    </row>
    <row r="262" spans="3:3" ht="15.75" customHeight="1">
      <c r="C262" s="28"/>
    </row>
    <row r="263" spans="3:3" ht="15.75" customHeight="1">
      <c r="C263" s="28"/>
    </row>
    <row r="264" spans="3:3" ht="15.75" customHeight="1">
      <c r="C264" s="28"/>
    </row>
    <row r="265" spans="3:3" ht="15.75" customHeight="1">
      <c r="C265" s="28"/>
    </row>
    <row r="266" spans="3:3" ht="15.75" customHeight="1">
      <c r="C266" s="28"/>
    </row>
    <row r="267" spans="3:3" ht="15.75" customHeight="1">
      <c r="C267" s="28"/>
    </row>
    <row r="268" spans="3:3" ht="15.75" customHeight="1">
      <c r="C268" s="28"/>
    </row>
    <row r="269" spans="3:3" ht="15.75" customHeight="1">
      <c r="C269" s="28"/>
    </row>
    <row r="270" spans="3:3" ht="15.75" customHeight="1">
      <c r="C270" s="28"/>
    </row>
    <row r="271" spans="3:3" ht="15.75" customHeight="1">
      <c r="C271" s="28"/>
    </row>
    <row r="272" spans="3:3" ht="15.75" customHeight="1">
      <c r="C272" s="28"/>
    </row>
    <row r="273" spans="3:3" ht="15.75" customHeight="1">
      <c r="C273" s="28"/>
    </row>
    <row r="274" spans="3:3" ht="15.75" customHeight="1">
      <c r="C274" s="28"/>
    </row>
    <row r="275" spans="3:3" ht="15.75" customHeight="1">
      <c r="C275" s="28"/>
    </row>
    <row r="276" spans="3:3" ht="15.75" customHeight="1">
      <c r="C276" s="28"/>
    </row>
    <row r="277" spans="3:3" ht="15.75" customHeight="1">
      <c r="C277" s="28"/>
    </row>
    <row r="278" spans="3:3" ht="15.75" customHeight="1">
      <c r="C278" s="28"/>
    </row>
    <row r="279" spans="3:3" ht="15.75" customHeight="1">
      <c r="C279" s="28"/>
    </row>
    <row r="280" spans="3:3" ht="15.75" customHeight="1">
      <c r="C280" s="28"/>
    </row>
    <row r="281" spans="3:3" ht="15.75" customHeight="1">
      <c r="C281" s="28"/>
    </row>
    <row r="282" spans="3:3" ht="15.75" customHeight="1">
      <c r="C282" s="28"/>
    </row>
    <row r="283" spans="3:3" ht="15.75" customHeight="1">
      <c r="C283" s="28"/>
    </row>
    <row r="284" spans="3:3" ht="15.75" customHeight="1">
      <c r="C284" s="28"/>
    </row>
    <row r="285" spans="3:3" ht="15.75" customHeight="1">
      <c r="C285" s="28"/>
    </row>
    <row r="286" spans="3:3" ht="15.75" customHeight="1">
      <c r="C286" s="28"/>
    </row>
    <row r="287" spans="3:3" ht="15.75" customHeight="1">
      <c r="C287" s="28"/>
    </row>
    <row r="288" spans="3:3" ht="15.75" customHeight="1">
      <c r="C288" s="28"/>
    </row>
    <row r="289" spans="3:3" ht="15.75" customHeight="1">
      <c r="C289" s="28"/>
    </row>
    <row r="290" spans="3:3" ht="15.75" customHeight="1">
      <c r="C290" s="28"/>
    </row>
    <row r="291" spans="3:3" ht="15.75" customHeight="1">
      <c r="C291" s="28"/>
    </row>
    <row r="292" spans="3:3" ht="15.75" customHeight="1">
      <c r="C292" s="28"/>
    </row>
    <row r="293" spans="3:3" ht="15.75" customHeight="1">
      <c r="C293" s="28"/>
    </row>
    <row r="294" spans="3:3" ht="15.75" customHeight="1">
      <c r="C294" s="28"/>
    </row>
    <row r="295" spans="3:3" ht="15.75" customHeight="1">
      <c r="C295" s="28"/>
    </row>
    <row r="296" spans="3:3" ht="15.75" customHeight="1">
      <c r="C296" s="28"/>
    </row>
    <row r="297" spans="3:3" ht="15.75" customHeight="1">
      <c r="C297" s="28"/>
    </row>
    <row r="298" spans="3:3" ht="15.75" customHeight="1">
      <c r="C298" s="28"/>
    </row>
    <row r="299" spans="3:3" ht="15.75" customHeight="1">
      <c r="C299" s="28"/>
    </row>
    <row r="300" spans="3:3" ht="15.75" customHeight="1">
      <c r="C300" s="28"/>
    </row>
    <row r="301" spans="3:3" ht="15.75" customHeight="1">
      <c r="C301" s="28"/>
    </row>
    <row r="302" spans="3:3" ht="15.75" customHeight="1">
      <c r="C302" s="28"/>
    </row>
    <row r="303" spans="3:3" ht="15.75" customHeight="1">
      <c r="C303" s="28"/>
    </row>
    <row r="304" spans="3:3" ht="15.75" customHeight="1">
      <c r="C304" s="28"/>
    </row>
    <row r="305" spans="3:3" ht="15.75" customHeight="1">
      <c r="C305" s="28"/>
    </row>
    <row r="306" spans="3:3" ht="15.75" customHeight="1">
      <c r="C306" s="28"/>
    </row>
    <row r="307" spans="3:3" ht="15.75" customHeight="1">
      <c r="C307" s="28"/>
    </row>
    <row r="308" spans="3:3" ht="15.75" customHeight="1">
      <c r="C308" s="28"/>
    </row>
    <row r="309" spans="3:3" ht="15.75" customHeight="1">
      <c r="C309" s="28"/>
    </row>
    <row r="310" spans="3:3" ht="15.75" customHeight="1">
      <c r="C310" s="28"/>
    </row>
    <row r="311" spans="3:3" ht="15.75" customHeight="1">
      <c r="C311" s="28"/>
    </row>
    <row r="312" spans="3:3" ht="15.75" customHeight="1">
      <c r="C312" s="28"/>
    </row>
    <row r="313" spans="3:3" ht="15.75" customHeight="1">
      <c r="C313" s="28"/>
    </row>
    <row r="314" spans="3:3" ht="15.75" customHeight="1">
      <c r="C314" s="28"/>
    </row>
    <row r="315" spans="3:3" ht="15.75" customHeight="1">
      <c r="C315" s="28"/>
    </row>
    <row r="316" spans="3:3" ht="15.75" customHeight="1">
      <c r="C316" s="28"/>
    </row>
    <row r="317" spans="3:3" ht="15.75" customHeight="1">
      <c r="C317" s="28"/>
    </row>
    <row r="318" spans="3:3" ht="15.75" customHeight="1">
      <c r="C318" s="28"/>
    </row>
    <row r="319" spans="3:3" ht="15.75" customHeight="1">
      <c r="C319" s="28"/>
    </row>
    <row r="320" spans="3:3" ht="15.75" customHeight="1">
      <c r="C320" s="28"/>
    </row>
    <row r="321" spans="3:3" ht="15.75" customHeight="1">
      <c r="C321" s="28"/>
    </row>
    <row r="322" spans="3:3" ht="15.75" customHeight="1">
      <c r="C322" s="28"/>
    </row>
    <row r="323" spans="3:3" ht="15.75" customHeight="1">
      <c r="C323" s="28"/>
    </row>
    <row r="324" spans="3:3" ht="15.75" customHeight="1">
      <c r="C324" s="28"/>
    </row>
    <row r="325" spans="3:3" ht="15.75" customHeight="1">
      <c r="C325" s="28"/>
    </row>
    <row r="326" spans="3:3" ht="15.75" customHeight="1">
      <c r="C326" s="28"/>
    </row>
    <row r="327" spans="3:3" ht="15.75" customHeight="1">
      <c r="C327" s="28"/>
    </row>
    <row r="328" spans="3:3" ht="15.75" customHeight="1">
      <c r="C328" s="28"/>
    </row>
    <row r="329" spans="3:3" ht="15.75" customHeight="1">
      <c r="C329" s="28"/>
    </row>
    <row r="330" spans="3:3" ht="15.75" customHeight="1">
      <c r="C330" s="28"/>
    </row>
    <row r="331" spans="3:3" ht="15.75" customHeight="1">
      <c r="C331" s="28"/>
    </row>
    <row r="332" spans="3:3" ht="15.75" customHeight="1">
      <c r="C332" s="28"/>
    </row>
    <row r="333" spans="3:3" ht="15.75" customHeight="1">
      <c r="C333" s="28"/>
    </row>
    <row r="334" spans="3:3" ht="15.75" customHeight="1">
      <c r="C334" s="28"/>
    </row>
    <row r="335" spans="3:3" ht="15.75" customHeight="1">
      <c r="C335" s="28"/>
    </row>
    <row r="336" spans="3:3" ht="15.75" customHeight="1">
      <c r="C336" s="28"/>
    </row>
    <row r="337" spans="3:3" ht="15.75" customHeight="1">
      <c r="C337" s="28"/>
    </row>
    <row r="338" spans="3:3" ht="15.75" customHeight="1">
      <c r="C338" s="28"/>
    </row>
    <row r="339" spans="3:3" ht="15.75" customHeight="1">
      <c r="C339" s="28"/>
    </row>
    <row r="340" spans="3:3" ht="15.75" customHeight="1">
      <c r="C340" s="28"/>
    </row>
    <row r="341" spans="3:3" ht="15.75" customHeight="1">
      <c r="C341" s="28"/>
    </row>
    <row r="342" spans="3:3" ht="15.75" customHeight="1">
      <c r="C342" s="28"/>
    </row>
    <row r="343" spans="3:3" ht="15.75" customHeight="1">
      <c r="C343" s="28"/>
    </row>
    <row r="344" spans="3:3" ht="15.75" customHeight="1">
      <c r="C344" s="28"/>
    </row>
    <row r="345" spans="3:3" ht="15.75" customHeight="1">
      <c r="C345" s="28"/>
    </row>
    <row r="346" spans="3:3" ht="15.75" customHeight="1">
      <c r="C346" s="28"/>
    </row>
    <row r="347" spans="3:3" ht="15.75" customHeight="1">
      <c r="C347" s="28"/>
    </row>
    <row r="348" spans="3:3" ht="15.75" customHeight="1">
      <c r="C348" s="28"/>
    </row>
    <row r="349" spans="3:3" ht="15.75" customHeight="1">
      <c r="C349" s="28"/>
    </row>
    <row r="350" spans="3:3" ht="15.75" customHeight="1">
      <c r="C350" s="28"/>
    </row>
    <row r="351" spans="3:3" ht="15.75" customHeight="1">
      <c r="C351" s="28"/>
    </row>
    <row r="352" spans="3:3" ht="15.75" customHeight="1">
      <c r="C352" s="28"/>
    </row>
    <row r="353" spans="3:3" ht="15.75" customHeight="1">
      <c r="C353" s="28"/>
    </row>
    <row r="354" spans="3:3" ht="15.75" customHeight="1">
      <c r="C354" s="28"/>
    </row>
    <row r="355" spans="3:3" ht="15.75" customHeight="1">
      <c r="C355" s="28"/>
    </row>
    <row r="356" spans="3:3" ht="15.75" customHeight="1">
      <c r="C356" s="28"/>
    </row>
    <row r="357" spans="3:3" ht="15.75" customHeight="1">
      <c r="C357" s="28"/>
    </row>
    <row r="358" spans="3:3" ht="15.75" customHeight="1">
      <c r="C358" s="28"/>
    </row>
    <row r="359" spans="3:3" ht="15.75" customHeight="1">
      <c r="C359" s="28"/>
    </row>
    <row r="360" spans="3:3" ht="15.75" customHeight="1">
      <c r="C360" s="28"/>
    </row>
    <row r="361" spans="3:3" ht="15.75" customHeight="1">
      <c r="C361" s="28"/>
    </row>
    <row r="362" spans="3:3" ht="15.75" customHeight="1">
      <c r="C362" s="28"/>
    </row>
    <row r="363" spans="3:3" ht="15.75" customHeight="1">
      <c r="C363" s="28"/>
    </row>
    <row r="364" spans="3:3" ht="15.75" customHeight="1">
      <c r="C364" s="28"/>
    </row>
    <row r="365" spans="3:3" ht="15.75" customHeight="1">
      <c r="C365" s="28"/>
    </row>
    <row r="366" spans="3:3" ht="15.75" customHeight="1">
      <c r="C366" s="28"/>
    </row>
    <row r="367" spans="3:3" ht="15.75" customHeight="1">
      <c r="C367" s="28"/>
    </row>
    <row r="368" spans="3:3" ht="15.75" customHeight="1">
      <c r="C368" s="28"/>
    </row>
    <row r="369" spans="3:3" ht="15.75" customHeight="1">
      <c r="C369" s="28"/>
    </row>
    <row r="370" spans="3:3" ht="15.75" customHeight="1">
      <c r="C370" s="28"/>
    </row>
    <row r="371" spans="3:3" ht="15.75" customHeight="1">
      <c r="C371" s="28"/>
    </row>
    <row r="372" spans="3:3" ht="15.75" customHeight="1">
      <c r="C372" s="28"/>
    </row>
    <row r="373" spans="3:3" ht="15.75" customHeight="1">
      <c r="C373" s="28"/>
    </row>
    <row r="374" spans="3:3" ht="15.75" customHeight="1">
      <c r="C374" s="28"/>
    </row>
    <row r="375" spans="3:3" ht="15.75" customHeight="1">
      <c r="C375" s="28"/>
    </row>
    <row r="376" spans="3:3" ht="15.75" customHeight="1">
      <c r="C376" s="28"/>
    </row>
    <row r="377" spans="3:3" ht="15.75" customHeight="1">
      <c r="C377" s="28"/>
    </row>
    <row r="378" spans="3:3" ht="15.75" customHeight="1">
      <c r="C378" s="28"/>
    </row>
    <row r="379" spans="3:3" ht="15.75" customHeight="1">
      <c r="C379" s="28"/>
    </row>
    <row r="380" spans="3:3" ht="15.75" customHeight="1">
      <c r="C380" s="28"/>
    </row>
    <row r="381" spans="3:3" ht="15.75" customHeight="1">
      <c r="C381" s="28"/>
    </row>
    <row r="382" spans="3:3" ht="15.75" customHeight="1">
      <c r="C382" s="28"/>
    </row>
    <row r="383" spans="3:3" ht="15.75" customHeight="1">
      <c r="C383" s="28"/>
    </row>
    <row r="384" spans="3:3" ht="15.75" customHeight="1">
      <c r="C384" s="28"/>
    </row>
    <row r="385" spans="3:3" ht="15.75" customHeight="1">
      <c r="C385" s="28"/>
    </row>
    <row r="386" spans="3:3" ht="15.75" customHeight="1">
      <c r="C386" s="28"/>
    </row>
    <row r="387" spans="3:3" ht="15.75" customHeight="1">
      <c r="C387" s="28"/>
    </row>
    <row r="388" spans="3:3" ht="15.75" customHeight="1">
      <c r="C388" s="28"/>
    </row>
    <row r="389" spans="3:3" ht="15.75" customHeight="1">
      <c r="C389" s="28"/>
    </row>
    <row r="390" spans="3:3" ht="15.75" customHeight="1">
      <c r="C390" s="28"/>
    </row>
    <row r="391" spans="3:3" ht="15.75" customHeight="1">
      <c r="C391" s="28"/>
    </row>
    <row r="392" spans="3:3" ht="15.75" customHeight="1">
      <c r="C392" s="28"/>
    </row>
    <row r="393" spans="3:3" ht="15.75" customHeight="1">
      <c r="C393" s="28"/>
    </row>
    <row r="394" spans="3:3" ht="15.75" customHeight="1">
      <c r="C394" s="28"/>
    </row>
    <row r="395" spans="3:3" ht="15.75" customHeight="1">
      <c r="C395" s="28"/>
    </row>
    <row r="396" spans="3:3" ht="15.75" customHeight="1">
      <c r="C396" s="28"/>
    </row>
    <row r="397" spans="3:3" ht="15.75" customHeight="1">
      <c r="C397" s="28"/>
    </row>
    <row r="398" spans="3:3" ht="15.75" customHeight="1">
      <c r="C398" s="28"/>
    </row>
    <row r="399" spans="3:3" ht="15.75" customHeight="1">
      <c r="C399" s="28"/>
    </row>
    <row r="400" spans="3:3" ht="15.75" customHeight="1">
      <c r="C400" s="28"/>
    </row>
    <row r="401" spans="3:3" ht="15.75" customHeight="1">
      <c r="C401" s="28"/>
    </row>
    <row r="402" spans="3:3" ht="15.75" customHeight="1">
      <c r="C402" s="28"/>
    </row>
    <row r="403" spans="3:3" ht="15.75" customHeight="1">
      <c r="C403" s="28"/>
    </row>
    <row r="404" spans="3:3" ht="15.75" customHeight="1">
      <c r="C404" s="28"/>
    </row>
    <row r="405" spans="3:3" ht="15.75" customHeight="1">
      <c r="C405" s="28"/>
    </row>
    <row r="406" spans="3:3" ht="15.75" customHeight="1">
      <c r="C406" s="28"/>
    </row>
    <row r="407" spans="3:3" ht="15.75" customHeight="1">
      <c r="C407" s="28"/>
    </row>
    <row r="408" spans="3:3" ht="15.75" customHeight="1">
      <c r="C408" s="28"/>
    </row>
    <row r="409" spans="3:3" ht="15.75" customHeight="1">
      <c r="C409" s="28"/>
    </row>
    <row r="410" spans="3:3" ht="15.75" customHeight="1">
      <c r="C410" s="28"/>
    </row>
    <row r="411" spans="3:3" ht="15.75" customHeight="1">
      <c r="C411" s="28"/>
    </row>
    <row r="412" spans="3:3" ht="15.75" customHeight="1">
      <c r="C412" s="28"/>
    </row>
    <row r="413" spans="3:3" ht="15.75" customHeight="1">
      <c r="C413" s="28"/>
    </row>
    <row r="414" spans="3:3" ht="15.75" customHeight="1">
      <c r="C414" s="28"/>
    </row>
    <row r="415" spans="3:3" ht="15.75" customHeight="1">
      <c r="C415" s="28"/>
    </row>
    <row r="416" spans="3:3" ht="15.75" customHeight="1">
      <c r="C416" s="28"/>
    </row>
    <row r="417" spans="3:3" ht="15.75" customHeight="1">
      <c r="C417" s="28"/>
    </row>
    <row r="418" spans="3:3" ht="15.75" customHeight="1">
      <c r="C418" s="28"/>
    </row>
    <row r="419" spans="3:3" ht="15.75" customHeight="1">
      <c r="C419" s="28"/>
    </row>
    <row r="420" spans="3:3" ht="15.75" customHeight="1">
      <c r="C420" s="28"/>
    </row>
    <row r="421" spans="3:3" ht="15.75" customHeight="1">
      <c r="C421" s="28"/>
    </row>
    <row r="422" spans="3:3" ht="15.75" customHeight="1">
      <c r="C422" s="28"/>
    </row>
    <row r="423" spans="3:3" ht="15.75" customHeight="1">
      <c r="C423" s="28"/>
    </row>
    <row r="424" spans="3:3" ht="15.75" customHeight="1">
      <c r="C424" s="28"/>
    </row>
    <row r="425" spans="3:3" ht="15.75" customHeight="1">
      <c r="C425" s="28"/>
    </row>
    <row r="426" spans="3:3" ht="15.75" customHeight="1">
      <c r="C426" s="28"/>
    </row>
    <row r="427" spans="3:3" ht="15.75" customHeight="1">
      <c r="C427" s="28"/>
    </row>
    <row r="428" spans="3:3" ht="15.75" customHeight="1">
      <c r="C428" s="28"/>
    </row>
    <row r="429" spans="3:3" ht="15.75" customHeight="1">
      <c r="C429" s="28"/>
    </row>
    <row r="430" spans="3:3" ht="15.75" customHeight="1">
      <c r="C430" s="28"/>
    </row>
    <row r="431" spans="3:3" ht="15.75" customHeight="1">
      <c r="C431" s="28"/>
    </row>
    <row r="432" spans="3:3" ht="15.75" customHeight="1">
      <c r="C432" s="28"/>
    </row>
    <row r="433" spans="3:3" ht="15.75" customHeight="1">
      <c r="C433" s="28"/>
    </row>
    <row r="434" spans="3:3" ht="15.75" customHeight="1">
      <c r="C434" s="28"/>
    </row>
    <row r="435" spans="3:3" ht="15.75" customHeight="1">
      <c r="C435" s="28"/>
    </row>
    <row r="436" spans="3:3" ht="15.75" customHeight="1">
      <c r="C436" s="28"/>
    </row>
    <row r="437" spans="3:3" ht="15.75" customHeight="1">
      <c r="C437" s="28"/>
    </row>
    <row r="438" spans="3:3" ht="15.75" customHeight="1">
      <c r="C438" s="28"/>
    </row>
    <row r="439" spans="3:3" ht="15.75" customHeight="1">
      <c r="C439" s="28"/>
    </row>
    <row r="440" spans="3:3" ht="15.75" customHeight="1">
      <c r="C440" s="28"/>
    </row>
    <row r="441" spans="3:3" ht="15.75" customHeight="1">
      <c r="C441" s="28"/>
    </row>
    <row r="442" spans="3:3" ht="15.75" customHeight="1">
      <c r="C442" s="28"/>
    </row>
    <row r="443" spans="3:3" ht="15.75" customHeight="1">
      <c r="C443" s="28"/>
    </row>
    <row r="444" spans="3:3" ht="15.75" customHeight="1">
      <c r="C444" s="28"/>
    </row>
    <row r="445" spans="3:3" ht="15.75" customHeight="1">
      <c r="C445" s="28"/>
    </row>
    <row r="446" spans="3:3" ht="15.75" customHeight="1">
      <c r="C446" s="28"/>
    </row>
    <row r="447" spans="3:3" ht="15.75" customHeight="1">
      <c r="C447" s="28"/>
    </row>
    <row r="448" spans="3:3" ht="15.75" customHeight="1">
      <c r="C448" s="28"/>
    </row>
    <row r="449" spans="3:3" ht="15.75" customHeight="1">
      <c r="C449" s="28"/>
    </row>
    <row r="450" spans="3:3" ht="15.75" customHeight="1">
      <c r="C450" s="28"/>
    </row>
    <row r="451" spans="3:3" ht="15.75" customHeight="1">
      <c r="C451" s="28"/>
    </row>
    <row r="452" spans="3:3" ht="15.75" customHeight="1">
      <c r="C452" s="28"/>
    </row>
    <row r="453" spans="3:3" ht="15.75" customHeight="1">
      <c r="C453" s="28"/>
    </row>
    <row r="454" spans="3:3" ht="15.75" customHeight="1">
      <c r="C454" s="28"/>
    </row>
    <row r="455" spans="3:3" ht="15.75" customHeight="1">
      <c r="C455" s="28"/>
    </row>
    <row r="456" spans="3:3" ht="15.75" customHeight="1">
      <c r="C456" s="28"/>
    </row>
    <row r="457" spans="3:3" ht="15.75" customHeight="1">
      <c r="C457" s="28"/>
    </row>
    <row r="458" spans="3:3" ht="15.75" customHeight="1">
      <c r="C458" s="28"/>
    </row>
    <row r="459" spans="3:3" ht="15.75" customHeight="1">
      <c r="C459" s="28"/>
    </row>
    <row r="460" spans="3:3" ht="15.75" customHeight="1">
      <c r="C460" s="28"/>
    </row>
    <row r="461" spans="3:3" ht="15.75" customHeight="1">
      <c r="C461" s="28"/>
    </row>
    <row r="462" spans="3:3" ht="15.75" customHeight="1">
      <c r="C462" s="28"/>
    </row>
    <row r="463" spans="3:3" ht="15.75" customHeight="1">
      <c r="C463" s="28"/>
    </row>
    <row r="464" spans="3:3" ht="15.75" customHeight="1">
      <c r="C464" s="28"/>
    </row>
    <row r="465" spans="3:3" ht="15.75" customHeight="1">
      <c r="C465" s="28"/>
    </row>
    <row r="466" spans="3:3" ht="15.75" customHeight="1">
      <c r="C466" s="28"/>
    </row>
    <row r="467" spans="3:3" ht="15.75" customHeight="1">
      <c r="C467" s="28"/>
    </row>
    <row r="468" spans="3:3" ht="15.75" customHeight="1">
      <c r="C468" s="28"/>
    </row>
    <row r="469" spans="3:3" ht="15.75" customHeight="1">
      <c r="C469" s="28"/>
    </row>
    <row r="470" spans="3:3" ht="15.75" customHeight="1">
      <c r="C470" s="28"/>
    </row>
    <row r="471" spans="3:3" ht="15.75" customHeight="1">
      <c r="C471" s="28"/>
    </row>
    <row r="472" spans="3:3" ht="15.75" customHeight="1">
      <c r="C472" s="28"/>
    </row>
    <row r="473" spans="3:3" ht="15.75" customHeight="1">
      <c r="C473" s="28"/>
    </row>
    <row r="474" spans="3:3" ht="15.75" customHeight="1">
      <c r="C474" s="28"/>
    </row>
    <row r="475" spans="3:3" ht="15.75" customHeight="1">
      <c r="C475" s="28"/>
    </row>
    <row r="476" spans="3:3" ht="15.75" customHeight="1">
      <c r="C476" s="28"/>
    </row>
    <row r="477" spans="3:3" ht="15.75" customHeight="1">
      <c r="C477" s="28"/>
    </row>
    <row r="478" spans="3:3" ht="15.75" customHeight="1">
      <c r="C478" s="28"/>
    </row>
    <row r="479" spans="3:3" ht="15.75" customHeight="1">
      <c r="C479" s="28"/>
    </row>
    <row r="480" spans="3:3" ht="15.75" customHeight="1">
      <c r="C480" s="28"/>
    </row>
    <row r="481" spans="3:3" ht="15.75" customHeight="1">
      <c r="C481" s="28"/>
    </row>
    <row r="482" spans="3:3" ht="15.75" customHeight="1">
      <c r="C482" s="28"/>
    </row>
    <row r="483" spans="3:3" ht="15.75" customHeight="1">
      <c r="C483" s="28"/>
    </row>
    <row r="484" spans="3:3" ht="15.75" customHeight="1">
      <c r="C484" s="28"/>
    </row>
    <row r="485" spans="3:3" ht="15.75" customHeight="1">
      <c r="C485" s="28"/>
    </row>
    <row r="486" spans="3:3" ht="15.75" customHeight="1">
      <c r="C486" s="28"/>
    </row>
    <row r="487" spans="3:3" ht="15.75" customHeight="1">
      <c r="C487" s="28"/>
    </row>
    <row r="488" spans="3:3" ht="15.75" customHeight="1">
      <c r="C488" s="28"/>
    </row>
    <row r="489" spans="3:3" ht="15.75" customHeight="1">
      <c r="C489" s="28"/>
    </row>
    <row r="490" spans="3:3" ht="15.75" customHeight="1">
      <c r="C490" s="28"/>
    </row>
    <row r="491" spans="3:3" ht="15.75" customHeight="1">
      <c r="C491" s="28"/>
    </row>
    <row r="492" spans="3:3" ht="15.75" customHeight="1">
      <c r="C492" s="28"/>
    </row>
    <row r="493" spans="3:3" ht="15.75" customHeight="1">
      <c r="C493" s="28"/>
    </row>
    <row r="494" spans="3:3" ht="15.75" customHeight="1">
      <c r="C494" s="28"/>
    </row>
    <row r="495" spans="3:3" ht="15.75" customHeight="1">
      <c r="C495" s="28"/>
    </row>
    <row r="496" spans="3:3" ht="15.75" customHeight="1">
      <c r="C496" s="28"/>
    </row>
    <row r="497" spans="3:3" ht="15.75" customHeight="1">
      <c r="C497" s="28"/>
    </row>
    <row r="498" spans="3:3" ht="15.75" customHeight="1">
      <c r="C498" s="28"/>
    </row>
    <row r="499" spans="3:3" ht="15.75" customHeight="1">
      <c r="C499" s="28"/>
    </row>
    <row r="500" spans="3:3" ht="15.75" customHeight="1">
      <c r="C500" s="28"/>
    </row>
    <row r="501" spans="3:3" ht="15.75" customHeight="1">
      <c r="C501" s="28"/>
    </row>
    <row r="502" spans="3:3" ht="15.75" customHeight="1">
      <c r="C502" s="28"/>
    </row>
    <row r="503" spans="3:3" ht="15.75" customHeight="1">
      <c r="C503" s="28"/>
    </row>
    <row r="504" spans="3:3" ht="15.75" customHeight="1">
      <c r="C504" s="28"/>
    </row>
    <row r="505" spans="3:3" ht="15.75" customHeight="1">
      <c r="C505" s="28"/>
    </row>
    <row r="506" spans="3:3" ht="15.75" customHeight="1">
      <c r="C506" s="28"/>
    </row>
    <row r="507" spans="3:3" ht="15.75" customHeight="1">
      <c r="C507" s="28"/>
    </row>
    <row r="508" spans="3:3" ht="15.75" customHeight="1">
      <c r="C508" s="28"/>
    </row>
    <row r="509" spans="3:3" ht="15.75" customHeight="1">
      <c r="C509" s="28"/>
    </row>
    <row r="510" spans="3:3" ht="15.75" customHeight="1">
      <c r="C510" s="28"/>
    </row>
    <row r="511" spans="3:3" ht="15.75" customHeight="1">
      <c r="C511" s="28"/>
    </row>
    <row r="512" spans="3:3" ht="15.75" customHeight="1">
      <c r="C512" s="28"/>
    </row>
    <row r="513" spans="3:3" ht="15.75" customHeight="1">
      <c r="C513" s="28"/>
    </row>
    <row r="514" spans="3:3" ht="15.75" customHeight="1">
      <c r="C514" s="28"/>
    </row>
    <row r="515" spans="3:3" ht="15.75" customHeight="1">
      <c r="C515" s="28"/>
    </row>
    <row r="516" spans="3:3" ht="15.75" customHeight="1">
      <c r="C516" s="28"/>
    </row>
    <row r="517" spans="3:3" ht="15.75" customHeight="1">
      <c r="C517" s="28"/>
    </row>
    <row r="518" spans="3:3" ht="15.75" customHeight="1">
      <c r="C518" s="28"/>
    </row>
    <row r="519" spans="3:3" ht="15.75" customHeight="1">
      <c r="C519" s="28"/>
    </row>
    <row r="520" spans="3:3" ht="15.75" customHeight="1">
      <c r="C520" s="28"/>
    </row>
    <row r="521" spans="3:3" ht="15.75" customHeight="1">
      <c r="C521" s="28"/>
    </row>
    <row r="522" spans="3:3" ht="15.75" customHeight="1">
      <c r="C522" s="28"/>
    </row>
    <row r="523" spans="3:3" ht="15.75" customHeight="1">
      <c r="C523" s="28"/>
    </row>
    <row r="524" spans="3:3" ht="15.75" customHeight="1">
      <c r="C524" s="28"/>
    </row>
    <row r="525" spans="3:3" ht="15.75" customHeight="1">
      <c r="C525" s="28"/>
    </row>
    <row r="526" spans="3:3" ht="15.75" customHeight="1">
      <c r="C526" s="28"/>
    </row>
    <row r="527" spans="3:3" ht="15.75" customHeight="1">
      <c r="C527" s="28"/>
    </row>
    <row r="528" spans="3:3" ht="15.75" customHeight="1">
      <c r="C528" s="28"/>
    </row>
    <row r="529" spans="3:3" ht="15.75" customHeight="1">
      <c r="C529" s="28"/>
    </row>
    <row r="530" spans="3:3" ht="15.75" customHeight="1">
      <c r="C530" s="28"/>
    </row>
    <row r="531" spans="3:3" ht="15.75" customHeight="1">
      <c r="C531" s="28"/>
    </row>
    <row r="532" spans="3:3" ht="15.75" customHeight="1">
      <c r="C532" s="28"/>
    </row>
    <row r="533" spans="3:3" ht="15.75" customHeight="1">
      <c r="C533" s="28"/>
    </row>
    <row r="534" spans="3:3" ht="15.75" customHeight="1">
      <c r="C534" s="28"/>
    </row>
    <row r="535" spans="3:3" ht="15.75" customHeight="1">
      <c r="C535" s="28"/>
    </row>
    <row r="536" spans="3:3" ht="15.75" customHeight="1">
      <c r="C536" s="28"/>
    </row>
    <row r="537" spans="3:3" ht="15.75" customHeight="1">
      <c r="C537" s="28"/>
    </row>
    <row r="538" spans="3:3" ht="15.75" customHeight="1">
      <c r="C538" s="28"/>
    </row>
    <row r="539" spans="3:3" ht="15.75" customHeight="1">
      <c r="C539" s="28"/>
    </row>
    <row r="540" spans="3:3" ht="15.75" customHeight="1">
      <c r="C540" s="28"/>
    </row>
    <row r="541" spans="3:3" ht="15.75" customHeight="1">
      <c r="C541" s="28"/>
    </row>
    <row r="542" spans="3:3" ht="15.75" customHeight="1">
      <c r="C542" s="28"/>
    </row>
    <row r="543" spans="3:3" ht="15.75" customHeight="1">
      <c r="C543" s="28"/>
    </row>
    <row r="544" spans="3:3" ht="15.75" customHeight="1">
      <c r="C544" s="28"/>
    </row>
    <row r="545" spans="3:3" ht="15.75" customHeight="1">
      <c r="C545" s="28"/>
    </row>
    <row r="546" spans="3:3" ht="15.75" customHeight="1">
      <c r="C546" s="28"/>
    </row>
    <row r="547" spans="3:3" ht="15.75" customHeight="1">
      <c r="C547" s="28"/>
    </row>
    <row r="548" spans="3:3" ht="15.75" customHeight="1">
      <c r="C548" s="28"/>
    </row>
    <row r="549" spans="3:3" ht="15.75" customHeight="1">
      <c r="C549" s="28"/>
    </row>
    <row r="550" spans="3:3" ht="15.75" customHeight="1">
      <c r="C550" s="28"/>
    </row>
    <row r="551" spans="3:3" ht="15.75" customHeight="1">
      <c r="C551" s="28"/>
    </row>
    <row r="552" spans="3:3" ht="15.75" customHeight="1">
      <c r="C552" s="28"/>
    </row>
    <row r="553" spans="3:3" ht="15.75" customHeight="1">
      <c r="C553" s="28"/>
    </row>
    <row r="554" spans="3:3" ht="15.75" customHeight="1">
      <c r="C554" s="28"/>
    </row>
    <row r="555" spans="3:3" ht="15.75" customHeight="1">
      <c r="C555" s="28"/>
    </row>
    <row r="556" spans="3:3" ht="15.75" customHeight="1">
      <c r="C556" s="28"/>
    </row>
    <row r="557" spans="3:3" ht="15.75" customHeight="1">
      <c r="C557" s="28"/>
    </row>
    <row r="558" spans="3:3" ht="15.75" customHeight="1">
      <c r="C558" s="28"/>
    </row>
    <row r="559" spans="3:3" ht="15.75" customHeight="1">
      <c r="C559" s="28"/>
    </row>
    <row r="560" spans="3:3" ht="15.75" customHeight="1">
      <c r="C560" s="28"/>
    </row>
    <row r="561" spans="3:3" ht="15.75" customHeight="1">
      <c r="C561" s="28"/>
    </row>
    <row r="562" spans="3:3" ht="15.75" customHeight="1">
      <c r="C562" s="28"/>
    </row>
    <row r="563" spans="3:3" ht="15.75" customHeight="1">
      <c r="C563" s="28"/>
    </row>
    <row r="564" spans="3:3" ht="15.75" customHeight="1">
      <c r="C564" s="28"/>
    </row>
    <row r="565" spans="3:3" ht="15.75" customHeight="1">
      <c r="C565" s="28"/>
    </row>
    <row r="566" spans="3:3" ht="15.75" customHeight="1">
      <c r="C566" s="28"/>
    </row>
    <row r="567" spans="3:3" ht="15.75" customHeight="1">
      <c r="C567" s="28"/>
    </row>
    <row r="568" spans="3:3" ht="15.75" customHeight="1">
      <c r="C568" s="28"/>
    </row>
    <row r="569" spans="3:3" ht="15.75" customHeight="1">
      <c r="C569" s="28"/>
    </row>
    <row r="570" spans="3:3" ht="15.75" customHeight="1">
      <c r="C570" s="28"/>
    </row>
    <row r="571" spans="3:3" ht="15.75" customHeight="1">
      <c r="C571" s="28"/>
    </row>
    <row r="572" spans="3:3" ht="15.75" customHeight="1">
      <c r="C572" s="28"/>
    </row>
    <row r="573" spans="3:3" ht="15.75" customHeight="1">
      <c r="C573" s="28"/>
    </row>
    <row r="574" spans="3:3" ht="15.75" customHeight="1">
      <c r="C574" s="28"/>
    </row>
    <row r="575" spans="3:3" ht="15.75" customHeight="1">
      <c r="C575" s="28"/>
    </row>
    <row r="576" spans="3:3" ht="15.75" customHeight="1">
      <c r="C576" s="28"/>
    </row>
    <row r="577" spans="3:3" ht="15.75" customHeight="1">
      <c r="C577" s="28"/>
    </row>
    <row r="578" spans="3:3" ht="15.75" customHeight="1">
      <c r="C578" s="28"/>
    </row>
    <row r="579" spans="3:3" ht="15.75" customHeight="1">
      <c r="C579" s="28"/>
    </row>
    <row r="580" spans="3:3" ht="15.75" customHeight="1">
      <c r="C580" s="28"/>
    </row>
    <row r="581" spans="3:3" ht="15.75" customHeight="1">
      <c r="C581" s="28"/>
    </row>
    <row r="582" spans="3:3" ht="15.75" customHeight="1">
      <c r="C582" s="28"/>
    </row>
    <row r="583" spans="3:3" ht="15.75" customHeight="1">
      <c r="C583" s="28"/>
    </row>
    <row r="584" spans="3:3" ht="15.75" customHeight="1">
      <c r="C584" s="28"/>
    </row>
    <row r="585" spans="3:3" ht="15.75" customHeight="1">
      <c r="C585" s="28"/>
    </row>
    <row r="586" spans="3:3" ht="15.75" customHeight="1">
      <c r="C586" s="28"/>
    </row>
    <row r="587" spans="3:3" ht="15.75" customHeight="1">
      <c r="C587" s="28"/>
    </row>
    <row r="588" spans="3:3" ht="15.75" customHeight="1">
      <c r="C588" s="28"/>
    </row>
    <row r="589" spans="3:3" ht="15.75" customHeight="1">
      <c r="C589" s="28"/>
    </row>
    <row r="590" spans="3:3" ht="15.75" customHeight="1">
      <c r="C590" s="28"/>
    </row>
    <row r="591" spans="3:3" ht="15.75" customHeight="1">
      <c r="C591" s="28"/>
    </row>
    <row r="592" spans="3:3" ht="15.75" customHeight="1">
      <c r="C592" s="28"/>
    </row>
    <row r="593" spans="3:3" ht="15.75" customHeight="1">
      <c r="C593" s="28"/>
    </row>
    <row r="594" spans="3:3" ht="15.75" customHeight="1">
      <c r="C594" s="28"/>
    </row>
    <row r="595" spans="3:3" ht="15.75" customHeight="1">
      <c r="C595" s="28"/>
    </row>
    <row r="596" spans="3:3" ht="15.75" customHeight="1">
      <c r="C596" s="28"/>
    </row>
    <row r="597" spans="3:3" ht="15.75" customHeight="1">
      <c r="C597" s="28"/>
    </row>
    <row r="598" spans="3:3" ht="15.75" customHeight="1">
      <c r="C598" s="28"/>
    </row>
    <row r="599" spans="3:3" ht="15.75" customHeight="1">
      <c r="C599" s="28"/>
    </row>
    <row r="600" spans="3:3" ht="15.75" customHeight="1">
      <c r="C600" s="28"/>
    </row>
    <row r="601" spans="3:3" ht="15.75" customHeight="1">
      <c r="C601" s="28"/>
    </row>
    <row r="602" spans="3:3" ht="15.75" customHeight="1">
      <c r="C602" s="28"/>
    </row>
    <row r="603" spans="3:3" ht="15.75" customHeight="1">
      <c r="C603" s="28"/>
    </row>
    <row r="604" spans="3:3" ht="15.75" customHeight="1">
      <c r="C604" s="28"/>
    </row>
    <row r="605" spans="3:3" ht="15.75" customHeight="1">
      <c r="C605" s="28"/>
    </row>
    <row r="606" spans="3:3" ht="15.75" customHeight="1">
      <c r="C606" s="28"/>
    </row>
    <row r="607" spans="3:3" ht="15.75" customHeight="1">
      <c r="C607" s="28"/>
    </row>
    <row r="608" spans="3:3" ht="15.75" customHeight="1">
      <c r="C608" s="28"/>
    </row>
    <row r="609" spans="3:3" ht="15.75" customHeight="1">
      <c r="C609" s="28"/>
    </row>
    <row r="610" spans="3:3" ht="15.75" customHeight="1">
      <c r="C610" s="28"/>
    </row>
    <row r="611" spans="3:3" ht="15.75" customHeight="1">
      <c r="C611" s="28"/>
    </row>
    <row r="612" spans="3:3" ht="15.75" customHeight="1">
      <c r="C612" s="28"/>
    </row>
    <row r="613" spans="3:3" ht="15.75" customHeight="1">
      <c r="C613" s="28"/>
    </row>
    <row r="614" spans="3:3" ht="15.75" customHeight="1">
      <c r="C614" s="28"/>
    </row>
    <row r="615" spans="3:3" ht="15.75" customHeight="1">
      <c r="C615" s="28"/>
    </row>
    <row r="616" spans="3:3" ht="15.75" customHeight="1">
      <c r="C616" s="28"/>
    </row>
    <row r="617" spans="3:3" ht="15.75" customHeight="1">
      <c r="C617" s="28"/>
    </row>
    <row r="618" spans="3:3" ht="15.75" customHeight="1">
      <c r="C618" s="28"/>
    </row>
    <row r="619" spans="3:3" ht="15.75" customHeight="1">
      <c r="C619" s="28"/>
    </row>
    <row r="620" spans="3:3" ht="15.75" customHeight="1">
      <c r="C620" s="28"/>
    </row>
    <row r="621" spans="3:3" ht="15.75" customHeight="1">
      <c r="C621" s="28"/>
    </row>
    <row r="622" spans="3:3" ht="15.75" customHeight="1">
      <c r="C622" s="28"/>
    </row>
    <row r="623" spans="3:3" ht="15.75" customHeight="1">
      <c r="C623" s="28"/>
    </row>
    <row r="624" spans="3:3" ht="15.75" customHeight="1">
      <c r="C624" s="28"/>
    </row>
    <row r="625" spans="3:3" ht="15.75" customHeight="1">
      <c r="C625" s="28"/>
    </row>
    <row r="626" spans="3:3" ht="15.75" customHeight="1">
      <c r="C626" s="28"/>
    </row>
    <row r="627" spans="3:3" ht="15.75" customHeight="1">
      <c r="C627" s="28"/>
    </row>
    <row r="628" spans="3:3" ht="15.75" customHeight="1">
      <c r="C628" s="28"/>
    </row>
    <row r="629" spans="3:3" ht="15.75" customHeight="1">
      <c r="C629" s="28"/>
    </row>
    <row r="630" spans="3:3" ht="15.75" customHeight="1">
      <c r="C630" s="28"/>
    </row>
    <row r="631" spans="3:3" ht="15.75" customHeight="1">
      <c r="C631" s="28"/>
    </row>
    <row r="632" spans="3:3" ht="15.75" customHeight="1">
      <c r="C632" s="28"/>
    </row>
    <row r="633" spans="3:3" ht="15.75" customHeight="1">
      <c r="C633" s="28"/>
    </row>
    <row r="634" spans="3:3" ht="15.75" customHeight="1">
      <c r="C634" s="28"/>
    </row>
    <row r="635" spans="3:3" ht="15.75" customHeight="1">
      <c r="C635" s="28"/>
    </row>
    <row r="636" spans="3:3" ht="15.75" customHeight="1">
      <c r="C636" s="28"/>
    </row>
    <row r="637" spans="3:3" ht="15.75" customHeight="1">
      <c r="C637" s="28"/>
    </row>
    <row r="638" spans="3:3" ht="15.75" customHeight="1">
      <c r="C638" s="28"/>
    </row>
    <row r="639" spans="3:3" ht="15.75" customHeight="1">
      <c r="C639" s="28"/>
    </row>
    <row r="640" spans="3:3" ht="15.75" customHeight="1">
      <c r="C640" s="28"/>
    </row>
    <row r="641" spans="3:3" ht="15.75" customHeight="1">
      <c r="C641" s="28"/>
    </row>
    <row r="642" spans="3:3" ht="15.75" customHeight="1">
      <c r="C642" s="28"/>
    </row>
    <row r="643" spans="3:3" ht="15.75" customHeight="1">
      <c r="C643" s="28"/>
    </row>
    <row r="644" spans="3:3" ht="15.75" customHeight="1">
      <c r="C644" s="28"/>
    </row>
    <row r="645" spans="3:3" ht="15.75" customHeight="1">
      <c r="C645" s="28"/>
    </row>
    <row r="646" spans="3:3" ht="15.75" customHeight="1">
      <c r="C646" s="28"/>
    </row>
    <row r="647" spans="3:3" ht="15.75" customHeight="1">
      <c r="C647" s="28"/>
    </row>
    <row r="648" spans="3:3" ht="15.75" customHeight="1">
      <c r="C648" s="28"/>
    </row>
    <row r="649" spans="3:3" ht="15.75" customHeight="1">
      <c r="C649" s="28"/>
    </row>
    <row r="650" spans="3:3" ht="15.75" customHeight="1">
      <c r="C650" s="28"/>
    </row>
    <row r="651" spans="3:3" ht="15.75" customHeight="1">
      <c r="C651" s="28"/>
    </row>
    <row r="652" spans="3:3" ht="15.75" customHeight="1">
      <c r="C652" s="28"/>
    </row>
    <row r="653" spans="3:3" ht="15.75" customHeight="1">
      <c r="C653" s="28"/>
    </row>
    <row r="654" spans="3:3" ht="15.75" customHeight="1">
      <c r="C654" s="28"/>
    </row>
    <row r="655" spans="3:3" ht="15.75" customHeight="1">
      <c r="C655" s="28"/>
    </row>
    <row r="656" spans="3:3" ht="15.75" customHeight="1">
      <c r="C656" s="28"/>
    </row>
    <row r="657" spans="3:3" ht="15.75" customHeight="1">
      <c r="C657" s="28"/>
    </row>
    <row r="658" spans="3:3" ht="15.75" customHeight="1">
      <c r="C658" s="28"/>
    </row>
    <row r="659" spans="3:3" ht="15.75" customHeight="1">
      <c r="C659" s="28"/>
    </row>
    <row r="660" spans="3:3" ht="15.75" customHeight="1">
      <c r="C660" s="28"/>
    </row>
    <row r="661" spans="3:3" ht="15.75" customHeight="1">
      <c r="C661" s="28"/>
    </row>
    <row r="662" spans="3:3" ht="15.75" customHeight="1">
      <c r="C662" s="28"/>
    </row>
    <row r="663" spans="3:3" ht="15.75" customHeight="1">
      <c r="C663" s="28"/>
    </row>
    <row r="664" spans="3:3" ht="15.75" customHeight="1">
      <c r="C664" s="28"/>
    </row>
    <row r="665" spans="3:3" ht="15.75" customHeight="1">
      <c r="C665" s="28"/>
    </row>
    <row r="666" spans="3:3" ht="15.75" customHeight="1">
      <c r="C666" s="28"/>
    </row>
    <row r="667" spans="3:3" ht="15.75" customHeight="1">
      <c r="C667" s="28"/>
    </row>
    <row r="668" spans="3:3" ht="15.75" customHeight="1">
      <c r="C668" s="28"/>
    </row>
    <row r="669" spans="3:3" ht="15.75" customHeight="1">
      <c r="C669" s="28"/>
    </row>
    <row r="670" spans="3:3" ht="15.75" customHeight="1">
      <c r="C670" s="28"/>
    </row>
    <row r="671" spans="3:3" ht="15.75" customHeight="1">
      <c r="C671" s="28"/>
    </row>
    <row r="672" spans="3:3" ht="15.75" customHeight="1">
      <c r="C672" s="28"/>
    </row>
    <row r="673" spans="3:3" ht="15.75" customHeight="1">
      <c r="C673" s="28"/>
    </row>
    <row r="674" spans="3:3" ht="15.75" customHeight="1">
      <c r="C674" s="28"/>
    </row>
    <row r="675" spans="3:3" ht="15.75" customHeight="1">
      <c r="C675" s="28"/>
    </row>
    <row r="676" spans="3:3" ht="15.75" customHeight="1">
      <c r="C676" s="28"/>
    </row>
    <row r="677" spans="3:3" ht="15.75" customHeight="1">
      <c r="C677" s="28"/>
    </row>
    <row r="678" spans="3:3" ht="15.75" customHeight="1">
      <c r="C678" s="28"/>
    </row>
    <row r="679" spans="3:3" ht="15.75" customHeight="1">
      <c r="C679" s="28"/>
    </row>
    <row r="680" spans="3:3" ht="15.75" customHeight="1">
      <c r="C680" s="28"/>
    </row>
    <row r="681" spans="3:3" ht="15.75" customHeight="1">
      <c r="C681" s="28"/>
    </row>
    <row r="682" spans="3:3" ht="15.75" customHeight="1">
      <c r="C682" s="28"/>
    </row>
    <row r="683" spans="3:3" ht="15.75" customHeight="1">
      <c r="C683" s="28"/>
    </row>
    <row r="684" spans="3:3" ht="15.75" customHeight="1">
      <c r="C684" s="28"/>
    </row>
    <row r="685" spans="3:3" ht="15.75" customHeight="1">
      <c r="C685" s="28"/>
    </row>
    <row r="686" spans="3:3" ht="15.75" customHeight="1">
      <c r="C686" s="28"/>
    </row>
    <row r="687" spans="3:3" ht="15.75" customHeight="1">
      <c r="C687" s="28"/>
    </row>
    <row r="688" spans="3:3" ht="15.75" customHeight="1">
      <c r="C688" s="28"/>
    </row>
    <row r="689" spans="3:3" ht="15.75" customHeight="1">
      <c r="C689" s="28"/>
    </row>
    <row r="690" spans="3:3" ht="15.75" customHeight="1">
      <c r="C690" s="28"/>
    </row>
    <row r="691" spans="3:3" ht="15.75" customHeight="1">
      <c r="C691" s="28"/>
    </row>
    <row r="692" spans="3:3" ht="15.75" customHeight="1">
      <c r="C692" s="28"/>
    </row>
    <row r="693" spans="3:3" ht="15.75" customHeight="1">
      <c r="C693" s="28"/>
    </row>
    <row r="694" spans="3:3" ht="15.75" customHeight="1">
      <c r="C694" s="28"/>
    </row>
    <row r="695" spans="3:3" ht="15.75" customHeight="1">
      <c r="C695" s="28"/>
    </row>
    <row r="696" spans="3:3" ht="15.75" customHeight="1">
      <c r="C696" s="28"/>
    </row>
    <row r="697" spans="3:3" ht="15.75" customHeight="1">
      <c r="C697" s="28"/>
    </row>
    <row r="698" spans="3:3" ht="15.75" customHeight="1">
      <c r="C698" s="28"/>
    </row>
    <row r="699" spans="3:3" ht="15.75" customHeight="1">
      <c r="C699" s="28"/>
    </row>
    <row r="700" spans="3:3" ht="15.75" customHeight="1">
      <c r="C700" s="28"/>
    </row>
    <row r="701" spans="3:3" ht="15.75" customHeight="1">
      <c r="C701" s="28"/>
    </row>
    <row r="702" spans="3:3" ht="15.75" customHeight="1">
      <c r="C702" s="28"/>
    </row>
    <row r="703" spans="3:3" ht="15.75" customHeight="1">
      <c r="C703" s="28"/>
    </row>
    <row r="704" spans="3:3" ht="15.75" customHeight="1">
      <c r="C704" s="28"/>
    </row>
    <row r="705" spans="3:3" ht="15.75" customHeight="1">
      <c r="C705" s="28"/>
    </row>
    <row r="706" spans="3:3" ht="15.75" customHeight="1">
      <c r="C706" s="28"/>
    </row>
    <row r="707" spans="3:3" ht="15.75" customHeight="1">
      <c r="C707" s="28"/>
    </row>
    <row r="708" spans="3:3" ht="15.75" customHeight="1">
      <c r="C708" s="28"/>
    </row>
    <row r="709" spans="3:3" ht="15.75" customHeight="1">
      <c r="C709" s="28"/>
    </row>
    <row r="710" spans="3:3" ht="15.75" customHeight="1">
      <c r="C710" s="28"/>
    </row>
    <row r="711" spans="3:3" ht="15.75" customHeight="1">
      <c r="C711" s="28"/>
    </row>
    <row r="712" spans="3:3" ht="15.75" customHeight="1">
      <c r="C712" s="28"/>
    </row>
    <row r="713" spans="3:3" ht="15.75" customHeight="1">
      <c r="C713" s="28"/>
    </row>
    <row r="714" spans="3:3" ht="15.75" customHeight="1">
      <c r="C714" s="28"/>
    </row>
    <row r="715" spans="3:3" ht="15.75" customHeight="1">
      <c r="C715" s="28"/>
    </row>
    <row r="716" spans="3:3" ht="15.75" customHeight="1">
      <c r="C716" s="28"/>
    </row>
    <row r="717" spans="3:3" ht="15.75" customHeight="1">
      <c r="C717" s="28"/>
    </row>
    <row r="718" spans="3:3" ht="15.75" customHeight="1">
      <c r="C718" s="28"/>
    </row>
    <row r="719" spans="3:3" ht="15.75" customHeight="1">
      <c r="C719" s="28"/>
    </row>
    <row r="720" spans="3:3" ht="15.75" customHeight="1">
      <c r="C720" s="28"/>
    </row>
    <row r="721" spans="3:3" ht="15.75" customHeight="1">
      <c r="C721" s="28"/>
    </row>
    <row r="722" spans="3:3" ht="15.75" customHeight="1">
      <c r="C722" s="28"/>
    </row>
    <row r="723" spans="3:3" ht="15.75" customHeight="1">
      <c r="C723" s="28"/>
    </row>
    <row r="724" spans="3:3" ht="15.75" customHeight="1">
      <c r="C724" s="28"/>
    </row>
    <row r="725" spans="3:3" ht="15.75" customHeight="1">
      <c r="C725" s="28"/>
    </row>
    <row r="726" spans="3:3" ht="15.75" customHeight="1">
      <c r="C726" s="28"/>
    </row>
    <row r="727" spans="3:3" ht="15.75" customHeight="1">
      <c r="C727" s="28"/>
    </row>
    <row r="728" spans="3:3" ht="15.75" customHeight="1">
      <c r="C728" s="28"/>
    </row>
    <row r="729" spans="3:3" ht="15.75" customHeight="1">
      <c r="C729" s="28"/>
    </row>
    <row r="730" spans="3:3" ht="15.75" customHeight="1">
      <c r="C730" s="28"/>
    </row>
    <row r="731" spans="3:3" ht="15.75" customHeight="1">
      <c r="C731" s="28"/>
    </row>
    <row r="732" spans="3:3" ht="15.75" customHeight="1">
      <c r="C732" s="28"/>
    </row>
    <row r="733" spans="3:3" ht="15.75" customHeight="1">
      <c r="C733" s="28"/>
    </row>
    <row r="734" spans="3:3" ht="15.75" customHeight="1">
      <c r="C734" s="28"/>
    </row>
    <row r="735" spans="3:3" ht="15.75" customHeight="1">
      <c r="C735" s="28"/>
    </row>
    <row r="736" spans="3:3" ht="15.75" customHeight="1">
      <c r="C736" s="28"/>
    </row>
    <row r="737" spans="3:3" ht="15.75" customHeight="1">
      <c r="C737" s="28"/>
    </row>
    <row r="738" spans="3:3" ht="15.75" customHeight="1">
      <c r="C738" s="28"/>
    </row>
    <row r="739" spans="3:3" ht="15.75" customHeight="1">
      <c r="C739" s="28"/>
    </row>
    <row r="740" spans="3:3" ht="15.75" customHeight="1">
      <c r="C740" s="28"/>
    </row>
    <row r="741" spans="3:3" ht="15.75" customHeight="1">
      <c r="C741" s="28"/>
    </row>
    <row r="742" spans="3:3" ht="15.75" customHeight="1">
      <c r="C742" s="28"/>
    </row>
    <row r="743" spans="3:3" ht="15.75" customHeight="1">
      <c r="C743" s="28"/>
    </row>
    <row r="744" spans="3:3" ht="15.75" customHeight="1">
      <c r="C744" s="28"/>
    </row>
    <row r="745" spans="3:3" ht="15.75" customHeight="1">
      <c r="C745" s="28"/>
    </row>
    <row r="746" spans="3:3" ht="15.75" customHeight="1">
      <c r="C746" s="28"/>
    </row>
    <row r="747" spans="3:3" ht="15.75" customHeight="1">
      <c r="C747" s="28"/>
    </row>
    <row r="748" spans="3:3" ht="15.75" customHeight="1">
      <c r="C748" s="28"/>
    </row>
    <row r="749" spans="3:3" ht="15.75" customHeight="1">
      <c r="C749" s="28"/>
    </row>
    <row r="750" spans="3:3" ht="15.75" customHeight="1">
      <c r="C750" s="28"/>
    </row>
    <row r="751" spans="3:3" ht="15.75" customHeight="1">
      <c r="C751" s="28"/>
    </row>
    <row r="752" spans="3:3" ht="15.75" customHeight="1">
      <c r="C752" s="28"/>
    </row>
    <row r="753" spans="3:3" ht="15.75" customHeight="1">
      <c r="C753" s="28"/>
    </row>
    <row r="754" spans="3:3" ht="15.75" customHeight="1">
      <c r="C754" s="28"/>
    </row>
    <row r="755" spans="3:3" ht="15.75" customHeight="1">
      <c r="C755" s="28"/>
    </row>
    <row r="756" spans="3:3" ht="15.75" customHeight="1">
      <c r="C756" s="28"/>
    </row>
    <row r="757" spans="3:3" ht="15.75" customHeight="1">
      <c r="C757" s="28"/>
    </row>
    <row r="758" spans="3:3" ht="15.75" customHeight="1">
      <c r="C758" s="28"/>
    </row>
    <row r="759" spans="3:3" ht="15.75" customHeight="1">
      <c r="C759" s="28"/>
    </row>
    <row r="760" spans="3:3" ht="15.75" customHeight="1">
      <c r="C760" s="28"/>
    </row>
    <row r="761" spans="3:3" ht="15.75" customHeight="1">
      <c r="C761" s="28"/>
    </row>
    <row r="762" spans="3:3" ht="15.75" customHeight="1">
      <c r="C762" s="28"/>
    </row>
    <row r="763" spans="3:3" ht="15.75" customHeight="1">
      <c r="C763" s="28"/>
    </row>
    <row r="764" spans="3:3" ht="15.75" customHeight="1">
      <c r="C764" s="28"/>
    </row>
    <row r="765" spans="3:3" ht="15.75" customHeight="1">
      <c r="C765" s="28"/>
    </row>
    <row r="766" spans="3:3" ht="15.75" customHeight="1">
      <c r="C766" s="28"/>
    </row>
    <row r="767" spans="3:3" ht="15.75" customHeight="1">
      <c r="C767" s="28"/>
    </row>
    <row r="768" spans="3:3" ht="15.75" customHeight="1">
      <c r="C768" s="28"/>
    </row>
    <row r="769" spans="3:3" ht="15.75" customHeight="1">
      <c r="C769" s="28"/>
    </row>
    <row r="770" spans="3:3" ht="15.75" customHeight="1">
      <c r="C770" s="28"/>
    </row>
    <row r="771" spans="3:3" ht="15.75" customHeight="1">
      <c r="C771" s="28"/>
    </row>
    <row r="772" spans="3:3" ht="15.75" customHeight="1">
      <c r="C772" s="28"/>
    </row>
    <row r="773" spans="3:3" ht="15.75" customHeight="1">
      <c r="C773" s="28"/>
    </row>
    <row r="774" spans="3:3" ht="15.75" customHeight="1">
      <c r="C774" s="28"/>
    </row>
    <row r="775" spans="3:3" ht="15.75" customHeight="1">
      <c r="C775" s="28"/>
    </row>
    <row r="776" spans="3:3" ht="15.75" customHeight="1">
      <c r="C776" s="28"/>
    </row>
    <row r="777" spans="3:3" ht="15.75" customHeight="1">
      <c r="C777" s="28"/>
    </row>
    <row r="778" spans="3:3" ht="15.75" customHeight="1">
      <c r="C778" s="28"/>
    </row>
    <row r="779" spans="3:3" ht="15.75" customHeight="1">
      <c r="C779" s="28"/>
    </row>
    <row r="780" spans="3:3" ht="15.75" customHeight="1">
      <c r="C780" s="28"/>
    </row>
    <row r="781" spans="3:3" ht="15.75" customHeight="1">
      <c r="C781" s="28"/>
    </row>
    <row r="782" spans="3:3" ht="15.75" customHeight="1">
      <c r="C782" s="28"/>
    </row>
    <row r="783" spans="3:3" ht="15.75" customHeight="1">
      <c r="C783" s="28"/>
    </row>
    <row r="784" spans="3:3" ht="15.75" customHeight="1">
      <c r="C784" s="28"/>
    </row>
    <row r="785" spans="3:3" ht="15.75" customHeight="1">
      <c r="C785" s="28"/>
    </row>
    <row r="786" spans="3:3" ht="15.75" customHeight="1">
      <c r="C786" s="28"/>
    </row>
    <row r="787" spans="3:3" ht="15.75" customHeight="1">
      <c r="C787" s="28"/>
    </row>
    <row r="788" spans="3:3" ht="15.75" customHeight="1">
      <c r="C788" s="28"/>
    </row>
    <row r="789" spans="3:3" ht="15.75" customHeight="1">
      <c r="C789" s="28"/>
    </row>
    <row r="790" spans="3:3" ht="15.75" customHeight="1">
      <c r="C790" s="28"/>
    </row>
    <row r="791" spans="3:3" ht="15.75" customHeight="1">
      <c r="C791" s="28"/>
    </row>
    <row r="792" spans="3:3" ht="15.75" customHeight="1">
      <c r="C792" s="28"/>
    </row>
    <row r="793" spans="3:3" ht="15.75" customHeight="1">
      <c r="C793" s="28"/>
    </row>
    <row r="794" spans="3:3" ht="15.75" customHeight="1">
      <c r="C794" s="28"/>
    </row>
    <row r="795" spans="3:3" ht="15.75" customHeight="1">
      <c r="C795" s="28"/>
    </row>
    <row r="796" spans="3:3" ht="15.75" customHeight="1">
      <c r="C796" s="28"/>
    </row>
    <row r="797" spans="3:3" ht="15.75" customHeight="1">
      <c r="C797" s="28"/>
    </row>
    <row r="798" spans="3:3" ht="15.75" customHeight="1">
      <c r="C798" s="28"/>
    </row>
    <row r="799" spans="3:3" ht="15.75" customHeight="1">
      <c r="C799" s="28"/>
    </row>
    <row r="800" spans="3:3" ht="15.75" customHeight="1">
      <c r="C800" s="28"/>
    </row>
    <row r="801" spans="3:3" ht="15.75" customHeight="1">
      <c r="C801" s="28"/>
    </row>
    <row r="802" spans="3:3" ht="15.75" customHeight="1">
      <c r="C802" s="28"/>
    </row>
    <row r="803" spans="3:3" ht="15.75" customHeight="1">
      <c r="C803" s="28"/>
    </row>
    <row r="804" spans="3:3" ht="15.75" customHeight="1">
      <c r="C804" s="28"/>
    </row>
    <row r="805" spans="3:3" ht="15.75" customHeight="1">
      <c r="C805" s="28"/>
    </row>
    <row r="806" spans="3:3" ht="15.75" customHeight="1">
      <c r="C806" s="28"/>
    </row>
    <row r="807" spans="3:3" ht="15.75" customHeight="1">
      <c r="C807" s="28"/>
    </row>
    <row r="808" spans="3:3" ht="15.75" customHeight="1">
      <c r="C808" s="28"/>
    </row>
    <row r="809" spans="3:3" ht="15.75" customHeight="1">
      <c r="C809" s="28"/>
    </row>
    <row r="810" spans="3:3" ht="15.75" customHeight="1">
      <c r="C810" s="28"/>
    </row>
    <row r="811" spans="3:3" ht="15.75" customHeight="1">
      <c r="C811" s="28"/>
    </row>
    <row r="812" spans="3:3" ht="15.75" customHeight="1">
      <c r="C812" s="28"/>
    </row>
    <row r="813" spans="3:3" ht="15.75" customHeight="1">
      <c r="C813" s="28"/>
    </row>
    <row r="814" spans="3:3" ht="15.75" customHeight="1">
      <c r="C814" s="28"/>
    </row>
    <row r="815" spans="3:3" ht="15.75" customHeight="1">
      <c r="C815" s="28"/>
    </row>
    <row r="816" spans="3:3" ht="15.75" customHeight="1">
      <c r="C816" s="28"/>
    </row>
    <row r="817" spans="3:3" ht="15.75" customHeight="1">
      <c r="C817" s="28"/>
    </row>
    <row r="818" spans="3:3" ht="15.75" customHeight="1">
      <c r="C818" s="28"/>
    </row>
    <row r="819" spans="3:3" ht="15.75" customHeight="1">
      <c r="C819" s="28"/>
    </row>
    <row r="820" spans="3:3" ht="15.75" customHeight="1">
      <c r="C820" s="28"/>
    </row>
    <row r="821" spans="3:3" ht="15.75" customHeight="1">
      <c r="C821" s="28"/>
    </row>
    <row r="822" spans="3:3" ht="15.75" customHeight="1">
      <c r="C822" s="28"/>
    </row>
    <row r="823" spans="3:3" ht="15.75" customHeight="1">
      <c r="C823" s="28"/>
    </row>
    <row r="824" spans="3:3" ht="15.75" customHeight="1">
      <c r="C824" s="28"/>
    </row>
    <row r="825" spans="3:3" ht="15.75" customHeight="1">
      <c r="C825" s="28"/>
    </row>
    <row r="826" spans="3:3" ht="15.75" customHeight="1">
      <c r="C826" s="28"/>
    </row>
    <row r="827" spans="3:3" ht="15.75" customHeight="1">
      <c r="C827" s="28"/>
    </row>
    <row r="828" spans="3:3" ht="15.75" customHeight="1">
      <c r="C828" s="28"/>
    </row>
    <row r="829" spans="3:3" ht="15.75" customHeight="1">
      <c r="C829" s="28"/>
    </row>
    <row r="830" spans="3:3" ht="15.75" customHeight="1">
      <c r="C830" s="28"/>
    </row>
    <row r="831" spans="3:3" ht="15.75" customHeight="1">
      <c r="C831" s="28"/>
    </row>
    <row r="832" spans="3:3" ht="15.75" customHeight="1">
      <c r="C832" s="28"/>
    </row>
    <row r="833" spans="3:3" ht="15.75" customHeight="1">
      <c r="C833" s="28"/>
    </row>
    <row r="834" spans="3:3" ht="15.75" customHeight="1">
      <c r="C834" s="28"/>
    </row>
    <row r="835" spans="3:3" ht="15.75" customHeight="1">
      <c r="C835" s="28"/>
    </row>
    <row r="836" spans="3:3" ht="15.75" customHeight="1">
      <c r="C836" s="28"/>
    </row>
    <row r="837" spans="3:3" ht="15.75" customHeight="1">
      <c r="C837" s="28"/>
    </row>
    <row r="838" spans="3:3" ht="15.75" customHeight="1">
      <c r="C838" s="28"/>
    </row>
    <row r="839" spans="3:3" ht="15.75" customHeight="1">
      <c r="C839" s="28"/>
    </row>
    <row r="840" spans="3:3" ht="15.75" customHeight="1">
      <c r="C840" s="28"/>
    </row>
    <row r="841" spans="3:3" ht="15.75" customHeight="1">
      <c r="C841" s="28"/>
    </row>
    <row r="842" spans="3:3" ht="15.75" customHeight="1">
      <c r="C842" s="28"/>
    </row>
    <row r="843" spans="3:3" ht="15.75" customHeight="1">
      <c r="C843" s="28"/>
    </row>
    <row r="844" spans="3:3" ht="15.75" customHeight="1">
      <c r="C844" s="28"/>
    </row>
    <row r="845" spans="3:3" ht="15.75" customHeight="1">
      <c r="C845" s="28"/>
    </row>
    <row r="846" spans="3:3" ht="15.75" customHeight="1">
      <c r="C846" s="28"/>
    </row>
    <row r="847" spans="3:3" ht="15.75" customHeight="1">
      <c r="C847" s="28"/>
    </row>
    <row r="848" spans="3:3" ht="15.75" customHeight="1">
      <c r="C848" s="28"/>
    </row>
    <row r="849" spans="3:3" ht="15.75" customHeight="1">
      <c r="C849" s="28"/>
    </row>
    <row r="850" spans="3:3" ht="15.75" customHeight="1">
      <c r="C850" s="28"/>
    </row>
    <row r="851" spans="3:3" ht="15.75" customHeight="1">
      <c r="C851" s="28"/>
    </row>
    <row r="852" spans="3:3" ht="15.75" customHeight="1">
      <c r="C852" s="28"/>
    </row>
    <row r="853" spans="3:3" ht="15.75" customHeight="1">
      <c r="C853" s="28"/>
    </row>
    <row r="854" spans="3:3" ht="15.75" customHeight="1">
      <c r="C854" s="28"/>
    </row>
    <row r="855" spans="3:3" ht="15.75" customHeight="1">
      <c r="C855" s="28"/>
    </row>
    <row r="856" spans="3:3" ht="15.75" customHeight="1">
      <c r="C856" s="28"/>
    </row>
    <row r="857" spans="3:3" ht="15.75" customHeight="1">
      <c r="C857" s="28"/>
    </row>
    <row r="858" spans="3:3" ht="15.75" customHeight="1">
      <c r="C858" s="28"/>
    </row>
    <row r="859" spans="3:3" ht="15.75" customHeight="1">
      <c r="C859" s="28"/>
    </row>
    <row r="860" spans="3:3" ht="15.75" customHeight="1">
      <c r="C860" s="28"/>
    </row>
    <row r="861" spans="3:3" ht="15.75" customHeight="1">
      <c r="C861" s="28"/>
    </row>
    <row r="862" spans="3:3" ht="15.75" customHeight="1">
      <c r="C862" s="28"/>
    </row>
    <row r="863" spans="3:3" ht="15.75" customHeight="1">
      <c r="C863" s="28"/>
    </row>
    <row r="864" spans="3:3" ht="15.75" customHeight="1">
      <c r="C864" s="28"/>
    </row>
    <row r="865" spans="3:3" ht="15.75" customHeight="1">
      <c r="C865" s="28"/>
    </row>
    <row r="866" spans="3:3" ht="15.75" customHeight="1">
      <c r="C866" s="28"/>
    </row>
    <row r="867" spans="3:3" ht="15.75" customHeight="1">
      <c r="C867" s="28"/>
    </row>
    <row r="868" spans="3:3" ht="15.75" customHeight="1">
      <c r="C868" s="28"/>
    </row>
    <row r="869" spans="3:3" ht="15.75" customHeight="1">
      <c r="C869" s="28"/>
    </row>
    <row r="870" spans="3:3" ht="15.75" customHeight="1">
      <c r="C870" s="28"/>
    </row>
    <row r="871" spans="3:3" ht="15.75" customHeight="1">
      <c r="C871" s="28"/>
    </row>
    <row r="872" spans="3:3" ht="15.75" customHeight="1">
      <c r="C872" s="28"/>
    </row>
    <row r="873" spans="3:3" ht="15.75" customHeight="1">
      <c r="C873" s="28"/>
    </row>
    <row r="874" spans="3:3" ht="15.75" customHeight="1">
      <c r="C874" s="28"/>
    </row>
    <row r="875" spans="3:3" ht="15.75" customHeight="1">
      <c r="C875" s="28"/>
    </row>
    <row r="876" spans="3:3" ht="15.75" customHeight="1">
      <c r="C876" s="28"/>
    </row>
    <row r="877" spans="3:3" ht="15.75" customHeight="1">
      <c r="C877" s="28"/>
    </row>
    <row r="878" spans="3:3" ht="15.75" customHeight="1">
      <c r="C878" s="28"/>
    </row>
    <row r="879" spans="3:3" ht="15.75" customHeight="1">
      <c r="C879" s="28"/>
    </row>
    <row r="880" spans="3:3" ht="15.75" customHeight="1">
      <c r="C880" s="28"/>
    </row>
    <row r="881" spans="3:3" ht="15.75" customHeight="1">
      <c r="C881" s="28"/>
    </row>
    <row r="882" spans="3:3" ht="15.75" customHeight="1">
      <c r="C882" s="28"/>
    </row>
    <row r="883" spans="3:3" ht="15.75" customHeight="1">
      <c r="C883" s="28"/>
    </row>
    <row r="884" spans="3:3" ht="15.75" customHeight="1">
      <c r="C884" s="28"/>
    </row>
    <row r="885" spans="3:3" ht="15.75" customHeight="1">
      <c r="C885" s="28"/>
    </row>
    <row r="886" spans="3:3" ht="15.75" customHeight="1">
      <c r="C886" s="28"/>
    </row>
    <row r="887" spans="3:3" ht="15.75" customHeight="1">
      <c r="C887" s="28"/>
    </row>
    <row r="888" spans="3:3" ht="15.75" customHeight="1">
      <c r="C888" s="28"/>
    </row>
    <row r="889" spans="3:3" ht="15.75" customHeight="1">
      <c r="C889" s="28"/>
    </row>
    <row r="890" spans="3:3" ht="15.75" customHeight="1">
      <c r="C890" s="28"/>
    </row>
    <row r="891" spans="3:3" ht="15.75" customHeight="1">
      <c r="C891" s="28"/>
    </row>
    <row r="892" spans="3:3" ht="15.75" customHeight="1">
      <c r="C892" s="28"/>
    </row>
    <row r="893" spans="3:3" ht="15.75" customHeight="1">
      <c r="C893" s="28"/>
    </row>
    <row r="894" spans="3:3" ht="15.75" customHeight="1">
      <c r="C894" s="28"/>
    </row>
    <row r="895" spans="3:3" ht="15.75" customHeight="1">
      <c r="C895" s="28"/>
    </row>
    <row r="896" spans="3:3" ht="15.75" customHeight="1">
      <c r="C896" s="28"/>
    </row>
    <row r="897" spans="3:3" ht="15.75" customHeight="1">
      <c r="C897" s="28"/>
    </row>
    <row r="898" spans="3:3" ht="15.75" customHeight="1">
      <c r="C898" s="28"/>
    </row>
    <row r="899" spans="3:3" ht="15.75" customHeight="1">
      <c r="C899" s="28"/>
    </row>
    <row r="900" spans="3:3" ht="15.75" customHeight="1">
      <c r="C900" s="28"/>
    </row>
    <row r="901" spans="3:3" ht="15.75" customHeight="1">
      <c r="C901" s="28"/>
    </row>
    <row r="902" spans="3:3" ht="15.75" customHeight="1">
      <c r="C902" s="28"/>
    </row>
    <row r="903" spans="3:3" ht="15.75" customHeight="1">
      <c r="C903" s="28"/>
    </row>
    <row r="904" spans="3:3" ht="15.75" customHeight="1">
      <c r="C904" s="28"/>
    </row>
    <row r="905" spans="3:3" ht="15.75" customHeight="1">
      <c r="C905" s="28"/>
    </row>
    <row r="906" spans="3:3" ht="15.75" customHeight="1">
      <c r="C906" s="28"/>
    </row>
    <row r="907" spans="3:3" ht="15.75" customHeight="1">
      <c r="C907" s="28"/>
    </row>
    <row r="908" spans="3:3" ht="15.75" customHeight="1">
      <c r="C908" s="28"/>
    </row>
    <row r="909" spans="3:3" ht="15.75" customHeight="1">
      <c r="C909" s="28"/>
    </row>
    <row r="910" spans="3:3" ht="15.75" customHeight="1">
      <c r="C910" s="28"/>
    </row>
    <row r="911" spans="3:3" ht="15.75" customHeight="1">
      <c r="C911" s="28"/>
    </row>
    <row r="912" spans="3:3" ht="15.75" customHeight="1">
      <c r="C912" s="28"/>
    </row>
    <row r="913" spans="3:3" ht="15.75" customHeight="1">
      <c r="C913" s="28"/>
    </row>
    <row r="914" spans="3:3" ht="15.75" customHeight="1">
      <c r="C914" s="28"/>
    </row>
    <row r="915" spans="3:3" ht="15.75" customHeight="1">
      <c r="C915" s="28"/>
    </row>
    <row r="916" spans="3:3" ht="15.75" customHeight="1">
      <c r="C916" s="28"/>
    </row>
    <row r="917" spans="3:3" ht="15.75" customHeight="1">
      <c r="C917" s="28"/>
    </row>
    <row r="918" spans="3:3" ht="15.75" customHeight="1">
      <c r="C918" s="28"/>
    </row>
    <row r="919" spans="3:3" ht="15.75" customHeight="1">
      <c r="C919" s="28"/>
    </row>
    <row r="920" spans="3:3" ht="15.75" customHeight="1">
      <c r="C920" s="28"/>
    </row>
    <row r="921" spans="3:3" ht="15.75" customHeight="1">
      <c r="C921" s="28"/>
    </row>
    <row r="922" spans="3:3" ht="15.75" customHeight="1">
      <c r="C922" s="28"/>
    </row>
    <row r="923" spans="3:3" ht="15.75" customHeight="1">
      <c r="C923" s="28"/>
    </row>
    <row r="924" spans="3:3" ht="15.75" customHeight="1">
      <c r="C924" s="28"/>
    </row>
    <row r="925" spans="3:3" ht="15.75" customHeight="1">
      <c r="C925" s="28"/>
    </row>
    <row r="926" spans="3:3" ht="15.75" customHeight="1">
      <c r="C926" s="28"/>
    </row>
    <row r="927" spans="3:3" ht="15.75" customHeight="1">
      <c r="C927" s="28"/>
    </row>
    <row r="928" spans="3:3" ht="15.75" customHeight="1">
      <c r="C928" s="28"/>
    </row>
    <row r="929" spans="3:3" ht="15.75" customHeight="1">
      <c r="C929" s="28"/>
    </row>
    <row r="930" spans="3:3" ht="15.75" customHeight="1">
      <c r="C930" s="28"/>
    </row>
    <row r="931" spans="3:3" ht="15.75" customHeight="1">
      <c r="C931" s="28"/>
    </row>
    <row r="932" spans="3:3" ht="15.75" customHeight="1">
      <c r="C932" s="28"/>
    </row>
    <row r="933" spans="3:3" ht="15.75" customHeight="1">
      <c r="C933" s="28"/>
    </row>
    <row r="934" spans="3:3" ht="15.75" customHeight="1">
      <c r="C934" s="28"/>
    </row>
    <row r="935" spans="3:3" ht="15.75" customHeight="1">
      <c r="C935" s="28"/>
    </row>
    <row r="936" spans="3:3" ht="15.75" customHeight="1">
      <c r="C936" s="28"/>
    </row>
    <row r="937" spans="3:3" ht="15.75" customHeight="1">
      <c r="C937" s="28"/>
    </row>
    <row r="938" spans="3:3" ht="15.75" customHeight="1">
      <c r="C938" s="28"/>
    </row>
    <row r="939" spans="3:3" ht="15.75" customHeight="1">
      <c r="C939" s="28"/>
    </row>
    <row r="940" spans="3:3" ht="15.75" customHeight="1">
      <c r="C940" s="28"/>
    </row>
    <row r="941" spans="3:3" ht="15.75" customHeight="1">
      <c r="C941" s="28"/>
    </row>
    <row r="942" spans="3:3" ht="15.75" customHeight="1">
      <c r="C942" s="28"/>
    </row>
    <row r="943" spans="3:3" ht="15.75" customHeight="1">
      <c r="C943" s="28"/>
    </row>
    <row r="944" spans="3:3" ht="15.75" customHeight="1">
      <c r="C944" s="28"/>
    </row>
    <row r="945" spans="3:3" ht="15.75" customHeight="1">
      <c r="C945" s="28"/>
    </row>
    <row r="946" spans="3:3" ht="15.75" customHeight="1">
      <c r="C946" s="28"/>
    </row>
    <row r="947" spans="3:3" ht="15.75" customHeight="1">
      <c r="C947" s="28"/>
    </row>
    <row r="948" spans="3:3" ht="15.75" customHeight="1">
      <c r="C948" s="28"/>
    </row>
    <row r="949" spans="3:3" ht="15.75" customHeight="1">
      <c r="C949" s="28"/>
    </row>
    <row r="950" spans="3:3" ht="15.75" customHeight="1">
      <c r="C950" s="28"/>
    </row>
    <row r="951" spans="3:3" ht="15.75" customHeight="1">
      <c r="C951" s="28"/>
    </row>
    <row r="952" spans="3:3" ht="15.75" customHeight="1">
      <c r="C952" s="28"/>
    </row>
    <row r="953" spans="3:3" ht="15.75" customHeight="1">
      <c r="C953" s="28"/>
    </row>
    <row r="954" spans="3:3" ht="15.75" customHeight="1">
      <c r="C954" s="28"/>
    </row>
    <row r="955" spans="3:3" ht="15.75" customHeight="1">
      <c r="C955" s="28"/>
    </row>
    <row r="956" spans="3:3" ht="15.75" customHeight="1">
      <c r="C956" s="28"/>
    </row>
    <row r="957" spans="3:3" ht="15.75" customHeight="1">
      <c r="C957" s="28"/>
    </row>
    <row r="958" spans="3:3" ht="15.75" customHeight="1">
      <c r="C958" s="28"/>
    </row>
    <row r="959" spans="3:3" ht="15.75" customHeight="1">
      <c r="C959" s="28"/>
    </row>
    <row r="960" spans="3:3" ht="15.75" customHeight="1">
      <c r="C960" s="28"/>
    </row>
    <row r="961" spans="3:3" ht="15.75" customHeight="1">
      <c r="C961" s="28"/>
    </row>
    <row r="962" spans="3:3" ht="15.75" customHeight="1">
      <c r="C962" s="28"/>
    </row>
    <row r="963" spans="3:3" ht="15.75" customHeight="1">
      <c r="C963" s="28"/>
    </row>
    <row r="964" spans="3:3" ht="15.75" customHeight="1">
      <c r="C964" s="28"/>
    </row>
    <row r="965" spans="3:3" ht="15.75" customHeight="1">
      <c r="C965" s="28"/>
    </row>
    <row r="966" spans="3:3" ht="15.75" customHeight="1">
      <c r="C966" s="28"/>
    </row>
    <row r="967" spans="3:3" ht="15.75" customHeight="1">
      <c r="C967" s="28"/>
    </row>
    <row r="968" spans="3:3" ht="15.75" customHeight="1">
      <c r="C968" s="28"/>
    </row>
    <row r="969" spans="3:3" ht="15.75" customHeight="1">
      <c r="C969" s="28"/>
    </row>
    <row r="970" spans="3:3" ht="15.75" customHeight="1">
      <c r="C970" s="28"/>
    </row>
    <row r="971" spans="3:3" ht="15.75" customHeight="1">
      <c r="C971" s="28"/>
    </row>
    <row r="972" spans="3:3" ht="15.75" customHeight="1">
      <c r="C972" s="28"/>
    </row>
    <row r="973" spans="3:3" ht="15.75" customHeight="1">
      <c r="C973" s="28"/>
    </row>
    <row r="974" spans="3:3" ht="15.75" customHeight="1">
      <c r="C974" s="28"/>
    </row>
    <row r="975" spans="3:3" ht="15.75" customHeight="1">
      <c r="C975" s="28"/>
    </row>
    <row r="976" spans="3:3" ht="15.75" customHeight="1">
      <c r="C976" s="28"/>
    </row>
    <row r="977" spans="3:3" ht="15.75" customHeight="1">
      <c r="C977" s="28"/>
    </row>
    <row r="978" spans="3:3" ht="15.75" customHeight="1">
      <c r="C978" s="28"/>
    </row>
    <row r="979" spans="3:3" ht="15.75" customHeight="1">
      <c r="C979" s="28"/>
    </row>
    <row r="980" spans="3:3" ht="15.75" customHeight="1">
      <c r="C980" s="28"/>
    </row>
    <row r="981" spans="3:3" ht="15.75" customHeight="1">
      <c r="C981" s="28"/>
    </row>
    <row r="982" spans="3:3" ht="15.75" customHeight="1">
      <c r="C982" s="28"/>
    </row>
    <row r="983" spans="3:3" ht="15.75" customHeight="1">
      <c r="C983" s="28"/>
    </row>
    <row r="984" spans="3:3" ht="15.75" customHeight="1">
      <c r="C984" s="28"/>
    </row>
    <row r="985" spans="3:3" ht="15.75" customHeight="1">
      <c r="C985" s="28"/>
    </row>
    <row r="986" spans="3:3" ht="15.75" customHeight="1">
      <c r="C986" s="28"/>
    </row>
    <row r="987" spans="3:3" ht="15.75" customHeight="1">
      <c r="C987" s="28"/>
    </row>
    <row r="988" spans="3:3" ht="15.75" customHeight="1">
      <c r="C988" s="28"/>
    </row>
    <row r="989" spans="3:3" ht="15.75" customHeight="1">
      <c r="C989" s="28"/>
    </row>
    <row r="990" spans="3:3" ht="15.75" customHeight="1">
      <c r="C990" s="28"/>
    </row>
    <row r="991" spans="3:3" ht="15.75" customHeight="1">
      <c r="C991" s="28"/>
    </row>
    <row r="992" spans="3:3" ht="15.75" customHeight="1">
      <c r="C992" s="28"/>
    </row>
    <row r="993" spans="3:3" ht="15.75" customHeight="1">
      <c r="C993" s="28"/>
    </row>
    <row r="994" spans="3:3" ht="15.75" customHeight="1">
      <c r="C994" s="28"/>
    </row>
    <row r="995" spans="3:3" ht="15.75" customHeight="1">
      <c r="C995" s="28"/>
    </row>
    <row r="996" spans="3:3" ht="15.75" customHeight="1">
      <c r="C996" s="28"/>
    </row>
    <row r="997" spans="3:3" ht="15.75" customHeight="1">
      <c r="C997" s="28"/>
    </row>
  </sheetData>
  <autoFilter ref="U40:Y47" xr:uid="{00000000-0009-0000-0000-000005000000}">
    <sortState xmlns:xlrd2="http://schemas.microsoft.com/office/spreadsheetml/2017/richdata2" ref="U40:Y47">
      <sortCondition descending="1" ref="Y40:Y47"/>
    </sortState>
  </autoFilter>
  <mergeCells count="3">
    <mergeCell ref="A1:P3"/>
    <mergeCell ref="S20:S22"/>
    <mergeCell ref="B88:Q90"/>
  </mergeCells>
  <conditionalFormatting sqref="C6:C7">
    <cfRule type="colorScale" priority="3">
      <colorScale>
        <cfvo type="min"/>
        <cfvo type="max"/>
        <color rgb="FFFFFFFF"/>
        <color rgb="FF57BB8A"/>
      </colorScale>
    </cfRule>
  </conditionalFormatting>
  <conditionalFormatting sqref="D6:D7">
    <cfRule type="colorScale" priority="4">
      <colorScale>
        <cfvo type="min"/>
        <cfvo type="max"/>
        <color rgb="FFFFFFFF"/>
        <color rgb="FF57BB8A"/>
      </colorScale>
    </cfRule>
  </conditionalFormatting>
  <conditionalFormatting sqref="D20:D21">
    <cfRule type="colorScale" priority="31">
      <colorScale>
        <cfvo type="min"/>
        <cfvo type="max"/>
        <color rgb="FFFFFFFF"/>
        <color rgb="FF57BB8A"/>
      </colorScale>
    </cfRule>
  </conditionalFormatting>
  <conditionalFormatting sqref="D25:D28 E25">
    <cfRule type="colorScale" priority="25">
      <colorScale>
        <cfvo type="min"/>
        <cfvo type="max"/>
        <color rgb="FFFFFFFF"/>
        <color rgb="FF57BB8A"/>
      </colorScale>
    </cfRule>
  </conditionalFormatting>
  <conditionalFormatting sqref="D31:D51">
    <cfRule type="colorScale" priority="19">
      <colorScale>
        <cfvo type="min"/>
        <cfvo type="max"/>
        <color rgb="FFFFFFFF"/>
        <color rgb="FF57BB8A"/>
      </colorScale>
    </cfRule>
  </conditionalFormatting>
  <conditionalFormatting sqref="E20:E21">
    <cfRule type="colorScale" priority="32">
      <colorScale>
        <cfvo type="min"/>
        <cfvo type="max"/>
        <color rgb="FFFFFFFF"/>
        <color rgb="FF57BB8A"/>
      </colorScale>
    </cfRule>
  </conditionalFormatting>
  <conditionalFormatting sqref="E25:E28">
    <cfRule type="colorScale" priority="26">
      <colorScale>
        <cfvo type="min"/>
        <cfvo type="max"/>
        <color rgb="FFFFFFFF"/>
        <color rgb="FF57BB8A"/>
      </colorScale>
    </cfRule>
  </conditionalFormatting>
  <conditionalFormatting sqref="E31:E51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6:F7">
    <cfRule type="colorScale" priority="37">
      <colorScale>
        <cfvo type="min"/>
        <cfvo type="max"/>
        <color rgb="FFFFFFFF"/>
        <color rgb="FF57BB8A"/>
      </colorScale>
    </cfRule>
  </conditionalFormatting>
  <conditionalFormatting sqref="F6:F7">
    <cfRule type="colorScale" priority="38">
      <colorScale>
        <cfvo type="min"/>
        <cfvo type="max"/>
        <color rgb="FFFFFFFF"/>
        <color rgb="FF57BB8A"/>
      </colorScale>
    </cfRule>
  </conditionalFormatting>
  <conditionalFormatting sqref="F20:F21">
    <cfRule type="colorScale" priority="33">
      <colorScale>
        <cfvo type="min"/>
        <cfvo type="max"/>
        <color rgb="FFFFFFFF"/>
        <color rgb="FF57BB8A"/>
      </colorScale>
    </cfRule>
  </conditionalFormatting>
  <conditionalFormatting sqref="F25:F28">
    <cfRule type="colorScale" priority="27">
      <colorScale>
        <cfvo type="min"/>
        <cfvo type="max"/>
        <color rgb="FFFFFFFF"/>
        <color rgb="FF57BB8A"/>
      </colorScale>
    </cfRule>
  </conditionalFormatting>
  <conditionalFormatting sqref="G6:G7">
    <cfRule type="colorScale" priority="5">
      <colorScale>
        <cfvo type="min"/>
        <cfvo type="max"/>
        <color rgb="FFFFFFFF"/>
        <color rgb="FF57BB8A"/>
      </colorScale>
    </cfRule>
  </conditionalFormatting>
  <conditionalFormatting sqref="G20:G21">
    <cfRule type="colorScale" priority="34">
      <colorScale>
        <cfvo type="min"/>
        <cfvo type="max"/>
        <color rgb="FFFFFFFF"/>
        <color rgb="FF57BB8A"/>
      </colorScale>
    </cfRule>
  </conditionalFormatting>
  <conditionalFormatting sqref="G25:G28">
    <cfRule type="colorScale" priority="28">
      <colorScale>
        <cfvo type="min"/>
        <cfvo type="max"/>
        <color rgb="FFFFFFFF"/>
        <color rgb="FF57BB8A"/>
      </colorScale>
    </cfRule>
  </conditionalFormatting>
  <conditionalFormatting sqref="G31:G51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5:H28 J25">
    <cfRule type="colorScale" priority="29">
      <colorScale>
        <cfvo type="min"/>
        <cfvo type="max"/>
        <color rgb="FFFFFFFF"/>
        <color rgb="FF57BB8A"/>
      </colorScale>
    </cfRule>
  </conditionalFormatting>
  <conditionalFormatting sqref="H31:H51">
    <cfRule type="colorScale" priority="22">
      <colorScale>
        <cfvo type="min"/>
        <cfvo type="max"/>
        <color rgb="FFFFFFFF"/>
        <color rgb="FF57BB8A"/>
      </colorScale>
    </cfRule>
  </conditionalFormatting>
  <conditionalFormatting sqref="I25:I28">
    <cfRule type="colorScale" priority="3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31:I50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7:M17">
    <cfRule type="colorScale" priority="16">
      <colorScale>
        <cfvo type="min"/>
        <cfvo type="max"/>
        <color rgb="FFFFFFFF"/>
        <color rgb="FF57BB8A"/>
      </colorScale>
    </cfRule>
  </conditionalFormatting>
  <conditionalFormatting sqref="I20:N20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1:N21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2:N22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6:J7">
    <cfRule type="colorScale" priority="6">
      <colorScale>
        <cfvo type="min"/>
        <cfvo type="max"/>
        <color rgb="FFFFFFFF"/>
        <color rgb="FF57BB8A"/>
      </colorScale>
    </cfRule>
  </conditionalFormatting>
  <conditionalFormatting sqref="J31:J36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5:K26">
    <cfRule type="colorScale" priority="3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6:K7">
    <cfRule type="colorScale" priority="7">
      <colorScale>
        <cfvo type="min"/>
        <cfvo type="max"/>
        <color rgb="FFFFFFFF"/>
        <color rgb="FF57BB8A"/>
      </colorScale>
    </cfRule>
  </conditionalFormatting>
  <conditionalFormatting sqref="K31:K36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6:M7 P6:U7">
    <cfRule type="colorScale" priority="8">
      <colorScale>
        <cfvo type="min"/>
        <cfvo type="max"/>
        <color rgb="FFFFFFFF"/>
        <color rgb="FF57BB8A"/>
      </colorScale>
    </cfRule>
  </conditionalFormatting>
  <conditionalFormatting sqref="L31:M36">
    <cfRule type="colorScale" priority="2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25:N27">
    <cfRule type="colorScale" priority="4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6:N7">
    <cfRule type="colorScale" priority="9">
      <colorScale>
        <cfvo type="min"/>
        <cfvo type="max"/>
        <color rgb="FFFFFFFF"/>
        <color rgb="FF57BB8A"/>
      </colorScale>
    </cfRule>
  </conditionalFormatting>
  <conditionalFormatting sqref="O6:O7">
    <cfRule type="colorScale" priority="10">
      <colorScale>
        <cfvo type="min"/>
        <cfvo type="max"/>
        <color rgb="FFFFFFFF"/>
        <color rgb="FFE67C73"/>
      </colorScale>
    </cfRule>
  </conditionalFormatting>
  <conditionalFormatting sqref="P20:R20 O17">
    <cfRule type="colorScale" priority="17">
      <colorScale>
        <cfvo type="min"/>
        <cfvo type="max"/>
        <color rgb="FFFFFFFF"/>
        <color rgb="FF57BB8A"/>
      </colorScale>
    </cfRule>
  </conditionalFormatting>
  <conditionalFormatting sqref="P22:R22 R20">
    <cfRule type="colorScale" priority="18">
      <colorScale>
        <cfvo type="min"/>
        <cfvo type="max"/>
        <color rgb="FFFFFFFF"/>
        <color rgb="FFE67C73"/>
      </colorScale>
    </cfRule>
  </conditionalFormatting>
  <conditionalFormatting sqref="R31:R38">
    <cfRule type="colorScale" priority="3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0:R47 X40:X47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40:S47 Y40:Y4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31:X38">
    <cfRule type="colorScale" priority="3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88" r:id="rId1" xr:uid="{00000000-0004-0000-0500-000000000000}"/>
  </hyperlinks>
  <pageMargins left="0.7" right="0.7" top="0.75" bottom="0.75" header="0" footer="0"/>
  <pageSetup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1003"/>
  <sheetViews>
    <sheetView workbookViewId="0"/>
  </sheetViews>
  <sheetFormatPr defaultColWidth="14.44140625" defaultRowHeight="15" customHeight="1"/>
  <cols>
    <col min="1" max="26" width="8.6640625" customWidth="1"/>
  </cols>
  <sheetData>
    <row r="2" spans="1:12" ht="15.6">
      <c r="B2" s="160" t="s">
        <v>32</v>
      </c>
      <c r="D2" s="1" t="s">
        <v>102</v>
      </c>
      <c r="F2" s="1">
        <v>1919</v>
      </c>
      <c r="H2" s="1" t="s">
        <v>322</v>
      </c>
      <c r="J2" s="1" t="s">
        <v>323</v>
      </c>
      <c r="L2" s="1" t="s">
        <v>324</v>
      </c>
    </row>
    <row r="3" spans="1:12" ht="14.4">
      <c r="B3" s="1">
        <f ca="1">IFERROR(__xludf.DUMMYFUNCTION("GOOGLEFINANCE(B2,""PRICE"")"),119.35)</f>
        <v>119.35</v>
      </c>
      <c r="D3" s="122">
        <v>0.15</v>
      </c>
      <c r="F3" s="1" t="s">
        <v>325</v>
      </c>
      <c r="L3" s="1" t="s">
        <v>326</v>
      </c>
    </row>
    <row r="5" spans="1:12" ht="14.4">
      <c r="C5" s="1" t="s">
        <v>181</v>
      </c>
      <c r="D5" s="1" t="s">
        <v>182</v>
      </c>
      <c r="E5" s="1" t="s">
        <v>183</v>
      </c>
      <c r="F5" s="1" t="s">
        <v>184</v>
      </c>
      <c r="G5" s="1" t="s">
        <v>327</v>
      </c>
      <c r="H5" s="1" t="s">
        <v>185</v>
      </c>
    </row>
    <row r="6" spans="1:12" ht="14.4">
      <c r="A6" s="161"/>
      <c r="B6" s="1" t="s">
        <v>7</v>
      </c>
      <c r="C6" s="1">
        <v>254062</v>
      </c>
      <c r="D6" s="1">
        <v>232529</v>
      </c>
      <c r="E6" s="1">
        <v>205536</v>
      </c>
      <c r="F6" s="1">
        <v>176727</v>
      </c>
      <c r="G6" s="1">
        <v>157110</v>
      </c>
      <c r="H6" s="22">
        <f t="shared" ref="H6:H7" si="0">(C6/G6)^(1/4)-1</f>
        <v>0.12767504814773778</v>
      </c>
    </row>
    <row r="7" spans="1:12" ht="14.4">
      <c r="A7" s="161"/>
      <c r="B7" s="1" t="s">
        <v>8</v>
      </c>
      <c r="C7" s="1">
        <v>6048</v>
      </c>
      <c r="D7" s="1">
        <v>22009</v>
      </c>
      <c r="E7" s="1">
        <v>8398</v>
      </c>
      <c r="F7" s="1">
        <v>9303</v>
      </c>
      <c r="G7" s="1">
        <v>13773</v>
      </c>
      <c r="H7" s="22">
        <f t="shared" si="0"/>
        <v>-0.18595988166031141</v>
      </c>
    </row>
    <row r="8" spans="1:12" ht="14.4">
      <c r="B8" s="1" t="s">
        <v>188</v>
      </c>
      <c r="C8" s="1">
        <v>3.67</v>
      </c>
      <c r="D8" s="1">
        <v>13.36</v>
      </c>
    </row>
    <row r="9" spans="1:12" ht="14.4">
      <c r="B9" s="1" t="s">
        <v>328</v>
      </c>
      <c r="C9" s="1">
        <v>8.75</v>
      </c>
      <c r="D9" s="1">
        <v>8.75</v>
      </c>
    </row>
    <row r="10" spans="1:12" ht="14.4">
      <c r="B10" s="1" t="s">
        <v>329</v>
      </c>
      <c r="C10" s="1">
        <v>4120</v>
      </c>
      <c r="D10" s="1">
        <v>4120</v>
      </c>
    </row>
    <row r="11" spans="1:12" ht="14.4">
      <c r="B11" s="1" t="s">
        <v>205</v>
      </c>
    </row>
    <row r="12" spans="1:12" ht="14.4">
      <c r="B12" s="1" t="s">
        <v>189</v>
      </c>
      <c r="C12" s="162">
        <f t="shared" ref="C12:G12" si="1">(100*C7)/C6</f>
        <v>2.3805212900787995</v>
      </c>
      <c r="D12" s="162">
        <f t="shared" si="1"/>
        <v>9.4650559715132303</v>
      </c>
      <c r="E12" s="162">
        <f t="shared" si="1"/>
        <v>4.0859022263739684</v>
      </c>
      <c r="F12" s="162">
        <f t="shared" si="1"/>
        <v>5.2640513334125512</v>
      </c>
      <c r="G12" s="162">
        <f t="shared" si="1"/>
        <v>8.766469352682833</v>
      </c>
    </row>
    <row r="14" spans="1:12" ht="14.4">
      <c r="B14" s="1" t="s">
        <v>330</v>
      </c>
      <c r="C14" s="1" t="s">
        <v>180</v>
      </c>
      <c r="D14" s="1" t="s">
        <v>181</v>
      </c>
      <c r="E14" s="1" t="s">
        <v>185</v>
      </c>
      <c r="H14" s="1">
        <v>2020</v>
      </c>
    </row>
    <row r="15" spans="1:12" ht="14.4">
      <c r="B15" s="1" t="s">
        <v>7</v>
      </c>
      <c r="C15" s="1">
        <v>232822</v>
      </c>
      <c r="D15" s="1">
        <v>204046</v>
      </c>
      <c r="E15" s="161">
        <f t="shared" ref="E15:E19" si="2">(C15/D15)^(1/1)-1</f>
        <v>0.14102702331827133</v>
      </c>
      <c r="H15" s="29">
        <f t="shared" ref="H15:H16" si="3">FV(E15,1,0,-C6,0)</f>
        <v>289891.60759828665</v>
      </c>
    </row>
    <row r="16" spans="1:12" ht="14.4">
      <c r="B16" s="1" t="s">
        <v>8</v>
      </c>
      <c r="C16" s="1">
        <v>13224</v>
      </c>
      <c r="D16" s="1">
        <v>8731</v>
      </c>
      <c r="E16" s="161">
        <f t="shared" si="2"/>
        <v>0.51460313824304205</v>
      </c>
      <c r="H16" s="29">
        <f t="shared" si="3"/>
        <v>9160.3197800939179</v>
      </c>
    </row>
    <row r="17" spans="2:5" ht="14.4">
      <c r="B17" s="1" t="s">
        <v>188</v>
      </c>
      <c r="C17" s="163">
        <v>8.0299999999999994</v>
      </c>
      <c r="D17" s="163">
        <v>5.28</v>
      </c>
      <c r="E17" s="161">
        <f t="shared" si="2"/>
        <v>0.52083333333333304</v>
      </c>
    </row>
    <row r="18" spans="2:5" ht="14.4">
      <c r="B18" s="1" t="s">
        <v>189</v>
      </c>
      <c r="C18" s="163">
        <f t="shared" ref="C18:D18" si="4">(100*C16)/C15</f>
        <v>5.6798756131293437</v>
      </c>
      <c r="D18" s="163">
        <f t="shared" si="4"/>
        <v>4.278937102418082</v>
      </c>
      <c r="E18" s="161">
        <f t="shared" si="2"/>
        <v>0.32740338948183489</v>
      </c>
    </row>
    <row r="19" spans="2:5" ht="14.4">
      <c r="B19" s="1" t="s">
        <v>331</v>
      </c>
      <c r="C19" s="1">
        <v>1.62</v>
      </c>
      <c r="D19" s="1">
        <v>1.24</v>
      </c>
      <c r="E19" s="161">
        <f t="shared" si="2"/>
        <v>0.30645161290322598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ageMargins left="0.7" right="0.7" top="0.75" bottom="0.75" header="0" footer="0"/>
  <pageSetup orientation="landscape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sector</vt:lpstr>
      <vt:lpstr>GENERALINSURANCE</vt:lpstr>
      <vt:lpstr>Sheet3</vt:lpstr>
      <vt:lpstr>DASHBOARD</vt:lpstr>
      <vt:lpstr>GICRE</vt:lpstr>
      <vt:lpstr>ICICIGI</vt:lpstr>
      <vt:lpstr>NIACL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2006-09-16T00:00:00Z</dcterms:created>
  <dcterms:modified xsi:type="dcterms:W3CDTF">2023-07-22T04:00:15Z</dcterms:modified>
</cp:coreProperties>
</file>