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8B5793F4-8E3D-4909-B5F2-0097EE9804F8}" xr6:coauthVersionLast="47" xr6:coauthVersionMax="47" xr10:uidLastSave="{00000000-0000-0000-0000-000000000000}"/>
  <bookViews>
    <workbookView xWindow="-108" yWindow="-108" windowWidth="23256" windowHeight="12456" xr2:uid="{94CE6CAA-5EED-4A3E-A898-69B33CB0AFA9}"/>
  </bookViews>
  <sheets>
    <sheet name="Copy of Gems,Jewellery And Wat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47" i="1" l="1"/>
  <c r="AG247" i="1"/>
  <c r="AF247" i="1"/>
  <c r="AA247" i="1"/>
  <c r="Z247" i="1"/>
  <c r="Y247" i="1"/>
  <c r="X247" i="1"/>
  <c r="W247" i="1"/>
  <c r="V247" i="1"/>
  <c r="AD247" i="1" s="1"/>
  <c r="U247" i="1"/>
  <c r="T247" i="1"/>
  <c r="S247" i="1"/>
  <c r="AL247" i="1" s="1"/>
  <c r="R247" i="1"/>
  <c r="AE247" i="1" s="1"/>
  <c r="Q247" i="1"/>
  <c r="M247" i="1"/>
  <c r="L247" i="1"/>
  <c r="K247" i="1"/>
  <c r="J247" i="1"/>
  <c r="AH247" i="1" s="1"/>
  <c r="I247" i="1"/>
  <c r="H247" i="1"/>
  <c r="G247" i="1"/>
  <c r="F247" i="1"/>
  <c r="E247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AO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D198" i="1"/>
  <c r="C198" i="1"/>
  <c r="AP198" i="1" s="1"/>
  <c r="AO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O197" i="1"/>
  <c r="D197" i="1"/>
  <c r="C197" i="1"/>
  <c r="AP197" i="1" s="1"/>
  <c r="AO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O196" i="1"/>
  <c r="D196" i="1"/>
  <c r="C196" i="1"/>
  <c r="AP196" i="1" s="1"/>
  <c r="AO195" i="1"/>
  <c r="AP195" i="1" s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O195" i="1"/>
  <c r="AN195" i="1" s="1"/>
  <c r="D195" i="1"/>
  <c r="C195" i="1"/>
  <c r="AM195" i="1" s="1"/>
  <c r="AO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O194" i="1"/>
  <c r="AN194" i="1" s="1"/>
  <c r="D194" i="1"/>
  <c r="C194" i="1"/>
  <c r="AO193" i="1"/>
  <c r="AN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D193" i="1"/>
  <c r="C193" i="1"/>
  <c r="AM193" i="1" s="1"/>
  <c r="AP192" i="1"/>
  <c r="AO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O192" i="1"/>
  <c r="AN192" i="1" s="1"/>
  <c r="D192" i="1"/>
  <c r="C192" i="1"/>
  <c r="AM192" i="1" s="1"/>
  <c r="AP191" i="1"/>
  <c r="AO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O191" i="1"/>
  <c r="AN191" i="1" s="1"/>
  <c r="D191" i="1"/>
  <c r="C191" i="1"/>
  <c r="AM191" i="1" s="1"/>
  <c r="AO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O190" i="1"/>
  <c r="D190" i="1"/>
  <c r="C190" i="1"/>
  <c r="AM190" i="1" s="1"/>
  <c r="AO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O189" i="1"/>
  <c r="D189" i="1"/>
  <c r="C189" i="1"/>
  <c r="AM189" i="1" s="1"/>
  <c r="AO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O188" i="1"/>
  <c r="D188" i="1"/>
  <c r="D247" i="1" s="1"/>
  <c r="C188" i="1"/>
  <c r="AP188" i="1" s="1"/>
  <c r="K61" i="1"/>
  <c r="G61" i="1"/>
  <c r="C61" i="1"/>
  <c r="AM197" i="1" l="1"/>
  <c r="O247" i="1"/>
  <c r="AP193" i="1"/>
  <c r="AN189" i="1"/>
  <c r="AP190" i="1"/>
  <c r="AM194" i="1"/>
  <c r="AN197" i="1"/>
  <c r="P206" i="1"/>
  <c r="P214" i="1"/>
  <c r="P222" i="1"/>
  <c r="P230" i="1"/>
  <c r="P238" i="1"/>
  <c r="AN190" i="1"/>
  <c r="P196" i="1"/>
  <c r="P204" i="1"/>
  <c r="P212" i="1"/>
  <c r="P220" i="1"/>
  <c r="P228" i="1"/>
  <c r="P236" i="1"/>
  <c r="P240" i="1"/>
  <c r="P244" i="1"/>
  <c r="AM196" i="1"/>
  <c r="P192" i="1"/>
  <c r="AN196" i="1"/>
  <c r="P247" i="1"/>
  <c r="P241" i="1"/>
  <c r="P233" i="1"/>
  <c r="P225" i="1"/>
  <c r="P217" i="1"/>
  <c r="P209" i="1"/>
  <c r="P201" i="1"/>
  <c r="P195" i="1"/>
  <c r="P190" i="1"/>
  <c r="P243" i="1"/>
  <c r="P235" i="1"/>
  <c r="P227" i="1"/>
  <c r="P219" i="1"/>
  <c r="P211" i="1"/>
  <c r="P203" i="1"/>
  <c r="P198" i="1"/>
  <c r="P193" i="1"/>
  <c r="P188" i="1"/>
  <c r="P232" i="1"/>
  <c r="P224" i="1"/>
  <c r="P216" i="1"/>
  <c r="P208" i="1"/>
  <c r="P200" i="1"/>
  <c r="P242" i="1"/>
  <c r="P234" i="1"/>
  <c r="P226" i="1"/>
  <c r="P210" i="1"/>
  <c r="P218" i="1"/>
  <c r="P202" i="1"/>
  <c r="P194" i="1"/>
  <c r="P189" i="1"/>
  <c r="P205" i="1"/>
  <c r="P213" i="1"/>
  <c r="P221" i="1"/>
  <c r="P229" i="1"/>
  <c r="P237" i="1"/>
  <c r="P245" i="1"/>
  <c r="P197" i="1"/>
  <c r="P191" i="1"/>
  <c r="P199" i="1"/>
  <c r="P207" i="1"/>
  <c r="P215" i="1"/>
  <c r="P223" i="1"/>
  <c r="P231" i="1"/>
  <c r="P239" i="1"/>
  <c r="AM188" i="1"/>
  <c r="AM247" i="1" s="1"/>
  <c r="AP189" i="1"/>
  <c r="AP247" i="1" s="1"/>
  <c r="AP194" i="1"/>
  <c r="AM198" i="1"/>
  <c r="AB247" i="1"/>
  <c r="AJ247" i="1"/>
  <c r="AN188" i="1"/>
  <c r="AN198" i="1"/>
  <c r="AC247" i="1"/>
  <c r="AK247" i="1"/>
  <c r="AO247" i="1"/>
  <c r="AN247" i="1" l="1"/>
</calcChain>
</file>

<file path=xl/sharedStrings.xml><?xml version="1.0" encoding="utf-8"?>
<sst xmlns="http://schemas.openxmlformats.org/spreadsheetml/2006/main" count="308" uniqueCount="113">
  <si>
    <t xml:space="preserve">Gems,Jewellery &amp; Watches </t>
  </si>
  <si>
    <t>INDUSTRY</t>
  </si>
  <si>
    <t>Indian retail sector composition</t>
  </si>
  <si>
    <t>Overview of Organized Indian Retail Market</t>
  </si>
  <si>
    <t>Revenue trend of Indian organized retail market</t>
  </si>
  <si>
    <t>Indian domestic jewellery market size</t>
  </si>
  <si>
    <t>Retail Gold Jewellery Market Landscape in India by Market Share</t>
  </si>
  <si>
    <t>LISTEDSPACE</t>
  </si>
  <si>
    <t>Security Name</t>
  </si>
  <si>
    <t>Market cap</t>
  </si>
  <si>
    <t>SALES_23</t>
  </si>
  <si>
    <t>PROFIT_23</t>
  </si>
  <si>
    <t>TITAN</t>
  </si>
  <si>
    <t>KALYANKJIL</t>
  </si>
  <si>
    <t>RAJESHEXPO</t>
  </si>
  <si>
    <t>VAIBHAVGBL</t>
  </si>
  <si>
    <t>ETHOSLTD</t>
  </si>
  <si>
    <t>SENCO</t>
  </si>
  <si>
    <t>THANGAMAYL</t>
  </si>
  <si>
    <t>KDDL</t>
  </si>
  <si>
    <t>OTHER_37</t>
  </si>
  <si>
    <t>PCJEWELLER</t>
  </si>
  <si>
    <t>GOLDIAM</t>
  </si>
  <si>
    <t>MOTISONS</t>
  </si>
  <si>
    <t>SKYGOLD</t>
  </si>
  <si>
    <t>TIMEX</t>
  </si>
  <si>
    <t>ASTAR</t>
  </si>
  <si>
    <t>RGL</t>
  </si>
  <si>
    <t>MVGJL</t>
  </si>
  <si>
    <t>TBZ</t>
  </si>
  <si>
    <t>KHAZANCHI</t>
  </si>
  <si>
    <t>RADHIKAJWE</t>
  </si>
  <si>
    <t>RBZJEWEL</t>
  </si>
  <si>
    <t>GARGI</t>
  </si>
  <si>
    <t>GROWTH</t>
  </si>
  <si>
    <t>SALES_5Y_GR</t>
  </si>
  <si>
    <t>CY_SALES GR</t>
  </si>
  <si>
    <t>SOLVENCY</t>
  </si>
  <si>
    <t>ICR</t>
  </si>
  <si>
    <t>DEBT2EQUITY</t>
  </si>
  <si>
    <t>DEBTRATIO</t>
  </si>
  <si>
    <t>LIQUIDITY</t>
  </si>
  <si>
    <t>MARGIN_23</t>
  </si>
  <si>
    <t>CY_MARGIN</t>
  </si>
  <si>
    <t>CUR. RATIO</t>
  </si>
  <si>
    <t>TR.DAYS</t>
  </si>
  <si>
    <t>VALUATIONS</t>
  </si>
  <si>
    <t>TRAIL_PE</t>
  </si>
  <si>
    <t>PBV</t>
  </si>
  <si>
    <t>YIELD</t>
  </si>
  <si>
    <t>Security Code</t>
  </si>
  <si>
    <t>Price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</si>
  <si>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</si>
  <si>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</si>
  <si>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</si>
  <si>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</si>
  <si>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</si>
  <si>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</si>
  <si>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</si>
  <si>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 xml:space="preserve">TRADE REC. </t>
  </si>
  <si>
    <t>FV</t>
  </si>
  <si>
    <t>NPA in % (For banks only)</t>
  </si>
  <si>
    <t>TRAIL_EPS</t>
  </si>
  <si>
    <t>Companies weightage</t>
  </si>
  <si>
    <t>SALES_18</t>
  </si>
  <si>
    <t>SALES_9M_24</t>
  </si>
  <si>
    <t>SALES_9M_23</t>
  </si>
  <si>
    <t>PROFIT_9M_24</t>
  </si>
  <si>
    <t>PROFIT_9M_23</t>
  </si>
  <si>
    <t>FINANCE</t>
  </si>
  <si>
    <t>EXPENSE</t>
  </si>
  <si>
    <t>CY_PRPFIT_GR</t>
  </si>
  <si>
    <t>ROE</t>
  </si>
  <si>
    <t>ROPE</t>
  </si>
  <si>
    <t>ROA</t>
  </si>
  <si>
    <t>BOOKVALUE</t>
  </si>
  <si>
    <t>UDAYJEW</t>
  </si>
  <si>
    <t>AGOL</t>
  </si>
  <si>
    <t>AKI</t>
  </si>
  <si>
    <t>SHEETAL</t>
  </si>
  <si>
    <t>KANANIIND</t>
  </si>
  <si>
    <t>EY</t>
  </si>
  <si>
    <t>GOLKUNDIA</t>
  </si>
  <si>
    <t>NARBADA</t>
  </si>
  <si>
    <t>PJL</t>
  </si>
  <si>
    <t>GOBLIN</t>
  </si>
  <si>
    <t>DEVLAB</t>
  </si>
  <si>
    <t>KENVI</t>
  </si>
  <si>
    <t>SWARNSAR</t>
  </si>
  <si>
    <t>BANARBEADS</t>
  </si>
  <si>
    <t>VSL</t>
  </si>
  <si>
    <t>SAGAR</t>
  </si>
  <si>
    <t>CEENIK</t>
  </si>
  <si>
    <t>GGL</t>
  </si>
  <si>
    <t>EIGHTY</t>
  </si>
  <si>
    <t>MISHKA</t>
  </si>
  <si>
    <t>UHZAVERI</t>
  </si>
  <si>
    <t>ZODJRDMKJ</t>
  </si>
  <si>
    <t>DDIL</t>
  </si>
  <si>
    <t>BGJL</t>
  </si>
  <si>
    <t>GOENKA</t>
  </si>
  <si>
    <t>ROJL</t>
  </si>
  <si>
    <t>MANBRO</t>
  </si>
  <si>
    <t>VEERKRUPA</t>
  </si>
  <si>
    <t>CITYMAN</t>
  </si>
  <si>
    <t>SMGOLD</t>
  </si>
  <si>
    <t>LYPSAGEMS</t>
  </si>
  <si>
    <t>OROSMITHS</t>
  </si>
  <si>
    <t>DARSHANORNA</t>
  </si>
  <si>
    <t>SKL</t>
  </si>
  <si>
    <t>YORKEXP</t>
  </si>
  <si>
    <t>BINDALEXPO</t>
  </si>
  <si>
    <t>KARANWO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</si>
</sst>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color rgb="FF000000"/>
      <name val="Calibri"/>
      <scheme val="minor"/>
    </font>
    <font>
      <sz val="27"/>
      <color rgb="FFFFFFFF"/>
      <name val="Calibri"/>
      <scheme val="minor"/>
    </font>
    <font>
      <sz val="10"/>
      <color rgb="FFFFFFFF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rgb="FFFFFFFF"/>
      <name val="Arial"/>
    </font>
    <font>
      <b/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00FFFF"/>
        <bgColor rgb="FF00FFFF"/>
      </patternFill>
    </fill>
    <fill>
      <patternFill patternType="solid">
        <fgColor rgb="FF4C1130"/>
        <bgColor rgb="FF4C113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0" xfId="0" applyFont="1" applyFill="1"/>
    <xf numFmtId="0" fontId="2" fillId="2" borderId="0" xfId="0" applyFont="1" applyFill="1"/>
    <xf numFmtId="0" fontId="3" fillId="0" borderId="0" xfId="0" applyFont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0" fontId="4" fillId="0" borderId="2" xfId="0" applyFont="1" applyBorder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5" fillId="0" borderId="4" xfId="0" applyFont="1" applyBorder="1"/>
    <xf numFmtId="1" fontId="5" fillId="0" borderId="4" xfId="0" applyNumberFormat="1" applyFont="1" applyBorder="1"/>
    <xf numFmtId="9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0" fontId="5" fillId="0" borderId="4" xfId="0" applyNumberFormat="1" applyFont="1" applyBorder="1"/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164" fontId="5" fillId="0" borderId="0" xfId="0" applyNumberFormat="1" applyFont="1"/>
    <xf numFmtId="1" fontId="4" fillId="0" borderId="2" xfId="0" applyNumberFormat="1" applyFont="1" applyBorder="1" applyAlignment="1">
      <alignment horizontal="right"/>
    </xf>
    <xf numFmtId="0" fontId="5" fillId="0" borderId="3" xfId="0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" fontId="5" fillId="0" borderId="0" xfId="0" applyNumberFormat="1" applyFont="1"/>
    <xf numFmtId="0" fontId="6" fillId="3" borderId="6" xfId="0" applyFont="1" applyFill="1" applyBorder="1"/>
    <xf numFmtId="0" fontId="5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10" fontId="8" fillId="4" borderId="6" xfId="0" applyNumberFormat="1" applyFont="1" applyFill="1" applyBorder="1" applyAlignment="1">
      <alignment horizontal="center"/>
    </xf>
    <xf numFmtId="1" fontId="8" fillId="4" borderId="6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1" fontId="5" fillId="0" borderId="6" xfId="0" applyNumberFormat="1" applyFont="1" applyBorder="1"/>
    <xf numFmtId="9" fontId="5" fillId="0" borderId="6" xfId="0" applyNumberFormat="1" applyFont="1" applyBorder="1"/>
    <xf numFmtId="0" fontId="4" fillId="0" borderId="6" xfId="0" applyFont="1" applyBorder="1" applyAlignment="1">
      <alignment horizontal="right"/>
    </xf>
    <xf numFmtId="10" fontId="5" fillId="0" borderId="6" xfId="0" applyNumberFormat="1" applyFont="1" applyBorder="1"/>
    <xf numFmtId="2" fontId="5" fillId="0" borderId="6" xfId="0" applyNumberFormat="1" applyFont="1" applyBorder="1"/>
    <xf numFmtId="0" fontId="9" fillId="0" borderId="6" xfId="0" applyFont="1" applyBorder="1"/>
    <xf numFmtId="0" fontId="9" fillId="0" borderId="0" xfId="0" applyFont="1"/>
    <xf numFmtId="10" fontId="9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1" fontId="9" fillId="0" borderId="6" xfId="0" applyNumberFormat="1" applyFont="1" applyBorder="1"/>
    <xf numFmtId="10" fontId="9" fillId="0" borderId="6" xfId="0" applyNumberFormat="1" applyFont="1" applyBorder="1"/>
    <xf numFmtId="2" fontId="9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'Copy of Gems,Jewellery And Watc'!$C$37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F2E-40B5-9298-C6A2D97586E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F2E-40B5-9298-C6A2D97586E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F2E-40B5-9298-C6A2D97586E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AF2E-40B5-9298-C6A2D97586E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AF2E-40B5-9298-C6A2D97586E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AF2E-40B5-9298-C6A2D97586E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AF2E-40B5-9298-C6A2D97586E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AF2E-40B5-9298-C6A2D97586E0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AF2E-40B5-9298-C6A2D97586E0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AF2E-40B5-9298-C6A2D97586E0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AF2E-40B5-9298-C6A2D97586E0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AF2E-40B5-9298-C6A2D97586E0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AF2E-40B5-9298-C6A2D97586E0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AF2E-40B5-9298-C6A2D97586E0}"/>
              </c:ext>
            </c:extLst>
          </c:dPt>
          <c:dPt>
            <c:idx val="14"/>
            <c:bubble3D val="0"/>
            <c:spPr>
              <a:solidFill>
                <a:srgbClr val="FDE49B"/>
              </a:solidFill>
            </c:spPr>
            <c:extLst>
              <c:ext xmlns:c16="http://schemas.microsoft.com/office/drawing/2014/chart" uri="{C3380CC4-5D6E-409C-BE32-E72D297353CC}">
                <c16:uniqueId val="{0000001D-AF2E-40B5-9298-C6A2D97586E0}"/>
              </c:ext>
            </c:extLst>
          </c:dPt>
          <c:dPt>
            <c:idx val="15"/>
            <c:bubble3D val="0"/>
            <c:spPr>
              <a:solidFill>
                <a:srgbClr val="AEDCBA"/>
              </a:solidFill>
            </c:spPr>
            <c:extLst>
              <c:ext xmlns:c16="http://schemas.microsoft.com/office/drawing/2014/chart" uri="{C3380CC4-5D6E-409C-BE32-E72D297353CC}">
                <c16:uniqueId val="{0000001F-AF2E-40B5-9298-C6A2D97586E0}"/>
              </c:ext>
            </c:extLst>
          </c:dPt>
          <c:dPt>
            <c:idx val="16"/>
            <c:bubble3D val="0"/>
            <c:spPr>
              <a:solidFill>
                <a:srgbClr val="FFC599"/>
              </a:solidFill>
            </c:spPr>
            <c:extLst>
              <c:ext xmlns:c16="http://schemas.microsoft.com/office/drawing/2014/chart" uri="{C3380CC4-5D6E-409C-BE32-E72D297353CC}">
                <c16:uniqueId val="{00000021-AF2E-40B5-9298-C6A2D97586E0}"/>
              </c:ext>
            </c:extLst>
          </c:dPt>
          <c:dPt>
            <c:idx val="17"/>
            <c:bubble3D val="0"/>
            <c:spPr>
              <a:solidFill>
                <a:srgbClr val="B5E5E8"/>
              </a:solidFill>
            </c:spPr>
            <c:extLst>
              <c:ext xmlns:c16="http://schemas.microsoft.com/office/drawing/2014/chart" uri="{C3380CC4-5D6E-409C-BE32-E72D297353CC}">
                <c16:uniqueId val="{00000023-AF2E-40B5-9298-C6A2D97586E0}"/>
              </c:ext>
            </c:extLst>
          </c:dPt>
          <c:dPt>
            <c:idx val="18"/>
            <c:bubble3D val="0"/>
            <c:spPr>
              <a:solidFill>
                <a:srgbClr val="ECF3FE"/>
              </a:solidFill>
            </c:spPr>
            <c:extLst>
              <c:ext xmlns:c16="http://schemas.microsoft.com/office/drawing/2014/chart" uri="{C3380CC4-5D6E-409C-BE32-E72D297353CC}">
                <c16:uniqueId val="{00000025-AF2E-40B5-9298-C6A2D97586E0}"/>
              </c:ext>
            </c:extLst>
          </c:dPt>
          <c:dPt>
            <c:idx val="19"/>
            <c:bubble3D val="0"/>
            <c:spPr>
              <a:solidFill>
                <a:srgbClr val="FDECEB"/>
              </a:solidFill>
            </c:spPr>
            <c:extLst>
              <c:ext xmlns:c16="http://schemas.microsoft.com/office/drawing/2014/chart" uri="{C3380CC4-5D6E-409C-BE32-E72D297353CC}">
                <c16:uniqueId val="{00000027-AF2E-40B5-9298-C6A2D97586E0}"/>
              </c:ext>
            </c:extLst>
          </c:dPt>
          <c:dPt>
            <c:idx val="20"/>
            <c:bubble3D val="0"/>
            <c:spPr>
              <a:solidFill>
                <a:srgbClr val="FFF8E6"/>
              </a:solidFill>
            </c:spPr>
            <c:extLst>
              <c:ext xmlns:c16="http://schemas.microsoft.com/office/drawing/2014/chart" uri="{C3380CC4-5D6E-409C-BE32-E72D297353CC}">
                <c16:uniqueId val="{00000029-AF2E-40B5-9298-C6A2D97586E0}"/>
              </c:ext>
            </c:extLst>
          </c:dPt>
          <c:dPt>
            <c:idx val="21"/>
            <c:bubble3D val="0"/>
            <c:spPr>
              <a:solidFill>
                <a:srgbClr val="EBF6EE"/>
              </a:solidFill>
            </c:spPr>
            <c:extLst>
              <c:ext xmlns:c16="http://schemas.microsoft.com/office/drawing/2014/chart" uri="{C3380CC4-5D6E-409C-BE32-E72D297353CC}">
                <c16:uniqueId val="{0000002B-AF2E-40B5-9298-C6A2D97586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'Copy of Gems,Jewellery And Watc'!$B$38:$B$59</c:f>
              <c:strCache>
                <c:ptCount val="22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OTHER_37</c:v>
                </c:pt>
                <c:pt idx="9">
                  <c:v>PCJEWELLER</c:v>
                </c:pt>
                <c:pt idx="10">
                  <c:v>GOLDIAM</c:v>
                </c:pt>
                <c:pt idx="11">
                  <c:v>MOTISONS</c:v>
                </c:pt>
                <c:pt idx="12">
                  <c:v>SKYGOLD</c:v>
                </c:pt>
                <c:pt idx="13">
                  <c:v>TIMEX</c:v>
                </c:pt>
                <c:pt idx="14">
                  <c:v>ASTAR</c:v>
                </c:pt>
                <c:pt idx="15">
                  <c:v>RGL</c:v>
                </c:pt>
                <c:pt idx="16">
                  <c:v>MVGJL</c:v>
                </c:pt>
                <c:pt idx="17">
                  <c:v>TBZ</c:v>
                </c:pt>
                <c:pt idx="18">
                  <c:v>KHAZANCHI</c:v>
                </c:pt>
                <c:pt idx="19">
                  <c:v>RADHIKAJWE</c:v>
                </c:pt>
                <c:pt idx="20">
                  <c:v>RBZJEWEL</c:v>
                </c:pt>
                <c:pt idx="21">
                  <c:v>GARGI</c:v>
                </c:pt>
              </c:strCache>
            </c:strRef>
          </c:cat>
          <c:val>
            <c:numRef>
              <c:f>'Copy of Gems,Jewellery And Watc'!$C$38:$C$59</c:f>
              <c:numCache>
                <c:formatCode>0</c:formatCode>
                <c:ptCount val="22"/>
                <c:pt idx="0">
                  <c:v>332018.69327819999</c:v>
                </c:pt>
                <c:pt idx="1">
                  <c:v>41804.701633600002</c:v>
                </c:pt>
                <c:pt idx="2">
                  <c:v>9457.1742364999991</c:v>
                </c:pt>
                <c:pt idx="3">
                  <c:v>7041.2377149000004</c:v>
                </c:pt>
                <c:pt idx="4">
                  <c:v>6732.4879675000002</c:v>
                </c:pt>
                <c:pt idx="5">
                  <c:v>6525.74748</c:v>
                </c:pt>
                <c:pt idx="6">
                  <c:v>3639.2559246999999</c:v>
                </c:pt>
                <c:pt idx="7">
                  <c:v>3181.5423433999999</c:v>
                </c:pt>
                <c:pt idx="8" formatCode="General">
                  <c:v>2947</c:v>
                </c:pt>
                <c:pt idx="9">
                  <c:v>2897.1392774999999</c:v>
                </c:pt>
                <c:pt idx="10">
                  <c:v>2042.9902955</c:v>
                </c:pt>
                <c:pt idx="11">
                  <c:v>1564.7986631000001</c:v>
                </c:pt>
                <c:pt idx="12">
                  <c:v>1395.7170168</c:v>
                </c:pt>
                <c:pt idx="13">
                  <c:v>1393.10862</c:v>
                </c:pt>
                <c:pt idx="14">
                  <c:v>1264.5372</c:v>
                </c:pt>
                <c:pt idx="15">
                  <c:v>1183.7405262</c:v>
                </c:pt>
                <c:pt idx="16">
                  <c:v>1073.911218</c:v>
                </c:pt>
                <c:pt idx="17">
                  <c:v>783.75111149999998</c:v>
                </c:pt>
                <c:pt idx="18">
                  <c:v>782.74441669999999</c:v>
                </c:pt>
                <c:pt idx="19">
                  <c:v>759.32998190000001</c:v>
                </c:pt>
                <c:pt idx="20">
                  <c:v>634.20001219999995</c:v>
                </c:pt>
                <c:pt idx="21">
                  <c:v>532.90996600000005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F2E-40B5-9298-C6A2D975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Watc'!$H$141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Watc'!$G$142:$G$152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Watc'!$H$142:$H$152</c:f>
              <c:numCache>
                <c:formatCode>0.00</c:formatCode>
                <c:ptCount val="11"/>
                <c:pt idx="0">
                  <c:v>1.504185588444493</c:v>
                </c:pt>
                <c:pt idx="1">
                  <c:v>1.3079875978148532</c:v>
                </c:pt>
                <c:pt idx="2">
                  <c:v>4.0708964808630874</c:v>
                </c:pt>
                <c:pt idx="3">
                  <c:v>2.2567567567567566</c:v>
                </c:pt>
                <c:pt idx="4">
                  <c:v>4.3733333333333331</c:v>
                </c:pt>
                <c:pt idx="5">
                  <c:v>1.434059633027523</c:v>
                </c:pt>
                <c:pt idx="6">
                  <c:v>1.6090425531914894</c:v>
                </c:pt>
                <c:pt idx="7">
                  <c:v>2.831578947368421</c:v>
                </c:pt>
                <c:pt idx="8">
                  <c:v>1.4263183834401183</c:v>
                </c:pt>
                <c:pt idx="9">
                  <c:v>6.4591836734693882</c:v>
                </c:pt>
                <c:pt idx="10">
                  <c:v>1.8378378378378379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E42-4409-9716-4114F7C3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274145"/>
        <c:axId val="1670808163"/>
      </c:barChart>
      <c:catAx>
        <c:axId val="18522741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0808163"/>
        <c:crosses val="autoZero"/>
        <c:auto val="1"/>
        <c:lblAlgn val="ctr"/>
        <c:lblOffset val="100"/>
        <c:noMultiLvlLbl val="1"/>
      </c:catAx>
      <c:valAx>
        <c:axId val="16708081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227414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Watc'!$L$141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Watc'!$K$142:$K$152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Watc'!$L$142:$L$152</c:f>
              <c:numCache>
                <c:formatCode>0</c:formatCode>
                <c:ptCount val="11"/>
                <c:pt idx="0">
                  <c:v>14.060258780036969</c:v>
                </c:pt>
                <c:pt idx="1">
                  <c:v>9.9349726387605717</c:v>
                </c:pt>
                <c:pt idx="2">
                  <c:v>12.312836153069426</c:v>
                </c:pt>
                <c:pt idx="3">
                  <c:v>35.265700483091784</c:v>
                </c:pt>
                <c:pt idx="4">
                  <c:v>6.9479695431472086</c:v>
                </c:pt>
                <c:pt idx="5">
                  <c:v>4.0286975717439297</c:v>
                </c:pt>
                <c:pt idx="6">
                  <c:v>0.57881382810022197</c:v>
                </c:pt>
                <c:pt idx="7">
                  <c:v>24.463806970509385</c:v>
                </c:pt>
                <c:pt idx="8">
                  <c:v>1.1645167812373636</c:v>
                </c:pt>
                <c:pt idx="9">
                  <c:v>83.54596622889305</c:v>
                </c:pt>
                <c:pt idx="10">
                  <c:v>0.99455040871934597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812-4FA9-988A-C5936ABC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234247"/>
        <c:axId val="286446916"/>
      </c:barChart>
      <c:catAx>
        <c:axId val="1970234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6446916"/>
        <c:crosses val="autoZero"/>
        <c:auto val="1"/>
        <c:lblAlgn val="ctr"/>
        <c:lblOffset val="100"/>
        <c:noMultiLvlLbl val="1"/>
      </c:catAx>
      <c:valAx>
        <c:axId val="2864469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023424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Watc'!$C$172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Watc'!$B$173:$B$183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Watc'!$C$173:$C$183</c:f>
              <c:numCache>
                <c:formatCode>0</c:formatCode>
                <c:ptCount val="11"/>
                <c:pt idx="0">
                  <c:v>96.396454265159292</c:v>
                </c:pt>
                <c:pt idx="1">
                  <c:v>78.297665369649806</c:v>
                </c:pt>
                <c:pt idx="2">
                  <c:v>13.123238018525978</c:v>
                </c:pt>
                <c:pt idx="3">
                  <c:v>54.638242894056845</c:v>
                </c:pt>
                <c:pt idx="4">
                  <c:v>86.158575031525842</c:v>
                </c:pt>
                <c:pt idx="5">
                  <c:v>33.697665056360705</c:v>
                </c:pt>
                <c:pt idx="6">
                  <c:v>28.646060078363085</c:v>
                </c:pt>
                <c:pt idx="7">
                  <c:v>34.621232508073206</c:v>
                </c:pt>
                <c:pt idx="8">
                  <c:v>-3.5720022948938612</c:v>
                </c:pt>
                <c:pt idx="9">
                  <c:v>23.175182481751822</c:v>
                </c:pt>
                <c:pt idx="10">
                  <c:v>142.01754385964915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5D2-4DB1-968A-F0E1B1923253}"/>
            </c:ext>
          </c:extLst>
        </c:ser>
        <c:ser>
          <c:idx val="1"/>
          <c:order val="1"/>
          <c:tx>
            <c:strRef>
              <c:f>'Copy of Gems,Jewellery And Watc'!$D$172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Watc'!$B$173:$B$183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Watc'!$D$173:$D$183</c:f>
              <c:numCache>
                <c:formatCode>0</c:formatCode>
                <c:ptCount val="11"/>
                <c:pt idx="0">
                  <c:v>26.59755854707663</c:v>
                </c:pt>
                <c:pt idx="1">
                  <c:v>8.4925937307928692</c:v>
                </c:pt>
                <c:pt idx="2">
                  <c:v>0.61960855025899952</c:v>
                </c:pt>
                <c:pt idx="3">
                  <c:v>5.5511933174224337</c:v>
                </c:pt>
                <c:pt idx="4">
                  <c:v>9.0966497829232988</c:v>
                </c:pt>
                <c:pt idx="5">
                  <c:v>4.6827972027972029</c:v>
                </c:pt>
                <c:pt idx="6">
                  <c:v>7.4962025316455705</c:v>
                </c:pt>
                <c:pt idx="7">
                  <c:v>3.9789432989690718</c:v>
                </c:pt>
                <c:pt idx="8">
                  <c:v>0.77971720980339354</c:v>
                </c:pt>
                <c:pt idx="9">
                  <c:v>3.2366504854368934</c:v>
                </c:pt>
                <c:pt idx="10">
                  <c:v>5.0593750000000002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5D2-4DB1-968A-F0E1B192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520071"/>
        <c:axId val="1730926013"/>
      </c:barChart>
      <c:catAx>
        <c:axId val="216520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0926013"/>
        <c:crosses val="autoZero"/>
        <c:auto val="1"/>
        <c:lblAlgn val="ctr"/>
        <c:lblOffset val="100"/>
        <c:noMultiLvlLbl val="1"/>
      </c:catAx>
      <c:valAx>
        <c:axId val="17309260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652007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Watc'!$N$172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Watc'!$M$173:$M$183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Watc'!$N$173:$N$183</c:f>
              <c:numCache>
                <c:formatCode>0.0%</c:formatCode>
                <c:ptCount val="11"/>
                <c:pt idx="0">
                  <c:v>1.0373825548077564E-2</c:v>
                </c:pt>
                <c:pt idx="1">
                  <c:v>1.2771772891042366E-2</c:v>
                </c:pt>
                <c:pt idx="2">
                  <c:v>7.6200705846248259E-2</c:v>
                </c:pt>
                <c:pt idx="3">
                  <c:v>1.8302199101442422E-2</c:v>
                </c:pt>
                <c:pt idx="4">
                  <c:v>1.1606505790446222E-2</c:v>
                </c:pt>
                <c:pt idx="5">
                  <c:v>2.9675646616092229E-2</c:v>
                </c:pt>
                <c:pt idx="6">
                  <c:v>3.4908814589665653E-2</c:v>
                </c:pt>
                <c:pt idx="7">
                  <c:v>2.8884009249723088E-2</c:v>
                </c:pt>
                <c:pt idx="8">
                  <c:v>-0.27995502730485061</c:v>
                </c:pt>
                <c:pt idx="9">
                  <c:v>4.3149606299212599E-2</c:v>
                </c:pt>
                <c:pt idx="10">
                  <c:v>7.0413835701050023E-3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7E-4725-804D-9E9E3A83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061668"/>
        <c:axId val="81487312"/>
      </c:barChart>
      <c:catAx>
        <c:axId val="18150616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487312"/>
        <c:crosses val="autoZero"/>
        <c:auto val="1"/>
        <c:lblAlgn val="ctr"/>
        <c:lblOffset val="100"/>
        <c:noMultiLvlLbl val="1"/>
      </c:catAx>
      <c:valAx>
        <c:axId val="814873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506166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'Copy of Gems,Jewellery And Watc'!$G$37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3A3-491D-8768-8E7D226B91BC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3A3-491D-8768-8E7D226B91BC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3A3-491D-8768-8E7D226B91BC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33A3-491D-8768-8E7D226B91BC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33A3-491D-8768-8E7D226B91BC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33A3-491D-8768-8E7D226B91BC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33A3-491D-8768-8E7D226B91BC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33A3-491D-8768-8E7D226B91BC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33A3-491D-8768-8E7D226B91BC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33A3-491D-8768-8E7D226B91BC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33A3-491D-8768-8E7D226B91B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'Copy of Gems,Jewellery And Watc'!$F$38:$F$48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Watc'!$G$38:$G$48</c:f>
              <c:numCache>
                <c:formatCode>General</c:formatCode>
                <c:ptCount val="11"/>
                <c:pt idx="0">
                  <c:v>40575</c:v>
                </c:pt>
                <c:pt idx="1">
                  <c:v>14071</c:v>
                </c:pt>
                <c:pt idx="2">
                  <c:v>339689</c:v>
                </c:pt>
                <c:pt idx="3">
                  <c:v>2691</c:v>
                </c:pt>
                <c:pt idx="4">
                  <c:v>788</c:v>
                </c:pt>
                <c:pt idx="5">
                  <c:v>4077</c:v>
                </c:pt>
                <c:pt idx="6">
                  <c:v>3153</c:v>
                </c:pt>
                <c:pt idx="7">
                  <c:v>1119</c:v>
                </c:pt>
                <c:pt idx="8">
                  <c:v>2473</c:v>
                </c:pt>
                <c:pt idx="9">
                  <c:v>533</c:v>
                </c:pt>
                <c:pt idx="10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3A3-491D-8768-8E7D226B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'Copy of Gems,Jewellery And Watc'!$K$37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EF31-4E76-BCDB-FEE7C1D5233C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EF31-4E76-BCDB-FEE7C1D5233C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EF31-4E76-BCDB-FEE7C1D5233C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EF31-4E76-BCDB-FEE7C1D5233C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EF31-4E76-BCDB-FEE7C1D5233C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EF31-4E76-BCDB-FEE7C1D5233C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EF31-4E76-BCDB-FEE7C1D5233C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EF31-4E76-BCDB-FEE7C1D5233C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EF31-4E76-BCDB-FEE7C1D5233C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EF31-4E76-BCDB-FEE7C1D5233C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EF31-4E76-BCDB-FEE7C1D523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'Copy of Gems,Jewellery And Watc'!$J$38:$J$48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Watc'!$K$38:$K$48</c:f>
              <c:numCache>
                <c:formatCode>General</c:formatCode>
                <c:ptCount val="11"/>
                <c:pt idx="0">
                  <c:v>3274</c:v>
                </c:pt>
                <c:pt idx="1">
                  <c:v>432</c:v>
                </c:pt>
                <c:pt idx="2">
                  <c:v>1432</c:v>
                </c:pt>
                <c:pt idx="3">
                  <c:v>105</c:v>
                </c:pt>
                <c:pt idx="4">
                  <c:v>60</c:v>
                </c:pt>
                <c:pt idx="5">
                  <c:v>158</c:v>
                </c:pt>
                <c:pt idx="6">
                  <c:v>80</c:v>
                </c:pt>
                <c:pt idx="7">
                  <c:v>77</c:v>
                </c:pt>
                <c:pt idx="8">
                  <c:v>203</c:v>
                </c:pt>
                <c:pt idx="9">
                  <c:v>85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F31-4E76-BCDB-FEE7C1D52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Watc'!$C$79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Watc'!$B$80:$B$90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Watc'!$C$80:$C$90</c:f>
              <c:numCache>
                <c:formatCode>0%</c:formatCode>
                <c:ptCount val="11"/>
                <c:pt idx="0">
                  <c:v>0.20222273564068716</c:v>
                </c:pt>
                <c:pt idx="1">
                  <c:v>5.8687679670643256E-2</c:v>
                </c:pt>
                <c:pt idx="2">
                  <c:v>0.12597924100766988</c:v>
                </c:pt>
                <c:pt idx="3">
                  <c:v>0.11308063709977656</c:v>
                </c:pt>
                <c:pt idx="4">
                  <c:v>0.17223651077836721</c:v>
                </c:pt>
                <c:pt idx="5">
                  <c:v>0.13</c:v>
                </c:pt>
                <c:pt idx="6">
                  <c:v>0.17986397493065875</c:v>
                </c:pt>
                <c:pt idx="7">
                  <c:v>0.17341712018673738</c:v>
                </c:pt>
                <c:pt idx="8">
                  <c:v>-0.23782453296181305</c:v>
                </c:pt>
                <c:pt idx="9">
                  <c:v>0.10812130599375092</c:v>
                </c:pt>
                <c:pt idx="10">
                  <c:v>0.105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4F1-4D71-9CCD-CA0466FD1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806256"/>
        <c:axId val="1426546714"/>
      </c:barChart>
      <c:catAx>
        <c:axId val="72380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6546714"/>
        <c:crosses val="autoZero"/>
        <c:auto val="1"/>
        <c:lblAlgn val="ctr"/>
        <c:lblOffset val="100"/>
        <c:noMultiLvlLbl val="1"/>
      </c:catAx>
      <c:valAx>
        <c:axId val="14265467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380625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CY_SALES GR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Watc'!$G$79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Watc'!$F$80:$F$90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Watc'!$G$80:$G$90</c:f>
              <c:numCache>
                <c:formatCode>0.0%</c:formatCode>
                <c:ptCount val="11"/>
                <c:pt idx="0">
                  <c:v>0.23731234107771093</c:v>
                </c:pt>
                <c:pt idx="1">
                  <c:v>0.31085126286248821</c:v>
                </c:pt>
                <c:pt idx="2">
                  <c:v>-0.156126667290995</c:v>
                </c:pt>
                <c:pt idx="3">
                  <c:v>0.12662662662662671</c:v>
                </c:pt>
                <c:pt idx="4">
                  <c:v>0.28399311531841653</c:v>
                </c:pt>
                <c:pt idx="5">
                  <c:v>0.25773827765859636</c:v>
                </c:pt>
                <c:pt idx="6">
                  <c:v>0.19437447523089846</c:v>
                </c:pt>
                <c:pt idx="7">
                  <c:v>0.27195121951219514</c:v>
                </c:pt>
                <c:pt idx="8">
                  <c:v>-0.64221453287197239</c:v>
                </c:pt>
                <c:pt idx="9">
                  <c:v>8.591885441527447E-2</c:v>
                </c:pt>
                <c:pt idx="10">
                  <c:v>9.0909090909090828E-2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AD8-4462-9A1A-D823CCAA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920555"/>
        <c:axId val="881532823"/>
      </c:barChart>
      <c:catAx>
        <c:axId val="14229205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1532823"/>
        <c:crosses val="autoZero"/>
        <c:auto val="1"/>
        <c:lblAlgn val="ctr"/>
        <c:lblOffset val="100"/>
        <c:noMultiLvlLbl val="1"/>
      </c:catAx>
      <c:valAx>
        <c:axId val="8815328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CY_SALES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29205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Watc'!$C$110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Watc'!$B$111:$B$121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Watc'!$C$111:$C$121</c:f>
              <c:numCache>
                <c:formatCode>0</c:formatCode>
                <c:ptCount val="11"/>
                <c:pt idx="0">
                  <c:v>14.793333333333333</c:v>
                </c:pt>
                <c:pt idx="1">
                  <c:v>2.8679867986798682</c:v>
                </c:pt>
                <c:pt idx="2">
                  <c:v>7.1092436974789912</c:v>
                </c:pt>
                <c:pt idx="3">
                  <c:v>15.25</c:v>
                </c:pt>
                <c:pt idx="4">
                  <c:v>5.6428571428571432</c:v>
                </c:pt>
                <c:pt idx="5">
                  <c:v>3.1511627906976742</c:v>
                </c:pt>
                <c:pt idx="6">
                  <c:v>4</c:v>
                </c:pt>
                <c:pt idx="7">
                  <c:v>4.625</c:v>
                </c:pt>
                <c:pt idx="8">
                  <c:v>0.44918699186991867</c:v>
                </c:pt>
                <c:pt idx="9">
                  <c:v>97</c:v>
                </c:pt>
                <c:pt idx="10">
                  <c:v>2.8235294117647061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22E-4218-AD04-030F3650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225039"/>
        <c:axId val="168855187"/>
      </c:barChart>
      <c:catAx>
        <c:axId val="1447225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855187"/>
        <c:crosses val="autoZero"/>
        <c:auto val="1"/>
        <c:lblAlgn val="ctr"/>
        <c:lblOffset val="100"/>
        <c:noMultiLvlLbl val="1"/>
      </c:catAx>
      <c:valAx>
        <c:axId val="1688551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72250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Watc'!$G$110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Watc'!$F$111:$F$121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Watc'!$G$111:$G$121</c:f>
              <c:numCache>
                <c:formatCode>0.00</c:formatCode>
                <c:ptCount val="11"/>
                <c:pt idx="0">
                  <c:v>0.44123545928600078</c:v>
                </c:pt>
                <c:pt idx="1">
                  <c:v>0.40560893274474163</c:v>
                </c:pt>
                <c:pt idx="2">
                  <c:v>4.1124687951648926E-2</c:v>
                </c:pt>
                <c:pt idx="3">
                  <c:v>9.8039215686274508E-2</c:v>
                </c:pt>
                <c:pt idx="4">
                  <c:v>1.029940119760479E-2</c:v>
                </c:pt>
                <c:pt idx="5">
                  <c:v>1.245978835978836</c:v>
                </c:pt>
                <c:pt idx="6">
                  <c:v>1.1275167785234899</c:v>
                </c:pt>
                <c:pt idx="7">
                  <c:v>0.14136125654450263</c:v>
                </c:pt>
                <c:pt idx="8">
                  <c:v>1.1822660098522169</c:v>
                </c:pt>
                <c:pt idx="9">
                  <c:v>1.340033500837521E-3</c:v>
                </c:pt>
                <c:pt idx="10">
                  <c:v>1.1608391608391608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708-4573-BC6D-6974F326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2634831"/>
        <c:axId val="1014254876"/>
      </c:barChart>
      <c:catAx>
        <c:axId val="7126348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4254876"/>
        <c:crosses val="autoZero"/>
        <c:auto val="1"/>
        <c:lblAlgn val="ctr"/>
        <c:lblOffset val="100"/>
        <c:noMultiLvlLbl val="1"/>
      </c:catAx>
      <c:valAx>
        <c:axId val="10142548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26348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Watc'!$K$110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Watc'!$J$111:$J$121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Watc'!$K$111:$K$121</c:f>
              <c:numCache>
                <c:formatCode>0.00</c:formatCode>
                <c:ptCount val="11"/>
                <c:pt idx="0">
                  <c:v>0.62149277298676064</c:v>
                </c:pt>
                <c:pt idx="1">
                  <c:v>0.66434297664691533</c:v>
                </c:pt>
                <c:pt idx="2">
                  <c:v>0.20817727840199751</c:v>
                </c:pt>
                <c:pt idx="3">
                  <c:v>0.32821075740944017</c:v>
                </c:pt>
                <c:pt idx="4">
                  <c:v>0.28556149732620323</c:v>
                </c:pt>
                <c:pt idx="5">
                  <c:v>0.67435456110154901</c:v>
                </c:pt>
                <c:pt idx="6">
                  <c:v>0.67059690493736179</c:v>
                </c:pt>
                <c:pt idx="7">
                  <c:v>0.3818770226537217</c:v>
                </c:pt>
                <c:pt idx="8">
                  <c:v>0.55807943416757344</c:v>
                </c:pt>
                <c:pt idx="9">
                  <c:v>0.14592274678111589</c:v>
                </c:pt>
                <c:pt idx="10">
                  <c:v>0.58908045977011492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78A-4E8A-8A55-EFF29200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630851"/>
        <c:axId val="74723771"/>
      </c:barChart>
      <c:catAx>
        <c:axId val="6586308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4723771"/>
        <c:crosses val="autoZero"/>
        <c:auto val="1"/>
        <c:lblAlgn val="ctr"/>
        <c:lblOffset val="100"/>
        <c:noMultiLvlLbl val="1"/>
      </c:catAx>
      <c:valAx>
        <c:axId val="747237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5863085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Gems,Jewellery And Watc'!$C$141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Watc'!$B$142:$B$152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Watc'!$C$142:$C$152</c:f>
              <c:numCache>
                <c:formatCode>0.0%</c:formatCode>
                <c:ptCount val="11"/>
                <c:pt idx="0">
                  <c:v>8.0690080098582875E-2</c:v>
                </c:pt>
                <c:pt idx="1">
                  <c:v>3.070144268353351E-2</c:v>
                </c:pt>
                <c:pt idx="2">
                  <c:v>4.2156207589883685E-3</c:v>
                </c:pt>
                <c:pt idx="3">
                  <c:v>3.901895206243032E-2</c:v>
                </c:pt>
                <c:pt idx="4">
                  <c:v>7.6142131979695438E-2</c:v>
                </c:pt>
                <c:pt idx="5">
                  <c:v>3.8753985773853326E-2</c:v>
                </c:pt>
                <c:pt idx="6">
                  <c:v>2.5372660957817952E-2</c:v>
                </c:pt>
                <c:pt idx="7">
                  <c:v>6.8811438784629128E-2</c:v>
                </c:pt>
                <c:pt idx="8">
                  <c:v>8.2086534573392642E-2</c:v>
                </c:pt>
                <c:pt idx="9">
                  <c:v>0.15947467166979362</c:v>
                </c:pt>
                <c:pt idx="10">
                  <c:v>5.9945504087193457E-2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627-423F-84AC-2996F03B62D4}"/>
            </c:ext>
          </c:extLst>
        </c:ser>
        <c:ser>
          <c:idx val="1"/>
          <c:order val="1"/>
          <c:tx>
            <c:strRef>
              <c:f>'Copy of Gems,Jewellery And Watc'!$D$141</c:f>
              <c:strCache>
                <c:ptCount val="1"/>
                <c:pt idx="0">
                  <c:v>CY_MARGIN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Gems,Jewellery And Watc'!$B$142:$B$152</c:f>
              <c:strCache>
                <c:ptCount val="11"/>
                <c:pt idx="0">
                  <c:v>TITAN</c:v>
                </c:pt>
                <c:pt idx="1">
                  <c:v>KALYANKJIL</c:v>
                </c:pt>
                <c:pt idx="2">
                  <c:v>RAJESHEXPO</c:v>
                </c:pt>
                <c:pt idx="3">
                  <c:v>VAIBHAVGBL</c:v>
                </c:pt>
                <c:pt idx="4">
                  <c:v>ETHOSLTD</c:v>
                </c:pt>
                <c:pt idx="5">
                  <c:v>SENCO</c:v>
                </c:pt>
                <c:pt idx="6">
                  <c:v>THANGAMAYL</c:v>
                </c:pt>
                <c:pt idx="7">
                  <c:v>KDDL</c:v>
                </c:pt>
                <c:pt idx="8">
                  <c:v>PCJEWELLER</c:v>
                </c:pt>
                <c:pt idx="9">
                  <c:v>GOLDIAM</c:v>
                </c:pt>
                <c:pt idx="10">
                  <c:v>MOTISONS</c:v>
                </c:pt>
              </c:strCache>
            </c:strRef>
          </c:cat>
          <c:val>
            <c:numRef>
              <c:f>'Copy of Gems,Jewellery And Watc'!$D$142:$D$152</c:f>
              <c:numCache>
                <c:formatCode>0.0%</c:formatCode>
                <c:ptCount val="11"/>
                <c:pt idx="0">
                  <c:v>7.6713022915376392E-2</c:v>
                </c:pt>
                <c:pt idx="1">
                  <c:v>3.2683936344822667E-2</c:v>
                </c:pt>
                <c:pt idx="2">
                  <c:v>1.9394285291522001E-3</c:v>
                </c:pt>
                <c:pt idx="3">
                  <c:v>4.6645935139937804E-2</c:v>
                </c:pt>
                <c:pt idx="4">
                  <c:v>8.3109919571045576E-2</c:v>
                </c:pt>
                <c:pt idx="5">
                  <c:v>3.6062378167641324E-2</c:v>
                </c:pt>
                <c:pt idx="6">
                  <c:v>3.3391915641476276E-2</c:v>
                </c:pt>
                <c:pt idx="7">
                  <c:v>9.7794822627037398E-2</c:v>
                </c:pt>
                <c:pt idx="8">
                  <c:v>-0.59961315280464211</c:v>
                </c:pt>
                <c:pt idx="9">
                  <c:v>0.16043956043956045</c:v>
                </c:pt>
                <c:pt idx="10">
                  <c:v>7.0000000000000007E-2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627-423F-84AC-2996F03B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228794"/>
        <c:axId val="718181728"/>
      </c:barChart>
      <c:catAx>
        <c:axId val="19092287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8181728"/>
        <c:crosses val="autoZero"/>
        <c:auto val="1"/>
        <c:lblAlgn val="ctr"/>
        <c:lblOffset val="100"/>
        <c:noMultiLvlLbl val="1"/>
      </c:catAx>
      <c:valAx>
        <c:axId val="7181817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922879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4.png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2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61</xdr:row>
      <xdr:rowOff>133350</xdr:rowOff>
    </xdr:from>
    <xdr:ext cx="4591050" cy="28384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F5C95E04-30B1-4E3F-AE3C-A9A68C62E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61</xdr:row>
      <xdr:rowOff>133350</xdr:rowOff>
    </xdr:from>
    <xdr:ext cx="4591050" cy="28384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4A43E0F-29D5-4950-9F3D-E8EDBC567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752475</xdr:colOff>
      <xdr:row>61</xdr:row>
      <xdr:rowOff>133350</xdr:rowOff>
    </xdr:from>
    <xdr:ext cx="4591050" cy="28384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FDB2FD16-3A9F-4865-9CC9-F01EFF36A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133350</xdr:colOff>
      <xdr:row>92</xdr:row>
      <xdr:rowOff>85725</xdr:rowOff>
    </xdr:from>
    <xdr:ext cx="4667250" cy="29051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625ACAAB-EA9B-4AD2-B9CA-1AC29C7CB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923925</xdr:colOff>
      <xdr:row>92</xdr:row>
      <xdr:rowOff>85725</xdr:rowOff>
    </xdr:from>
    <xdr:ext cx="4791075" cy="290512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55F02B5D-7973-4985-8227-C00EDCAFF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66675</xdr:colOff>
      <xdr:row>122</xdr:row>
      <xdr:rowOff>200025</xdr:rowOff>
    </xdr:from>
    <xdr:ext cx="4733925" cy="290512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5F878E30-6271-4DB9-9CFE-1F5F424B3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4</xdr:col>
      <xdr:colOff>952500</xdr:colOff>
      <xdr:row>123</xdr:row>
      <xdr:rowOff>0</xdr:rowOff>
    </xdr:from>
    <xdr:ext cx="4733925" cy="2905125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ABCA084E-3EAE-4386-8C52-8426D243E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9</xdr:col>
      <xdr:colOff>885825</xdr:colOff>
      <xdr:row>123</xdr:row>
      <xdr:rowOff>9525</xdr:rowOff>
    </xdr:from>
    <xdr:ext cx="4733925" cy="290512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78BD73C8-3803-4588-B40C-65A907191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133350</xdr:colOff>
      <xdr:row>154</xdr:row>
      <xdr:rowOff>9525</xdr:rowOff>
    </xdr:from>
    <xdr:ext cx="4667250" cy="290512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3C3CC980-9B71-4BF9-9B75-6BAEF307C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4</xdr:col>
      <xdr:colOff>952500</xdr:colOff>
      <xdr:row>154</xdr:row>
      <xdr:rowOff>9525</xdr:rowOff>
    </xdr:from>
    <xdr:ext cx="4733925" cy="290512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F3812BD1-B680-45B9-8813-050A118EA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914400</xdr:colOff>
      <xdr:row>154</xdr:row>
      <xdr:rowOff>9525</xdr:rowOff>
    </xdr:from>
    <xdr:ext cx="4733925" cy="2905125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B46DABAB-3F62-460D-B19D-1A65CC82A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4</xdr:col>
      <xdr:colOff>76200</xdr:colOff>
      <xdr:row>171</xdr:row>
      <xdr:rowOff>9525</xdr:rowOff>
    </xdr:from>
    <xdr:ext cx="3810000" cy="280987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830EB537-D874-45E0-BBE4-355871BD9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8</xdr:col>
      <xdr:colOff>47625</xdr:colOff>
      <xdr:row>171</xdr:row>
      <xdr:rowOff>9525</xdr:rowOff>
    </xdr:from>
    <xdr:ext cx="3733800" cy="280987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36360D8B-F77D-4CF3-8FFA-8E45C1DF2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0</xdr:col>
      <xdr:colOff>209550</xdr:colOff>
      <xdr:row>7</xdr:row>
      <xdr:rowOff>66675</xdr:rowOff>
    </xdr:from>
    <xdr:ext cx="5076825" cy="2095500"/>
    <xdr:pic>
      <xdr:nvPicPr>
        <xdr:cNvPr id="15" name="image5.png" title="Image">
          <a:extLst>
            <a:ext uri="{FF2B5EF4-FFF2-40B4-BE49-F238E27FC236}">
              <a16:creationId xmlns:a16="http://schemas.microsoft.com/office/drawing/2014/main" id="{DF4062F9-CEF1-4304-9FC4-9C25360A9777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9550" y="1453515"/>
          <a:ext cx="5076825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</xdr:colOff>
      <xdr:row>7</xdr:row>
      <xdr:rowOff>66675</xdr:rowOff>
    </xdr:from>
    <xdr:ext cx="3810000" cy="2143125"/>
    <xdr:pic>
      <xdr:nvPicPr>
        <xdr:cNvPr id="16" name="image4.png" title="Image">
          <a:extLst>
            <a:ext uri="{FF2B5EF4-FFF2-40B4-BE49-F238E27FC236}">
              <a16:creationId xmlns:a16="http://schemas.microsoft.com/office/drawing/2014/main" id="{B3079DB4-9970-40A1-B9E5-9CD002AF633B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231130" y="1453515"/>
          <a:ext cx="3810000" cy="21431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285750</xdr:colOff>
      <xdr:row>7</xdr:row>
      <xdr:rowOff>66675</xdr:rowOff>
    </xdr:from>
    <xdr:ext cx="5153025" cy="2095500"/>
    <xdr:pic>
      <xdr:nvPicPr>
        <xdr:cNvPr id="17" name="image2.png" title="Image">
          <a:extLst>
            <a:ext uri="{FF2B5EF4-FFF2-40B4-BE49-F238E27FC236}">
              <a16:creationId xmlns:a16="http://schemas.microsoft.com/office/drawing/2014/main" id="{BD168694-FFB1-45F2-A6D8-49DF2D8D483A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972550" y="1453515"/>
          <a:ext cx="5153025" cy="2095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20</xdr:row>
      <xdr:rowOff>66675</xdr:rowOff>
    </xdr:from>
    <xdr:ext cx="5076825" cy="2705100"/>
    <xdr:pic>
      <xdr:nvPicPr>
        <xdr:cNvPr id="18" name="image1.png" title="Image">
          <a:extLst>
            <a:ext uri="{FF2B5EF4-FFF2-40B4-BE49-F238E27FC236}">
              <a16:creationId xmlns:a16="http://schemas.microsoft.com/office/drawing/2014/main" id="{834A2C00-3B1D-4CBE-826A-61D629DEA248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09550" y="4029075"/>
          <a:ext cx="5076825" cy="2705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923925</xdr:colOff>
      <xdr:row>20</xdr:row>
      <xdr:rowOff>66675</xdr:rowOff>
    </xdr:from>
    <xdr:ext cx="3867150" cy="2705100"/>
    <xdr:pic>
      <xdr:nvPicPr>
        <xdr:cNvPr id="19" name="image3.png" title="Image">
          <a:extLst>
            <a:ext uri="{FF2B5EF4-FFF2-40B4-BE49-F238E27FC236}">
              <a16:creationId xmlns:a16="http://schemas.microsoft.com/office/drawing/2014/main" id="{C5DD1194-9A75-4A97-9D4A-AD41479B8FE3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213985" y="4029075"/>
          <a:ext cx="3867150" cy="2705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Gems,JewelleryAndWatches%20%20(3).xlsx" TargetMode="External"/><Relationship Id="rId1" Type="http://schemas.openxmlformats.org/officeDocument/2006/relationships/externalLinkPath" Target="/Users/profi/Downloads/Gems,JewelleryAndWatches%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Gems,Jewellery And Watc"/>
      <sheetName val="IndustryView04May2022"/>
      <sheetName val="TITAN"/>
      <sheetName val="Sheet1"/>
    </sheetNames>
    <sheetDataSet>
      <sheetData sheetId="0">
        <row r="37">
          <cell r="C37" t="str">
            <v>Market cap</v>
          </cell>
          <cell r="G37" t="str">
            <v>SALES_23</v>
          </cell>
          <cell r="K37" t="str">
            <v>PROFIT_23</v>
          </cell>
        </row>
        <row r="38">
          <cell r="B38" t="str">
            <v>TITAN</v>
          </cell>
          <cell r="C38">
            <v>332018.69327819999</v>
          </cell>
          <cell r="F38" t="str">
            <v>TITAN</v>
          </cell>
          <cell r="G38">
            <v>40575</v>
          </cell>
          <cell r="J38" t="str">
            <v>TITAN</v>
          </cell>
          <cell r="K38">
            <v>3274</v>
          </cell>
        </row>
        <row r="39">
          <cell r="B39" t="str">
            <v>KALYANKJIL</v>
          </cell>
          <cell r="C39">
            <v>41804.701633600002</v>
          </cell>
          <cell r="F39" t="str">
            <v>KALYANKJIL</v>
          </cell>
          <cell r="G39">
            <v>14071</v>
          </cell>
          <cell r="J39" t="str">
            <v>KALYANKJIL</v>
          </cell>
          <cell r="K39">
            <v>432</v>
          </cell>
        </row>
        <row r="40">
          <cell r="B40" t="str">
            <v>RAJESHEXPO</v>
          </cell>
          <cell r="C40">
            <v>9457.1742364999991</v>
          </cell>
          <cell r="F40" t="str">
            <v>RAJESHEXPO</v>
          </cell>
          <cell r="G40">
            <v>339689</v>
          </cell>
          <cell r="J40" t="str">
            <v>RAJESHEXPO</v>
          </cell>
          <cell r="K40">
            <v>1432</v>
          </cell>
        </row>
        <row r="41">
          <cell r="B41" t="str">
            <v>VAIBHAVGBL</v>
          </cell>
          <cell r="C41">
            <v>7041.2377149000004</v>
          </cell>
          <cell r="F41" t="str">
            <v>VAIBHAVGBL</v>
          </cell>
          <cell r="G41">
            <v>2691</v>
          </cell>
          <cell r="J41" t="str">
            <v>VAIBHAVGBL</v>
          </cell>
          <cell r="K41">
            <v>105</v>
          </cell>
        </row>
        <row r="42">
          <cell r="B42" t="str">
            <v>ETHOSLTD</v>
          </cell>
          <cell r="C42">
            <v>6732.4879675000002</v>
          </cell>
          <cell r="F42" t="str">
            <v>ETHOSLTD</v>
          </cell>
          <cell r="G42">
            <v>788</v>
          </cell>
          <cell r="J42" t="str">
            <v>ETHOSLTD</v>
          </cell>
          <cell r="K42">
            <v>60</v>
          </cell>
        </row>
        <row r="43">
          <cell r="B43" t="str">
            <v>SENCO</v>
          </cell>
          <cell r="C43">
            <v>6525.74748</v>
          </cell>
          <cell r="F43" t="str">
            <v>SENCO</v>
          </cell>
          <cell r="G43">
            <v>4077</v>
          </cell>
          <cell r="J43" t="str">
            <v>SENCO</v>
          </cell>
          <cell r="K43">
            <v>158</v>
          </cell>
        </row>
        <row r="44">
          <cell r="B44" t="str">
            <v>THANGAMAYL</v>
          </cell>
          <cell r="C44">
            <v>3639.2559246999999</v>
          </cell>
          <cell r="F44" t="str">
            <v>THANGAMAYL</v>
          </cell>
          <cell r="G44">
            <v>3153</v>
          </cell>
          <cell r="J44" t="str">
            <v>THANGAMAYL</v>
          </cell>
          <cell r="K44">
            <v>80</v>
          </cell>
        </row>
        <row r="45">
          <cell r="B45" t="str">
            <v>KDDL</v>
          </cell>
          <cell r="C45">
            <v>3181.5423433999999</v>
          </cell>
          <cell r="F45" t="str">
            <v>KDDL</v>
          </cell>
          <cell r="G45">
            <v>1119</v>
          </cell>
          <cell r="J45" t="str">
            <v>KDDL</v>
          </cell>
          <cell r="K45">
            <v>77</v>
          </cell>
        </row>
        <row r="46">
          <cell r="B46" t="str">
            <v>OTHER_37</v>
          </cell>
          <cell r="C46">
            <v>2947</v>
          </cell>
          <cell r="F46" t="str">
            <v>PCJEWELLER</v>
          </cell>
          <cell r="G46">
            <v>2473</v>
          </cell>
          <cell r="J46" t="str">
            <v>PCJEWELLER</v>
          </cell>
          <cell r="K46">
            <v>203</v>
          </cell>
        </row>
        <row r="47">
          <cell r="B47" t="str">
            <v>PCJEWELLER</v>
          </cell>
          <cell r="C47">
            <v>2897.1392774999999</v>
          </cell>
          <cell r="F47" t="str">
            <v>GOLDIAM</v>
          </cell>
          <cell r="G47">
            <v>533</v>
          </cell>
          <cell r="J47" t="str">
            <v>GOLDIAM</v>
          </cell>
          <cell r="K47">
            <v>85</v>
          </cell>
        </row>
        <row r="48">
          <cell r="B48" t="str">
            <v>GOLDIAM</v>
          </cell>
          <cell r="C48">
            <v>2042.9902955</v>
          </cell>
          <cell r="F48" t="str">
            <v>MOTISONS</v>
          </cell>
          <cell r="G48">
            <v>367</v>
          </cell>
          <cell r="J48" t="str">
            <v>MOTISONS</v>
          </cell>
          <cell r="K48">
            <v>22</v>
          </cell>
        </row>
        <row r="49">
          <cell r="B49" t="str">
            <v>MOTISONS</v>
          </cell>
          <cell r="C49">
            <v>1564.7986631000001</v>
          </cell>
        </row>
        <row r="50">
          <cell r="B50" t="str">
            <v>SKYGOLD</v>
          </cell>
          <cell r="C50">
            <v>1395.7170168</v>
          </cell>
        </row>
        <row r="51">
          <cell r="B51" t="str">
            <v>TIMEX</v>
          </cell>
          <cell r="C51">
            <v>1393.10862</v>
          </cell>
        </row>
        <row r="52">
          <cell r="B52" t="str">
            <v>ASTAR</v>
          </cell>
          <cell r="C52">
            <v>1264.5372</v>
          </cell>
        </row>
        <row r="53">
          <cell r="B53" t="str">
            <v>RGL</v>
          </cell>
          <cell r="C53">
            <v>1183.7405262</v>
          </cell>
        </row>
        <row r="54">
          <cell r="B54" t="str">
            <v>MVGJL</v>
          </cell>
          <cell r="C54">
            <v>1073.911218</v>
          </cell>
        </row>
        <row r="55">
          <cell r="B55" t="str">
            <v>TBZ</v>
          </cell>
          <cell r="C55">
            <v>783.75111149999998</v>
          </cell>
        </row>
        <row r="56">
          <cell r="B56" t="str">
            <v>KHAZANCHI</v>
          </cell>
          <cell r="C56">
            <v>782.74441669999999</v>
          </cell>
        </row>
        <row r="57">
          <cell r="B57" t="str">
            <v>RADHIKAJWE</v>
          </cell>
          <cell r="C57">
            <v>759.32998190000001</v>
          </cell>
        </row>
        <row r="58">
          <cell r="B58" t="str">
            <v>RBZJEWEL</v>
          </cell>
          <cell r="C58">
            <v>634.20001219999995</v>
          </cell>
        </row>
        <row r="59">
          <cell r="B59" t="str">
            <v>GARGI</v>
          </cell>
          <cell r="C59">
            <v>532.90996600000005</v>
          </cell>
        </row>
        <row r="79">
          <cell r="C79" t="str">
            <v>SALES_5Y_GR</v>
          </cell>
          <cell r="G79" t="str">
            <v>CY_SALES GR</v>
          </cell>
        </row>
        <row r="80">
          <cell r="B80" t="str">
            <v>TITAN</v>
          </cell>
          <cell r="C80">
            <v>0.20222273564068716</v>
          </cell>
          <cell r="F80" t="str">
            <v>TITAN</v>
          </cell>
          <cell r="G80">
            <v>0.23731234107771093</v>
          </cell>
        </row>
        <row r="81">
          <cell r="B81" t="str">
            <v>KALYANKJIL</v>
          </cell>
          <cell r="C81">
            <v>5.8687679670643256E-2</v>
          </cell>
          <cell r="F81" t="str">
            <v>KALYANKJIL</v>
          </cell>
          <cell r="G81">
            <v>0.31085126286248821</v>
          </cell>
        </row>
        <row r="82">
          <cell r="B82" t="str">
            <v>RAJESHEXPO</v>
          </cell>
          <cell r="C82">
            <v>0.12597924100766988</v>
          </cell>
          <cell r="F82" t="str">
            <v>RAJESHEXPO</v>
          </cell>
          <cell r="G82">
            <v>-0.156126667290995</v>
          </cell>
        </row>
        <row r="83">
          <cell r="B83" t="str">
            <v>VAIBHAVGBL</v>
          </cell>
          <cell r="C83">
            <v>0.11308063709977656</v>
          </cell>
          <cell r="F83" t="str">
            <v>VAIBHAVGBL</v>
          </cell>
          <cell r="G83">
            <v>0.12662662662662671</v>
          </cell>
        </row>
        <row r="84">
          <cell r="B84" t="str">
            <v>ETHOSLTD</v>
          </cell>
          <cell r="C84">
            <v>0.17223651077836721</v>
          </cell>
          <cell r="F84" t="str">
            <v>ETHOSLTD</v>
          </cell>
          <cell r="G84">
            <v>0.28399311531841653</v>
          </cell>
        </row>
        <row r="85">
          <cell r="B85" t="str">
            <v>SENCO</v>
          </cell>
          <cell r="C85">
            <v>0.13</v>
          </cell>
          <cell r="F85" t="str">
            <v>SENCO</v>
          </cell>
          <cell r="G85">
            <v>0.25773827765859636</v>
          </cell>
        </row>
        <row r="86">
          <cell r="B86" t="str">
            <v>THANGAMAYL</v>
          </cell>
          <cell r="C86">
            <v>0.17986397493065875</v>
          </cell>
          <cell r="F86" t="str">
            <v>THANGAMAYL</v>
          </cell>
          <cell r="G86">
            <v>0.19437447523089846</v>
          </cell>
        </row>
        <row r="87">
          <cell r="B87" t="str">
            <v>KDDL</v>
          </cell>
          <cell r="C87">
            <v>0.17341712018673738</v>
          </cell>
          <cell r="F87" t="str">
            <v>KDDL</v>
          </cell>
          <cell r="G87">
            <v>0.27195121951219514</v>
          </cell>
        </row>
        <row r="88">
          <cell r="B88" t="str">
            <v>PCJEWELLER</v>
          </cell>
          <cell r="C88">
            <v>-0.23782453296181305</v>
          </cell>
          <cell r="F88" t="str">
            <v>PCJEWELLER</v>
          </cell>
          <cell r="G88">
            <v>-0.64221453287197239</v>
          </cell>
        </row>
        <row r="89">
          <cell r="B89" t="str">
            <v>GOLDIAM</v>
          </cell>
          <cell r="C89">
            <v>0.10812130599375092</v>
          </cell>
          <cell r="F89" t="str">
            <v>GOLDIAM</v>
          </cell>
          <cell r="G89">
            <v>8.591885441527447E-2</v>
          </cell>
        </row>
        <row r="90">
          <cell r="B90" t="str">
            <v>MOTISONS</v>
          </cell>
          <cell r="C90">
            <v>0.105</v>
          </cell>
          <cell r="F90" t="str">
            <v>MOTISONS</v>
          </cell>
          <cell r="G90">
            <v>9.0909090909090828E-2</v>
          </cell>
        </row>
        <row r="110">
          <cell r="C110" t="str">
            <v>ICR</v>
          </cell>
          <cell r="G110" t="str">
            <v>DEBT2EQUITY</v>
          </cell>
          <cell r="K110" t="str">
            <v>DEBTRATIO</v>
          </cell>
        </row>
        <row r="111">
          <cell r="B111" t="str">
            <v>TITAN</v>
          </cell>
          <cell r="C111">
            <v>14.793333333333333</v>
          </cell>
          <cell r="F111" t="str">
            <v>TITAN</v>
          </cell>
          <cell r="G111">
            <v>0.44123545928600078</v>
          </cell>
          <cell r="J111" t="str">
            <v>TITAN</v>
          </cell>
          <cell r="K111">
            <v>0.62149277298676064</v>
          </cell>
        </row>
        <row r="112">
          <cell r="B112" t="str">
            <v>KALYANKJIL</v>
          </cell>
          <cell r="C112">
            <v>2.8679867986798682</v>
          </cell>
          <cell r="F112" t="str">
            <v>KALYANKJIL</v>
          </cell>
          <cell r="G112">
            <v>0.40560893274474163</v>
          </cell>
          <cell r="J112" t="str">
            <v>KALYANKJIL</v>
          </cell>
          <cell r="K112">
            <v>0.66434297664691533</v>
          </cell>
        </row>
        <row r="113">
          <cell r="B113" t="str">
            <v>RAJESHEXPO</v>
          </cell>
          <cell r="C113">
            <v>7.1092436974789912</v>
          </cell>
          <cell r="F113" t="str">
            <v>RAJESHEXPO</v>
          </cell>
          <cell r="G113">
            <v>4.1124687951648926E-2</v>
          </cell>
          <cell r="J113" t="str">
            <v>RAJESHEXPO</v>
          </cell>
          <cell r="K113">
            <v>0.20817727840199751</v>
          </cell>
        </row>
        <row r="114">
          <cell r="B114" t="str">
            <v>VAIBHAVGBL</v>
          </cell>
          <cell r="C114">
            <v>15.25</v>
          </cell>
          <cell r="F114" t="str">
            <v>VAIBHAVGBL</v>
          </cell>
          <cell r="G114">
            <v>9.8039215686274508E-2</v>
          </cell>
          <cell r="J114" t="str">
            <v>VAIBHAVGBL</v>
          </cell>
          <cell r="K114">
            <v>0.32821075740944017</v>
          </cell>
        </row>
        <row r="115">
          <cell r="B115" t="str">
            <v>ETHOSLTD</v>
          </cell>
          <cell r="C115">
            <v>5.6428571428571432</v>
          </cell>
          <cell r="F115" t="str">
            <v>ETHOSLTD</v>
          </cell>
          <cell r="G115">
            <v>1.029940119760479E-2</v>
          </cell>
          <cell r="J115" t="str">
            <v>ETHOSLTD</v>
          </cell>
          <cell r="K115">
            <v>0.28556149732620323</v>
          </cell>
        </row>
        <row r="116">
          <cell r="B116" t="str">
            <v>SENCO</v>
          </cell>
          <cell r="C116">
            <v>3.1511627906976742</v>
          </cell>
          <cell r="F116" t="str">
            <v>SENCO</v>
          </cell>
          <cell r="G116">
            <v>1.245978835978836</v>
          </cell>
          <cell r="J116" t="str">
            <v>SENCO</v>
          </cell>
          <cell r="K116">
            <v>0.67435456110154901</v>
          </cell>
        </row>
        <row r="117">
          <cell r="B117" t="str">
            <v>THANGAMAYL</v>
          </cell>
          <cell r="C117">
            <v>4</v>
          </cell>
          <cell r="F117" t="str">
            <v>THANGAMAYL</v>
          </cell>
          <cell r="G117">
            <v>1.1275167785234899</v>
          </cell>
          <cell r="J117" t="str">
            <v>THANGAMAYL</v>
          </cell>
          <cell r="K117">
            <v>0.67059690493736179</v>
          </cell>
        </row>
        <row r="118">
          <cell r="B118" t="str">
            <v>KDDL</v>
          </cell>
          <cell r="C118">
            <v>4.625</v>
          </cell>
          <cell r="F118" t="str">
            <v>KDDL</v>
          </cell>
          <cell r="G118">
            <v>0.14136125654450263</v>
          </cell>
          <cell r="J118" t="str">
            <v>KDDL</v>
          </cell>
          <cell r="K118">
            <v>0.3818770226537217</v>
          </cell>
        </row>
        <row r="119">
          <cell r="B119" t="str">
            <v>PCJEWELLER</v>
          </cell>
          <cell r="C119">
            <v>0.44918699186991867</v>
          </cell>
          <cell r="F119" t="str">
            <v>PCJEWELLER</v>
          </cell>
          <cell r="G119">
            <v>1.1822660098522169</v>
          </cell>
          <cell r="J119" t="str">
            <v>PCJEWELLER</v>
          </cell>
          <cell r="K119">
            <v>0.55807943416757344</v>
          </cell>
        </row>
        <row r="120">
          <cell r="B120" t="str">
            <v>GOLDIAM</v>
          </cell>
          <cell r="C120">
            <v>97</v>
          </cell>
          <cell r="F120" t="str">
            <v>GOLDIAM</v>
          </cell>
          <cell r="G120">
            <v>1.340033500837521E-3</v>
          </cell>
          <cell r="J120" t="str">
            <v>GOLDIAM</v>
          </cell>
          <cell r="K120">
            <v>0.14592274678111589</v>
          </cell>
        </row>
        <row r="121">
          <cell r="B121" t="str">
            <v>MOTISONS</v>
          </cell>
          <cell r="C121">
            <v>2.8235294117647061</v>
          </cell>
          <cell r="F121" t="str">
            <v>MOTISONS</v>
          </cell>
          <cell r="G121">
            <v>1.1608391608391608</v>
          </cell>
          <cell r="J121" t="str">
            <v>MOTISONS</v>
          </cell>
          <cell r="K121">
            <v>0.58908045977011492</v>
          </cell>
        </row>
        <row r="141">
          <cell r="C141" t="str">
            <v>MARGIN_23</v>
          </cell>
          <cell r="D141" t="str">
            <v>CY_MARGIN</v>
          </cell>
          <cell r="H141" t="str">
            <v>CUR. RATIO</v>
          </cell>
          <cell r="L141" t="str">
            <v>TR.DAYS</v>
          </cell>
        </row>
        <row r="142">
          <cell r="B142" t="str">
            <v>TITAN</v>
          </cell>
          <cell r="C142">
            <v>8.0690080098582875E-2</v>
          </cell>
          <cell r="D142">
            <v>7.6713022915376392E-2</v>
          </cell>
          <cell r="G142" t="str">
            <v>TITAN</v>
          </cell>
          <cell r="H142">
            <v>1.504185588444493</v>
          </cell>
          <cell r="K142" t="str">
            <v>TITAN</v>
          </cell>
          <cell r="L142">
            <v>14.060258780036969</v>
          </cell>
        </row>
        <row r="143">
          <cell r="B143" t="str">
            <v>KALYANKJIL</v>
          </cell>
          <cell r="C143">
            <v>3.070144268353351E-2</v>
          </cell>
          <cell r="D143">
            <v>3.2683936344822667E-2</v>
          </cell>
          <cell r="G143" t="str">
            <v>KALYANKJIL</v>
          </cell>
          <cell r="H143">
            <v>1.3079875978148532</v>
          </cell>
          <cell r="K143" t="str">
            <v>KALYANKJIL</v>
          </cell>
          <cell r="L143">
            <v>9.9349726387605717</v>
          </cell>
        </row>
        <row r="144">
          <cell r="B144" t="str">
            <v>RAJESHEXPO</v>
          </cell>
          <cell r="C144">
            <v>4.2156207589883685E-3</v>
          </cell>
          <cell r="D144">
            <v>1.9394285291522001E-3</v>
          </cell>
          <cell r="G144" t="str">
            <v>RAJESHEXPO</v>
          </cell>
          <cell r="H144">
            <v>4.0708964808630874</v>
          </cell>
          <cell r="K144" t="str">
            <v>RAJESHEXPO</v>
          </cell>
          <cell r="L144">
            <v>12.312836153069426</v>
          </cell>
        </row>
        <row r="145">
          <cell r="B145" t="str">
            <v>VAIBHAVGBL</v>
          </cell>
          <cell r="C145">
            <v>3.901895206243032E-2</v>
          </cell>
          <cell r="D145">
            <v>4.6645935139937804E-2</v>
          </cell>
          <cell r="G145" t="str">
            <v>VAIBHAVGBL</v>
          </cell>
          <cell r="H145">
            <v>2.2567567567567566</v>
          </cell>
          <cell r="K145" t="str">
            <v>VAIBHAVGBL</v>
          </cell>
          <cell r="L145">
            <v>35.265700483091784</v>
          </cell>
        </row>
        <row r="146">
          <cell r="B146" t="str">
            <v>ETHOSLTD</v>
          </cell>
          <cell r="C146">
            <v>7.6142131979695438E-2</v>
          </cell>
          <cell r="D146">
            <v>8.3109919571045576E-2</v>
          </cell>
          <cell r="G146" t="str">
            <v>ETHOSLTD</v>
          </cell>
          <cell r="H146">
            <v>4.3733333333333331</v>
          </cell>
          <cell r="K146" t="str">
            <v>ETHOSLTD</v>
          </cell>
          <cell r="L146">
            <v>6.9479695431472086</v>
          </cell>
        </row>
        <row r="147">
          <cell r="B147" t="str">
            <v>SENCO</v>
          </cell>
          <cell r="C147">
            <v>3.8753985773853326E-2</v>
          </cell>
          <cell r="D147">
            <v>3.6062378167641324E-2</v>
          </cell>
          <cell r="G147" t="str">
            <v>SENCO</v>
          </cell>
          <cell r="H147">
            <v>1.434059633027523</v>
          </cell>
          <cell r="K147" t="str">
            <v>SENCO</v>
          </cell>
          <cell r="L147">
            <v>4.0286975717439297</v>
          </cell>
        </row>
        <row r="148">
          <cell r="B148" t="str">
            <v>THANGAMAYL</v>
          </cell>
          <cell r="C148">
            <v>2.5372660957817952E-2</v>
          </cell>
          <cell r="D148">
            <v>3.3391915641476276E-2</v>
          </cell>
          <cell r="G148" t="str">
            <v>THANGAMAYL</v>
          </cell>
          <cell r="H148">
            <v>1.6090425531914894</v>
          </cell>
          <cell r="K148" t="str">
            <v>THANGAMAYL</v>
          </cell>
          <cell r="L148">
            <v>0.57881382810022197</v>
          </cell>
        </row>
        <row r="149">
          <cell r="B149" t="str">
            <v>KDDL</v>
          </cell>
          <cell r="C149">
            <v>6.8811438784629128E-2</v>
          </cell>
          <cell r="D149">
            <v>9.7794822627037398E-2</v>
          </cell>
          <cell r="G149" t="str">
            <v>KDDL</v>
          </cell>
          <cell r="H149">
            <v>2.831578947368421</v>
          </cell>
          <cell r="K149" t="str">
            <v>KDDL</v>
          </cell>
          <cell r="L149">
            <v>24.463806970509385</v>
          </cell>
        </row>
        <row r="150">
          <cell r="B150" t="str">
            <v>PCJEWELLER</v>
          </cell>
          <cell r="C150">
            <v>8.2086534573392642E-2</v>
          </cell>
          <cell r="D150">
            <v>-0.59961315280464211</v>
          </cell>
          <cell r="G150" t="str">
            <v>PCJEWELLER</v>
          </cell>
          <cell r="H150">
            <v>1.4263183834401183</v>
          </cell>
          <cell r="K150" t="str">
            <v>PCJEWELLER</v>
          </cell>
          <cell r="L150">
            <v>1.1645167812373636</v>
          </cell>
        </row>
        <row r="151">
          <cell r="B151" t="str">
            <v>GOLDIAM</v>
          </cell>
          <cell r="C151">
            <v>0.15947467166979362</v>
          </cell>
          <cell r="D151">
            <v>0.16043956043956045</v>
          </cell>
          <cell r="G151" t="str">
            <v>GOLDIAM</v>
          </cell>
          <cell r="H151">
            <v>6.4591836734693882</v>
          </cell>
          <cell r="K151" t="str">
            <v>GOLDIAM</v>
          </cell>
          <cell r="L151">
            <v>83.54596622889305</v>
          </cell>
        </row>
        <row r="152">
          <cell r="B152" t="str">
            <v>MOTISONS</v>
          </cell>
          <cell r="C152">
            <v>5.9945504087193457E-2</v>
          </cell>
          <cell r="D152">
            <v>7.0000000000000007E-2</v>
          </cell>
          <cell r="G152" t="str">
            <v>MOTISONS</v>
          </cell>
          <cell r="H152">
            <v>1.8378378378378379</v>
          </cell>
          <cell r="K152" t="str">
            <v>MOTISONS</v>
          </cell>
          <cell r="L152">
            <v>0.99455040871934597</v>
          </cell>
        </row>
        <row r="172">
          <cell r="C172" t="str">
            <v>TRAIL_PE</v>
          </cell>
          <cell r="D172" t="str">
            <v>PBV</v>
          </cell>
          <cell r="N172" t="str">
            <v>YIELD</v>
          </cell>
        </row>
        <row r="173">
          <cell r="B173" t="str">
            <v>TITAN</v>
          </cell>
          <cell r="C173">
            <v>96.396454265159292</v>
          </cell>
          <cell r="D173">
            <v>26.59755854707663</v>
          </cell>
          <cell r="M173" t="str">
            <v>TITAN</v>
          </cell>
          <cell r="N173">
            <v>1.0373825548077564E-2</v>
          </cell>
        </row>
        <row r="174">
          <cell r="B174" t="str">
            <v>KALYANKJIL</v>
          </cell>
          <cell r="C174">
            <v>78.297665369649806</v>
          </cell>
          <cell r="D174">
            <v>8.4925937307928692</v>
          </cell>
          <cell r="M174" t="str">
            <v>KALYANKJIL</v>
          </cell>
          <cell r="N174">
            <v>1.2771772891042366E-2</v>
          </cell>
        </row>
        <row r="175">
          <cell r="B175" t="str">
            <v>RAJESHEXPO</v>
          </cell>
          <cell r="C175">
            <v>13.123238018525978</v>
          </cell>
          <cell r="D175">
            <v>0.61960855025899952</v>
          </cell>
          <cell r="M175" t="str">
            <v>RAJESHEXPO</v>
          </cell>
          <cell r="N175">
            <v>7.6200705846248259E-2</v>
          </cell>
        </row>
        <row r="176">
          <cell r="B176" t="str">
            <v>VAIBHAVGBL</v>
          </cell>
          <cell r="C176">
            <v>54.638242894056845</v>
          </cell>
          <cell r="D176">
            <v>5.5511933174224337</v>
          </cell>
          <cell r="M176" t="str">
            <v>VAIBHAVGBL</v>
          </cell>
          <cell r="N176">
            <v>1.8302199101442422E-2</v>
          </cell>
        </row>
        <row r="177">
          <cell r="B177" t="str">
            <v>ETHOSLTD</v>
          </cell>
          <cell r="C177">
            <v>86.158575031525842</v>
          </cell>
          <cell r="D177">
            <v>9.0966497829232988</v>
          </cell>
          <cell r="M177" t="str">
            <v>ETHOSLTD</v>
          </cell>
          <cell r="N177">
            <v>1.1606505790446222E-2</v>
          </cell>
        </row>
        <row r="178">
          <cell r="B178" t="str">
            <v>SENCO</v>
          </cell>
          <cell r="C178">
            <v>33.697665056360705</v>
          </cell>
          <cell r="D178">
            <v>4.6827972027972029</v>
          </cell>
          <cell r="M178" t="str">
            <v>SENCO</v>
          </cell>
          <cell r="N178">
            <v>2.9675646616092229E-2</v>
          </cell>
        </row>
        <row r="179">
          <cell r="B179" t="str">
            <v>THANGAMAYL</v>
          </cell>
          <cell r="C179">
            <v>28.646060078363085</v>
          </cell>
          <cell r="D179">
            <v>7.4962025316455705</v>
          </cell>
          <cell r="M179" t="str">
            <v>THANGAMAYL</v>
          </cell>
          <cell r="N179">
            <v>3.4908814589665653E-2</v>
          </cell>
        </row>
        <row r="180">
          <cell r="B180" t="str">
            <v>KDDL</v>
          </cell>
          <cell r="C180">
            <v>34.621232508073206</v>
          </cell>
          <cell r="D180">
            <v>3.9789432989690718</v>
          </cell>
          <cell r="M180" t="str">
            <v>KDDL</v>
          </cell>
          <cell r="N180">
            <v>2.8884009249723088E-2</v>
          </cell>
        </row>
        <row r="181">
          <cell r="B181" t="str">
            <v>PCJEWELLER</v>
          </cell>
          <cell r="C181">
            <v>-3.5720022948938612</v>
          </cell>
          <cell r="D181">
            <v>0.77971720980339354</v>
          </cell>
          <cell r="M181" t="str">
            <v>PCJEWELLER</v>
          </cell>
          <cell r="N181">
            <v>-0.27995502730485061</v>
          </cell>
        </row>
        <row r="182">
          <cell r="B182" t="str">
            <v>GOLDIAM</v>
          </cell>
          <cell r="C182">
            <v>23.175182481751822</v>
          </cell>
          <cell r="D182">
            <v>3.2366504854368934</v>
          </cell>
          <cell r="M182" t="str">
            <v>GOLDIAM</v>
          </cell>
          <cell r="N182">
            <v>4.3149606299212599E-2</v>
          </cell>
        </row>
        <row r="183">
          <cell r="B183" t="str">
            <v>MOTISONS</v>
          </cell>
          <cell r="C183">
            <v>142.01754385964915</v>
          </cell>
          <cell r="D183">
            <v>5.0593750000000002</v>
          </cell>
          <cell r="M183" t="str">
            <v>MOTISONS</v>
          </cell>
          <cell r="N183">
            <v>7.0413835701050023E-3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ECB1-8FC1-4322-9D28-96274C7CA503}">
  <sheetPr>
    <outlinePr summaryBelow="0" summaryRight="0"/>
  </sheetPr>
  <dimension ref="A2:AP247"/>
  <sheetViews>
    <sheetView showGridLines="0" tabSelected="1" workbookViewId="0">
      <selection activeCell="A3" sqref="A3"/>
    </sheetView>
  </sheetViews>
  <sheetFormatPr defaultColWidth="12.6640625" defaultRowHeight="15.75" customHeight="1" x14ac:dyDescent="0.3"/>
  <cols>
    <col min="20" max="20" width="15" customWidth="1"/>
    <col min="21" max="21" width="15.77734375" customWidth="1"/>
    <col min="22" max="22" width="14.21875" customWidth="1"/>
    <col min="23" max="23" width="14.6640625" customWidth="1"/>
    <col min="26" max="26" width="16.6640625" customWidth="1"/>
    <col min="27" max="27" width="14.44140625" customWidth="1"/>
    <col min="28" max="28" width="14.109375" customWidth="1"/>
    <col min="30" max="30" width="13.109375" customWidth="1"/>
    <col min="34" max="34" width="15.77734375" customWidth="1"/>
  </cols>
  <sheetData>
    <row r="2" spans="1:15" ht="13.8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5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5.7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5" ht="13.8" x14ac:dyDescent="0.3">
      <c r="A6" s="3" t="s">
        <v>1</v>
      </c>
    </row>
    <row r="7" spans="1:15" ht="13.8" x14ac:dyDescent="0.3">
      <c r="B7" s="4" t="s">
        <v>2</v>
      </c>
      <c r="C7" s="2"/>
      <c r="D7" s="2"/>
      <c r="E7" s="2"/>
      <c r="G7" s="4" t="s">
        <v>3</v>
      </c>
      <c r="H7" s="2"/>
      <c r="I7" s="2"/>
      <c r="J7" s="2"/>
      <c r="L7" s="4" t="s">
        <v>4</v>
      </c>
      <c r="M7" s="2"/>
      <c r="N7" s="2"/>
      <c r="O7" s="2"/>
    </row>
    <row r="20" spans="2:10" ht="13.8" x14ac:dyDescent="0.3">
      <c r="B20" s="4" t="s">
        <v>5</v>
      </c>
      <c r="C20" s="2"/>
      <c r="D20" s="2"/>
      <c r="E20" s="2"/>
      <c r="G20" s="4" t="s">
        <v>6</v>
      </c>
      <c r="H20" s="2"/>
      <c r="I20" s="2"/>
      <c r="J20" s="2"/>
    </row>
    <row r="37" spans="1:11" ht="13.8" x14ac:dyDescent="0.3">
      <c r="A37" s="3" t="s">
        <v>7</v>
      </c>
      <c r="B37" s="3" t="s">
        <v>8</v>
      </c>
      <c r="C37" s="3" t="s">
        <v>9</v>
      </c>
      <c r="F37" s="3" t="s">
        <v>8</v>
      </c>
      <c r="G37" s="3" t="s">
        <v>10</v>
      </c>
      <c r="J37" s="3" t="s">
        <v>8</v>
      </c>
      <c r="K37" s="3" t="s">
        <v>11</v>
      </c>
    </row>
    <row r="38" spans="1:11" ht="15.75" customHeight="1" x14ac:dyDescent="0.3">
      <c r="B38" s="5" t="s">
        <v>12</v>
      </c>
      <c r="C38" s="6">
        <v>332018.69327819999</v>
      </c>
      <c r="F38" s="5" t="s">
        <v>12</v>
      </c>
      <c r="G38" s="7">
        <v>40575</v>
      </c>
      <c r="J38" s="8" t="s">
        <v>12</v>
      </c>
      <c r="K38" s="9">
        <v>3274</v>
      </c>
    </row>
    <row r="39" spans="1:11" ht="15.75" customHeight="1" x14ac:dyDescent="0.3">
      <c r="B39" s="5" t="s">
        <v>13</v>
      </c>
      <c r="C39" s="6">
        <v>41804.701633600002</v>
      </c>
      <c r="F39" s="5" t="s">
        <v>13</v>
      </c>
      <c r="G39" s="7">
        <v>14071</v>
      </c>
      <c r="J39" s="8" t="s">
        <v>13</v>
      </c>
      <c r="K39" s="9">
        <v>432</v>
      </c>
    </row>
    <row r="40" spans="1:11" ht="15.75" customHeight="1" x14ac:dyDescent="0.3">
      <c r="B40" s="5" t="s">
        <v>14</v>
      </c>
      <c r="C40" s="6">
        <v>9457.1742364999991</v>
      </c>
      <c r="F40" s="5" t="s">
        <v>14</v>
      </c>
      <c r="G40" s="7">
        <v>339689</v>
      </c>
      <c r="J40" s="8" t="s">
        <v>14</v>
      </c>
      <c r="K40" s="9">
        <v>1432</v>
      </c>
    </row>
    <row r="41" spans="1:11" ht="15.75" customHeight="1" x14ac:dyDescent="0.3">
      <c r="B41" s="5" t="s">
        <v>15</v>
      </c>
      <c r="C41" s="6">
        <v>7041.2377149000004</v>
      </c>
      <c r="F41" s="5" t="s">
        <v>15</v>
      </c>
      <c r="G41" s="7">
        <v>2691</v>
      </c>
      <c r="J41" s="8" t="s">
        <v>15</v>
      </c>
      <c r="K41" s="9">
        <v>105</v>
      </c>
    </row>
    <row r="42" spans="1:11" ht="15.75" customHeight="1" x14ac:dyDescent="0.3">
      <c r="B42" s="5" t="s">
        <v>16</v>
      </c>
      <c r="C42" s="6">
        <v>6732.4879675000002</v>
      </c>
      <c r="F42" s="5" t="s">
        <v>16</v>
      </c>
      <c r="G42" s="7">
        <v>788</v>
      </c>
      <c r="J42" s="8" t="s">
        <v>16</v>
      </c>
      <c r="K42" s="9">
        <v>60</v>
      </c>
    </row>
    <row r="43" spans="1:11" ht="15.75" customHeight="1" x14ac:dyDescent="0.3">
      <c r="B43" s="5" t="s">
        <v>17</v>
      </c>
      <c r="C43" s="6">
        <v>6525.74748</v>
      </c>
      <c r="F43" s="5" t="s">
        <v>17</v>
      </c>
      <c r="G43" s="7">
        <v>4077</v>
      </c>
      <c r="J43" s="8" t="s">
        <v>17</v>
      </c>
      <c r="K43" s="9">
        <v>158</v>
      </c>
    </row>
    <row r="44" spans="1:11" ht="15.75" customHeight="1" x14ac:dyDescent="0.3">
      <c r="B44" s="5" t="s">
        <v>18</v>
      </c>
      <c r="C44" s="6">
        <v>3639.2559246999999</v>
      </c>
      <c r="F44" s="5" t="s">
        <v>18</v>
      </c>
      <c r="G44" s="7">
        <v>3153</v>
      </c>
      <c r="J44" s="8" t="s">
        <v>18</v>
      </c>
      <c r="K44" s="9">
        <v>80</v>
      </c>
    </row>
    <row r="45" spans="1:11" ht="15.75" customHeight="1" x14ac:dyDescent="0.3">
      <c r="B45" s="5" t="s">
        <v>19</v>
      </c>
      <c r="C45" s="6">
        <v>3181.5423433999999</v>
      </c>
      <c r="F45" s="5" t="s">
        <v>19</v>
      </c>
      <c r="G45" s="7">
        <v>1119</v>
      </c>
      <c r="J45" s="8" t="s">
        <v>19</v>
      </c>
      <c r="K45" s="9">
        <v>77</v>
      </c>
    </row>
    <row r="46" spans="1:11" ht="15.75" customHeight="1" x14ac:dyDescent="0.3">
      <c r="B46" s="10" t="s">
        <v>20</v>
      </c>
      <c r="C46" s="10">
        <v>2947</v>
      </c>
      <c r="F46" s="5" t="s">
        <v>21</v>
      </c>
      <c r="G46" s="7">
        <v>2473</v>
      </c>
      <c r="J46" s="8" t="s">
        <v>21</v>
      </c>
      <c r="K46" s="9">
        <v>203</v>
      </c>
    </row>
    <row r="47" spans="1:11" ht="15.75" customHeight="1" x14ac:dyDescent="0.3">
      <c r="B47" s="5" t="s">
        <v>21</v>
      </c>
      <c r="C47" s="6">
        <v>2897.1392774999999</v>
      </c>
      <c r="F47" s="5" t="s">
        <v>22</v>
      </c>
      <c r="G47" s="7">
        <v>533</v>
      </c>
      <c r="J47" s="8" t="s">
        <v>22</v>
      </c>
      <c r="K47" s="9">
        <v>85</v>
      </c>
    </row>
    <row r="48" spans="1:11" ht="15.75" customHeight="1" thickBot="1" x14ac:dyDescent="0.35">
      <c r="B48" s="5" t="s">
        <v>22</v>
      </c>
      <c r="C48" s="6">
        <v>2042.9902955</v>
      </c>
      <c r="F48" s="11" t="s">
        <v>23</v>
      </c>
      <c r="G48" s="12">
        <v>367</v>
      </c>
      <c r="J48" s="8" t="s">
        <v>23</v>
      </c>
      <c r="K48" s="9">
        <v>22</v>
      </c>
    </row>
    <row r="49" spans="2:11" ht="15.75" customHeight="1" x14ac:dyDescent="0.3">
      <c r="B49" s="5" t="s">
        <v>23</v>
      </c>
      <c r="C49" s="6">
        <v>1564.7986631000001</v>
      </c>
    </row>
    <row r="50" spans="2:11" ht="15.75" customHeight="1" x14ac:dyDescent="0.3">
      <c r="B50" s="5" t="s">
        <v>24</v>
      </c>
      <c r="C50" s="6">
        <v>1395.7170168</v>
      </c>
    </row>
    <row r="51" spans="2:11" ht="15.75" customHeight="1" x14ac:dyDescent="0.3">
      <c r="B51" s="5" t="s">
        <v>25</v>
      </c>
      <c r="C51" s="6">
        <v>1393.10862</v>
      </c>
    </row>
    <row r="52" spans="2:11" ht="15.75" customHeight="1" x14ac:dyDescent="0.3">
      <c r="B52" s="5" t="s">
        <v>26</v>
      </c>
      <c r="C52" s="6">
        <v>1264.5372</v>
      </c>
    </row>
    <row r="53" spans="2:11" ht="15.75" customHeight="1" x14ac:dyDescent="0.3">
      <c r="B53" s="5" t="s">
        <v>27</v>
      </c>
      <c r="C53" s="6">
        <v>1183.7405262</v>
      </c>
    </row>
    <row r="54" spans="2:11" ht="15.75" customHeight="1" x14ac:dyDescent="0.3">
      <c r="B54" s="5" t="s">
        <v>28</v>
      </c>
      <c r="C54" s="6">
        <v>1073.911218</v>
      </c>
    </row>
    <row r="55" spans="2:11" ht="15.75" customHeight="1" x14ac:dyDescent="0.3">
      <c r="B55" s="5" t="s">
        <v>29</v>
      </c>
      <c r="C55" s="6">
        <v>783.75111149999998</v>
      </c>
    </row>
    <row r="56" spans="2:11" ht="15.75" customHeight="1" x14ac:dyDescent="0.3">
      <c r="B56" s="5" t="s">
        <v>30</v>
      </c>
      <c r="C56" s="6">
        <v>782.74441669999999</v>
      </c>
    </row>
    <row r="57" spans="2:11" ht="15.75" customHeight="1" x14ac:dyDescent="0.3">
      <c r="B57" s="5" t="s">
        <v>31</v>
      </c>
      <c r="C57" s="6">
        <v>759.32998190000001</v>
      </c>
    </row>
    <row r="58" spans="2:11" ht="15.75" customHeight="1" x14ac:dyDescent="0.3">
      <c r="B58" s="5" t="s">
        <v>32</v>
      </c>
      <c r="C58" s="6">
        <v>634.20001219999995</v>
      </c>
    </row>
    <row r="59" spans="2:11" ht="15.75" customHeight="1" thickBot="1" x14ac:dyDescent="0.35">
      <c r="B59" s="11" t="s">
        <v>33</v>
      </c>
      <c r="C59" s="13">
        <v>532.90996600000005</v>
      </c>
    </row>
    <row r="61" spans="2:11" ht="13.8" x14ac:dyDescent="0.3">
      <c r="B61" s="14" t="s">
        <v>1</v>
      </c>
      <c r="C61" s="15">
        <f>SUM(C38:C59)</f>
        <v>429656.71888420003</v>
      </c>
      <c r="F61" s="14" t="s">
        <v>1</v>
      </c>
      <c r="G61" s="14">
        <f>SUM(G38:G59)</f>
        <v>409536</v>
      </c>
      <c r="J61" s="14" t="s">
        <v>1</v>
      </c>
      <c r="K61" s="14">
        <f>SUM(K38:K59)</f>
        <v>5928</v>
      </c>
    </row>
    <row r="78" spans="1:7" ht="13.8" x14ac:dyDescent="0.3">
      <c r="A78" s="3" t="s">
        <v>34</v>
      </c>
    </row>
    <row r="79" spans="1:7" ht="13.8" x14ac:dyDescent="0.3">
      <c r="B79" s="3" t="s">
        <v>8</v>
      </c>
      <c r="C79" s="3" t="s">
        <v>35</v>
      </c>
      <c r="F79" s="3" t="s">
        <v>8</v>
      </c>
      <c r="G79" s="3" t="s">
        <v>36</v>
      </c>
    </row>
    <row r="80" spans="1:7" ht="15.75" customHeight="1" x14ac:dyDescent="0.3">
      <c r="B80" s="5" t="s">
        <v>12</v>
      </c>
      <c r="C80" s="16">
        <v>0.20222273564068716</v>
      </c>
      <c r="F80" s="5" t="s">
        <v>12</v>
      </c>
      <c r="G80" s="17">
        <v>0.23731234107771093</v>
      </c>
    </row>
    <row r="81" spans="2:7" ht="15.75" customHeight="1" x14ac:dyDescent="0.3">
      <c r="B81" s="5" t="s">
        <v>13</v>
      </c>
      <c r="C81" s="16">
        <v>5.8687679670643256E-2</v>
      </c>
      <c r="F81" s="5" t="s">
        <v>13</v>
      </c>
      <c r="G81" s="17">
        <v>0.31085126286248821</v>
      </c>
    </row>
    <row r="82" spans="2:7" ht="15.75" customHeight="1" x14ac:dyDescent="0.3">
      <c r="B82" s="5" t="s">
        <v>14</v>
      </c>
      <c r="C82" s="16">
        <v>0.12597924100766988</v>
      </c>
      <c r="F82" s="5" t="s">
        <v>14</v>
      </c>
      <c r="G82" s="17">
        <v>-0.156126667290995</v>
      </c>
    </row>
    <row r="83" spans="2:7" ht="15.75" customHeight="1" x14ac:dyDescent="0.3">
      <c r="B83" s="5" t="s">
        <v>15</v>
      </c>
      <c r="C83" s="16">
        <v>0.11308063709977656</v>
      </c>
      <c r="F83" s="5" t="s">
        <v>15</v>
      </c>
      <c r="G83" s="17">
        <v>0.12662662662662671</v>
      </c>
    </row>
    <row r="84" spans="2:7" ht="15.75" customHeight="1" x14ac:dyDescent="0.3">
      <c r="B84" s="5" t="s">
        <v>16</v>
      </c>
      <c r="C84" s="16">
        <v>0.17223651077836721</v>
      </c>
      <c r="F84" s="5" t="s">
        <v>16</v>
      </c>
      <c r="G84" s="17">
        <v>0.28399311531841653</v>
      </c>
    </row>
    <row r="85" spans="2:7" ht="15.75" customHeight="1" x14ac:dyDescent="0.3">
      <c r="B85" s="5" t="s">
        <v>17</v>
      </c>
      <c r="C85" s="16">
        <v>0.13</v>
      </c>
      <c r="F85" s="5" t="s">
        <v>17</v>
      </c>
      <c r="G85" s="17">
        <v>0.25773827765859636</v>
      </c>
    </row>
    <row r="86" spans="2:7" ht="15.75" customHeight="1" x14ac:dyDescent="0.3">
      <c r="B86" s="5" t="s">
        <v>18</v>
      </c>
      <c r="C86" s="16">
        <v>0.17986397493065875</v>
      </c>
      <c r="F86" s="5" t="s">
        <v>18</v>
      </c>
      <c r="G86" s="17">
        <v>0.19437447523089846</v>
      </c>
    </row>
    <row r="87" spans="2:7" ht="15.75" customHeight="1" x14ac:dyDescent="0.3">
      <c r="B87" s="5" t="s">
        <v>19</v>
      </c>
      <c r="C87" s="16">
        <v>0.17341712018673738</v>
      </c>
      <c r="F87" s="5" t="s">
        <v>19</v>
      </c>
      <c r="G87" s="17">
        <v>0.27195121951219514</v>
      </c>
    </row>
    <row r="88" spans="2:7" ht="15.75" customHeight="1" x14ac:dyDescent="0.3">
      <c r="B88" s="5" t="s">
        <v>21</v>
      </c>
      <c r="C88" s="16">
        <v>-0.23782453296181305</v>
      </c>
      <c r="F88" s="5" t="s">
        <v>21</v>
      </c>
      <c r="G88" s="17">
        <v>-0.64221453287197239</v>
      </c>
    </row>
    <row r="89" spans="2:7" ht="15.75" customHeight="1" x14ac:dyDescent="0.3">
      <c r="B89" s="5" t="s">
        <v>22</v>
      </c>
      <c r="C89" s="16">
        <v>0.10812130599375092</v>
      </c>
      <c r="F89" s="5" t="s">
        <v>22</v>
      </c>
      <c r="G89" s="17">
        <v>8.591885441527447E-2</v>
      </c>
    </row>
    <row r="90" spans="2:7" ht="15.75" customHeight="1" thickBot="1" x14ac:dyDescent="0.35">
      <c r="B90" s="11" t="s">
        <v>23</v>
      </c>
      <c r="C90" s="18">
        <v>0.105</v>
      </c>
      <c r="F90" s="11" t="s">
        <v>23</v>
      </c>
      <c r="G90" s="19">
        <v>9.0909090909090828E-2</v>
      </c>
    </row>
    <row r="92" spans="2:7" ht="13.8" x14ac:dyDescent="0.3">
      <c r="B92" s="14" t="s">
        <v>1</v>
      </c>
      <c r="C92" s="20">
        <v>0.124</v>
      </c>
      <c r="F92" s="14" t="s">
        <v>1</v>
      </c>
      <c r="G92" s="20">
        <v>-8.6999999999999994E-2</v>
      </c>
    </row>
    <row r="109" spans="1:11" ht="13.8" x14ac:dyDescent="0.3">
      <c r="A109" s="3" t="s">
        <v>37</v>
      </c>
    </row>
    <row r="110" spans="1:11" ht="13.8" x14ac:dyDescent="0.3">
      <c r="B110" s="21" t="s">
        <v>8</v>
      </c>
      <c r="C110" s="21" t="s">
        <v>38</v>
      </c>
      <c r="F110" s="21" t="s">
        <v>8</v>
      </c>
      <c r="G110" s="3" t="s">
        <v>39</v>
      </c>
      <c r="J110" s="21" t="s">
        <v>8</v>
      </c>
      <c r="K110" s="3" t="s">
        <v>40</v>
      </c>
    </row>
    <row r="111" spans="1:11" ht="15.75" customHeight="1" x14ac:dyDescent="0.3">
      <c r="B111" s="22" t="s">
        <v>12</v>
      </c>
      <c r="C111" s="6">
        <v>14.793333333333333</v>
      </c>
      <c r="F111" s="22" t="s">
        <v>12</v>
      </c>
      <c r="G111" s="23">
        <v>0.44123545928600078</v>
      </c>
      <c r="J111" s="22" t="s">
        <v>12</v>
      </c>
      <c r="K111" s="24">
        <v>0.62149277298676064</v>
      </c>
    </row>
    <row r="112" spans="1:11" ht="15.75" customHeight="1" x14ac:dyDescent="0.3">
      <c r="B112" s="22" t="s">
        <v>13</v>
      </c>
      <c r="C112" s="6">
        <v>2.8679867986798682</v>
      </c>
      <c r="F112" s="22" t="s">
        <v>13</v>
      </c>
      <c r="G112" s="23">
        <v>0.40560893274474163</v>
      </c>
      <c r="J112" s="22" t="s">
        <v>13</v>
      </c>
      <c r="K112" s="24">
        <v>0.66434297664691533</v>
      </c>
    </row>
    <row r="113" spans="2:11" ht="15.75" customHeight="1" x14ac:dyDescent="0.3">
      <c r="B113" s="22" t="s">
        <v>14</v>
      </c>
      <c r="C113" s="6">
        <v>7.1092436974789912</v>
      </c>
      <c r="F113" s="22" t="s">
        <v>14</v>
      </c>
      <c r="G113" s="23">
        <v>4.1124687951648926E-2</v>
      </c>
      <c r="J113" s="22" t="s">
        <v>14</v>
      </c>
      <c r="K113" s="24">
        <v>0.20817727840199751</v>
      </c>
    </row>
    <row r="114" spans="2:11" ht="15.75" customHeight="1" x14ac:dyDescent="0.3">
      <c r="B114" s="22" t="s">
        <v>15</v>
      </c>
      <c r="C114" s="6">
        <v>15.25</v>
      </c>
      <c r="F114" s="22" t="s">
        <v>15</v>
      </c>
      <c r="G114" s="23">
        <v>9.8039215686274508E-2</v>
      </c>
      <c r="J114" s="22" t="s">
        <v>15</v>
      </c>
      <c r="K114" s="24">
        <v>0.32821075740944017</v>
      </c>
    </row>
    <row r="115" spans="2:11" ht="15.75" customHeight="1" x14ac:dyDescent="0.3">
      <c r="B115" s="22" t="s">
        <v>16</v>
      </c>
      <c r="C115" s="6">
        <v>5.6428571428571432</v>
      </c>
      <c r="F115" s="22" t="s">
        <v>16</v>
      </c>
      <c r="G115" s="23">
        <v>1.029940119760479E-2</v>
      </c>
      <c r="J115" s="22" t="s">
        <v>16</v>
      </c>
      <c r="K115" s="24">
        <v>0.28556149732620323</v>
      </c>
    </row>
    <row r="116" spans="2:11" ht="15.75" customHeight="1" x14ac:dyDescent="0.3">
      <c r="B116" s="22" t="s">
        <v>17</v>
      </c>
      <c r="C116" s="6">
        <v>3.1511627906976742</v>
      </c>
      <c r="F116" s="22" t="s">
        <v>17</v>
      </c>
      <c r="G116" s="23">
        <v>1.245978835978836</v>
      </c>
      <c r="J116" s="22" t="s">
        <v>17</v>
      </c>
      <c r="K116" s="24">
        <v>0.67435456110154901</v>
      </c>
    </row>
    <row r="117" spans="2:11" ht="15.75" customHeight="1" x14ac:dyDescent="0.3">
      <c r="B117" s="22" t="s">
        <v>18</v>
      </c>
      <c r="C117" s="6">
        <v>4</v>
      </c>
      <c r="F117" s="22" t="s">
        <v>18</v>
      </c>
      <c r="G117" s="23">
        <v>1.1275167785234899</v>
      </c>
      <c r="J117" s="22" t="s">
        <v>18</v>
      </c>
      <c r="K117" s="24">
        <v>0.67059690493736179</v>
      </c>
    </row>
    <row r="118" spans="2:11" ht="15.75" customHeight="1" x14ac:dyDescent="0.3">
      <c r="B118" s="22" t="s">
        <v>19</v>
      </c>
      <c r="C118" s="6">
        <v>4.625</v>
      </c>
      <c r="F118" s="22" t="s">
        <v>19</v>
      </c>
      <c r="G118" s="23">
        <v>0.14136125654450263</v>
      </c>
      <c r="J118" s="22" t="s">
        <v>19</v>
      </c>
      <c r="K118" s="24">
        <v>0.3818770226537217</v>
      </c>
    </row>
    <row r="119" spans="2:11" ht="15.75" customHeight="1" x14ac:dyDescent="0.3">
      <c r="B119" s="22" t="s">
        <v>21</v>
      </c>
      <c r="C119" s="6">
        <v>0.44918699186991867</v>
      </c>
      <c r="F119" s="22" t="s">
        <v>21</v>
      </c>
      <c r="G119" s="23">
        <v>1.1822660098522169</v>
      </c>
      <c r="J119" s="22" t="s">
        <v>21</v>
      </c>
      <c r="K119" s="24">
        <v>0.55807943416757344</v>
      </c>
    </row>
    <row r="120" spans="2:11" ht="15.75" customHeight="1" x14ac:dyDescent="0.3">
      <c r="B120" s="22" t="s">
        <v>22</v>
      </c>
      <c r="C120" s="6">
        <v>97</v>
      </c>
      <c r="F120" s="22" t="s">
        <v>22</v>
      </c>
      <c r="G120" s="23">
        <v>1.340033500837521E-3</v>
      </c>
      <c r="J120" s="22" t="s">
        <v>22</v>
      </c>
      <c r="K120" s="24">
        <v>0.14592274678111589</v>
      </c>
    </row>
    <row r="121" spans="2:11" ht="15.75" customHeight="1" thickBot="1" x14ac:dyDescent="0.35">
      <c r="B121" s="25" t="s">
        <v>23</v>
      </c>
      <c r="C121" s="13">
        <v>2.8235294117647061</v>
      </c>
      <c r="F121" s="25" t="s">
        <v>23</v>
      </c>
      <c r="G121" s="26">
        <v>1.1608391608391608</v>
      </c>
      <c r="J121" s="25" t="s">
        <v>23</v>
      </c>
      <c r="K121" s="27">
        <v>0.58908045977011492</v>
      </c>
    </row>
    <row r="123" spans="2:11" ht="13.8" x14ac:dyDescent="0.3">
      <c r="B123" s="14" t="s">
        <v>1</v>
      </c>
      <c r="C123" s="14">
        <v>5</v>
      </c>
      <c r="F123" s="14" t="s">
        <v>1</v>
      </c>
      <c r="G123" s="14">
        <v>0.34</v>
      </c>
      <c r="J123" s="14" t="s">
        <v>1</v>
      </c>
      <c r="K123" s="14">
        <v>0.51</v>
      </c>
    </row>
    <row r="140" spans="1:12" ht="13.8" x14ac:dyDescent="0.3">
      <c r="A140" s="3" t="s">
        <v>41</v>
      </c>
    </row>
    <row r="141" spans="1:12" ht="13.8" x14ac:dyDescent="0.3">
      <c r="B141" s="21" t="s">
        <v>8</v>
      </c>
      <c r="C141" s="21" t="s">
        <v>42</v>
      </c>
      <c r="D141" s="21" t="s">
        <v>43</v>
      </c>
      <c r="G141" s="21" t="s">
        <v>8</v>
      </c>
      <c r="H141" s="21" t="s">
        <v>44</v>
      </c>
      <c r="K141" s="21" t="s">
        <v>8</v>
      </c>
      <c r="L141" s="21" t="s">
        <v>45</v>
      </c>
    </row>
    <row r="142" spans="1:12" ht="15.75" customHeight="1" x14ac:dyDescent="0.3">
      <c r="B142" s="10" t="s">
        <v>12</v>
      </c>
      <c r="C142" s="28">
        <v>8.0690080098582875E-2</v>
      </c>
      <c r="D142" s="28">
        <v>7.6713022915376392E-2</v>
      </c>
      <c r="G142" s="5" t="s">
        <v>12</v>
      </c>
      <c r="H142" s="24">
        <v>1.504185588444493</v>
      </c>
      <c r="K142" s="8" t="s">
        <v>12</v>
      </c>
      <c r="L142" s="29">
        <v>14.060258780036969</v>
      </c>
    </row>
    <row r="143" spans="1:12" ht="15.75" customHeight="1" x14ac:dyDescent="0.3">
      <c r="B143" s="10" t="s">
        <v>13</v>
      </c>
      <c r="C143" s="28">
        <v>3.070144268353351E-2</v>
      </c>
      <c r="D143" s="28">
        <v>3.2683936344822667E-2</v>
      </c>
      <c r="G143" s="5" t="s">
        <v>13</v>
      </c>
      <c r="H143" s="24">
        <v>1.3079875978148532</v>
      </c>
      <c r="K143" s="8" t="s">
        <v>13</v>
      </c>
      <c r="L143" s="29">
        <v>9.9349726387605717</v>
      </c>
    </row>
    <row r="144" spans="1:12" ht="15.75" customHeight="1" x14ac:dyDescent="0.3">
      <c r="B144" s="10" t="s">
        <v>14</v>
      </c>
      <c r="C144" s="28">
        <v>4.2156207589883685E-3</v>
      </c>
      <c r="D144" s="28">
        <v>1.9394285291522001E-3</v>
      </c>
      <c r="G144" s="5" t="s">
        <v>14</v>
      </c>
      <c r="H144" s="24">
        <v>4.0708964808630874</v>
      </c>
      <c r="K144" s="8" t="s">
        <v>14</v>
      </c>
      <c r="L144" s="29">
        <v>12.312836153069426</v>
      </c>
    </row>
    <row r="145" spans="2:12" ht="15.75" customHeight="1" x14ac:dyDescent="0.3">
      <c r="B145" s="10" t="s">
        <v>15</v>
      </c>
      <c r="C145" s="28">
        <v>3.901895206243032E-2</v>
      </c>
      <c r="D145" s="28">
        <v>4.6645935139937804E-2</v>
      </c>
      <c r="G145" s="5" t="s">
        <v>15</v>
      </c>
      <c r="H145" s="24">
        <v>2.2567567567567566</v>
      </c>
      <c r="K145" s="8" t="s">
        <v>15</v>
      </c>
      <c r="L145" s="29">
        <v>35.265700483091784</v>
      </c>
    </row>
    <row r="146" spans="2:12" ht="15.75" customHeight="1" x14ac:dyDescent="0.3">
      <c r="B146" s="10" t="s">
        <v>16</v>
      </c>
      <c r="C146" s="28">
        <v>7.6142131979695438E-2</v>
      </c>
      <c r="D146" s="28">
        <v>8.3109919571045576E-2</v>
      </c>
      <c r="G146" s="5" t="s">
        <v>16</v>
      </c>
      <c r="H146" s="24">
        <v>4.3733333333333331</v>
      </c>
      <c r="K146" s="8" t="s">
        <v>16</v>
      </c>
      <c r="L146" s="29">
        <v>6.9479695431472086</v>
      </c>
    </row>
    <row r="147" spans="2:12" ht="15.75" customHeight="1" x14ac:dyDescent="0.3">
      <c r="B147" s="10" t="s">
        <v>17</v>
      </c>
      <c r="C147" s="28">
        <v>3.8753985773853326E-2</v>
      </c>
      <c r="D147" s="28">
        <v>3.6062378167641324E-2</v>
      </c>
      <c r="G147" s="5" t="s">
        <v>17</v>
      </c>
      <c r="H147" s="24">
        <v>1.434059633027523</v>
      </c>
      <c r="K147" s="8" t="s">
        <v>17</v>
      </c>
      <c r="L147" s="29">
        <v>4.0286975717439297</v>
      </c>
    </row>
    <row r="148" spans="2:12" ht="15.75" customHeight="1" x14ac:dyDescent="0.3">
      <c r="B148" s="10" t="s">
        <v>18</v>
      </c>
      <c r="C148" s="28">
        <v>2.5372660957817952E-2</v>
      </c>
      <c r="D148" s="28">
        <v>3.3391915641476276E-2</v>
      </c>
      <c r="G148" s="5" t="s">
        <v>18</v>
      </c>
      <c r="H148" s="24">
        <v>1.6090425531914894</v>
      </c>
      <c r="K148" s="8" t="s">
        <v>18</v>
      </c>
      <c r="L148" s="29">
        <v>0.57881382810022197</v>
      </c>
    </row>
    <row r="149" spans="2:12" ht="15.75" customHeight="1" x14ac:dyDescent="0.3">
      <c r="B149" s="10" t="s">
        <v>19</v>
      </c>
      <c r="C149" s="28">
        <v>6.8811438784629128E-2</v>
      </c>
      <c r="D149" s="28">
        <v>9.7794822627037398E-2</v>
      </c>
      <c r="G149" s="5" t="s">
        <v>19</v>
      </c>
      <c r="H149" s="24">
        <v>2.831578947368421</v>
      </c>
      <c r="K149" s="8" t="s">
        <v>19</v>
      </c>
      <c r="L149" s="29">
        <v>24.463806970509385</v>
      </c>
    </row>
    <row r="150" spans="2:12" ht="15.75" customHeight="1" x14ac:dyDescent="0.3">
      <c r="B150" s="10" t="s">
        <v>21</v>
      </c>
      <c r="C150" s="28">
        <v>8.2086534573392642E-2</v>
      </c>
      <c r="D150" s="28">
        <v>-0.59961315280464211</v>
      </c>
      <c r="G150" s="5" t="s">
        <v>21</v>
      </c>
      <c r="H150" s="24">
        <v>1.4263183834401183</v>
      </c>
      <c r="K150" s="8" t="s">
        <v>21</v>
      </c>
      <c r="L150" s="29">
        <v>1.1645167812373636</v>
      </c>
    </row>
    <row r="151" spans="2:12" ht="15.75" customHeight="1" x14ac:dyDescent="0.3">
      <c r="B151" s="10" t="s">
        <v>22</v>
      </c>
      <c r="C151" s="28">
        <v>0.15947467166979362</v>
      </c>
      <c r="D151" s="28">
        <v>0.16043956043956045</v>
      </c>
      <c r="G151" s="5" t="s">
        <v>22</v>
      </c>
      <c r="H151" s="24">
        <v>6.4591836734693882</v>
      </c>
      <c r="K151" s="8" t="s">
        <v>22</v>
      </c>
      <c r="L151" s="29">
        <v>83.54596622889305</v>
      </c>
    </row>
    <row r="152" spans="2:12" ht="15.75" customHeight="1" thickBot="1" x14ac:dyDescent="0.35">
      <c r="B152" s="30" t="s">
        <v>23</v>
      </c>
      <c r="C152" s="31">
        <v>5.9945504087193457E-2</v>
      </c>
      <c r="D152" s="31">
        <v>7.0000000000000007E-2</v>
      </c>
      <c r="G152" s="11" t="s">
        <v>23</v>
      </c>
      <c r="H152" s="27">
        <v>1.8378378378378379</v>
      </c>
      <c r="K152" s="8" t="s">
        <v>23</v>
      </c>
      <c r="L152" s="29">
        <v>0.99455040871934597</v>
      </c>
    </row>
    <row r="153" spans="2:12" ht="14.4" thickBot="1" x14ac:dyDescent="0.35">
      <c r="C153" s="28"/>
      <c r="D153" s="28"/>
    </row>
    <row r="154" spans="2:12" ht="13.8" x14ac:dyDescent="0.3">
      <c r="B154" s="14" t="s">
        <v>1</v>
      </c>
      <c r="C154" s="32">
        <v>1.4500000000000001E-2</v>
      </c>
      <c r="D154" s="32">
        <v>1.5299999999999999E-2</v>
      </c>
      <c r="G154" s="14" t="s">
        <v>1</v>
      </c>
      <c r="H154" s="14">
        <v>1.78</v>
      </c>
      <c r="K154" s="14" t="s">
        <v>1</v>
      </c>
      <c r="L154" s="14">
        <v>12</v>
      </c>
    </row>
    <row r="171" spans="1:14" ht="13.8" x14ac:dyDescent="0.3">
      <c r="A171" s="3" t="s">
        <v>46</v>
      </c>
    </row>
    <row r="172" spans="1:14" ht="13.8" x14ac:dyDescent="0.3">
      <c r="B172" s="21" t="s">
        <v>8</v>
      </c>
      <c r="C172" s="21" t="s">
        <v>47</v>
      </c>
      <c r="D172" s="21" t="s">
        <v>48</v>
      </c>
      <c r="M172" s="21" t="s">
        <v>8</v>
      </c>
      <c r="N172" s="21" t="s">
        <v>49</v>
      </c>
    </row>
    <row r="173" spans="1:14" ht="13.8" x14ac:dyDescent="0.3">
      <c r="B173" s="10" t="s">
        <v>12</v>
      </c>
      <c r="C173" s="33">
        <v>96.396454265159292</v>
      </c>
      <c r="D173" s="33">
        <v>26.59755854707663</v>
      </c>
      <c r="M173" s="10" t="s">
        <v>12</v>
      </c>
      <c r="N173" s="28">
        <v>1.0373825548077564E-2</v>
      </c>
    </row>
    <row r="174" spans="1:14" ht="13.8" x14ac:dyDescent="0.3">
      <c r="B174" s="10" t="s">
        <v>13</v>
      </c>
      <c r="C174" s="33">
        <v>78.297665369649806</v>
      </c>
      <c r="D174" s="33">
        <v>8.4925937307928692</v>
      </c>
      <c r="M174" s="10" t="s">
        <v>13</v>
      </c>
      <c r="N174" s="28">
        <v>1.2771772891042366E-2</v>
      </c>
    </row>
    <row r="175" spans="1:14" ht="13.8" x14ac:dyDescent="0.3">
      <c r="B175" s="10" t="s">
        <v>14</v>
      </c>
      <c r="C175" s="33">
        <v>13.123238018525978</v>
      </c>
      <c r="D175" s="33">
        <v>0.61960855025899952</v>
      </c>
      <c r="M175" s="10" t="s">
        <v>14</v>
      </c>
      <c r="N175" s="28">
        <v>7.6200705846248259E-2</v>
      </c>
    </row>
    <row r="176" spans="1:14" ht="13.8" x14ac:dyDescent="0.3">
      <c r="B176" s="10" t="s">
        <v>15</v>
      </c>
      <c r="C176" s="33">
        <v>54.638242894056845</v>
      </c>
      <c r="D176" s="33">
        <v>5.5511933174224337</v>
      </c>
      <c r="M176" s="10" t="s">
        <v>15</v>
      </c>
      <c r="N176" s="28">
        <v>1.8302199101442422E-2</v>
      </c>
    </row>
    <row r="177" spans="1:42" ht="13.8" x14ac:dyDescent="0.3">
      <c r="B177" s="10" t="s">
        <v>16</v>
      </c>
      <c r="C177" s="33">
        <v>86.158575031525842</v>
      </c>
      <c r="D177" s="33">
        <v>9.0966497829232988</v>
      </c>
      <c r="M177" s="10" t="s">
        <v>16</v>
      </c>
      <c r="N177" s="28">
        <v>1.1606505790446222E-2</v>
      </c>
    </row>
    <row r="178" spans="1:42" ht="13.8" x14ac:dyDescent="0.3">
      <c r="B178" s="10" t="s">
        <v>17</v>
      </c>
      <c r="C178" s="33">
        <v>33.697665056360705</v>
      </c>
      <c r="D178" s="33">
        <v>4.6827972027972029</v>
      </c>
      <c r="M178" s="10" t="s">
        <v>17</v>
      </c>
      <c r="N178" s="28">
        <v>2.9675646616092229E-2</v>
      </c>
    </row>
    <row r="179" spans="1:42" ht="13.8" x14ac:dyDescent="0.3">
      <c r="B179" s="10" t="s">
        <v>18</v>
      </c>
      <c r="C179" s="33">
        <v>28.646060078363085</v>
      </c>
      <c r="D179" s="33">
        <v>7.4962025316455705</v>
      </c>
      <c r="M179" s="10" t="s">
        <v>18</v>
      </c>
      <c r="N179" s="28">
        <v>3.4908814589665653E-2</v>
      </c>
    </row>
    <row r="180" spans="1:42" ht="13.8" x14ac:dyDescent="0.3">
      <c r="B180" s="10" t="s">
        <v>19</v>
      </c>
      <c r="C180" s="33">
        <v>34.621232508073206</v>
      </c>
      <c r="D180" s="33">
        <v>3.9789432989690718</v>
      </c>
      <c r="M180" s="10" t="s">
        <v>19</v>
      </c>
      <c r="N180" s="28">
        <v>2.8884009249723088E-2</v>
      </c>
    </row>
    <row r="181" spans="1:42" ht="13.8" x14ac:dyDescent="0.3">
      <c r="B181" s="10" t="s">
        <v>21</v>
      </c>
      <c r="C181" s="33">
        <v>-3.5720022948938612</v>
      </c>
      <c r="D181" s="33">
        <v>0.77971720980339354</v>
      </c>
      <c r="M181" s="10" t="s">
        <v>21</v>
      </c>
      <c r="N181" s="28">
        <v>-0.27995502730485061</v>
      </c>
    </row>
    <row r="182" spans="1:42" ht="13.8" x14ac:dyDescent="0.3">
      <c r="B182" s="10" t="s">
        <v>22</v>
      </c>
      <c r="C182" s="33">
        <v>23.175182481751822</v>
      </c>
      <c r="D182" s="33">
        <v>3.2366504854368934</v>
      </c>
      <c r="M182" s="10" t="s">
        <v>22</v>
      </c>
      <c r="N182" s="28">
        <v>4.3149606299212599E-2</v>
      </c>
    </row>
    <row r="183" spans="1:42" ht="13.8" x14ac:dyDescent="0.3">
      <c r="B183" s="10" t="s">
        <v>23</v>
      </c>
      <c r="C183" s="33">
        <v>142.01754385964915</v>
      </c>
      <c r="D183" s="33">
        <v>5.0593750000000002</v>
      </c>
      <c r="M183" s="10" t="s">
        <v>23</v>
      </c>
      <c r="N183" s="28">
        <v>7.0413835701050023E-3</v>
      </c>
    </row>
    <row r="185" spans="1:42" ht="13.8" x14ac:dyDescent="0.3">
      <c r="B185" s="14" t="s">
        <v>1</v>
      </c>
      <c r="C185" s="14">
        <v>35</v>
      </c>
      <c r="D185" s="14">
        <v>5</v>
      </c>
      <c r="M185" s="14" t="s">
        <v>1</v>
      </c>
      <c r="N185" s="32">
        <v>1.7999999999999999E-2</v>
      </c>
    </row>
    <row r="187" spans="1:42" ht="15.75" customHeight="1" x14ac:dyDescent="0.3">
      <c r="A187" s="34" t="s">
        <v>50</v>
      </c>
      <c r="B187" s="34" t="s">
        <v>8</v>
      </c>
      <c r="C187" s="35" t="s">
        <v>51</v>
      </c>
      <c r="D187" s="35" t="s">
        <v>9</v>
      </c>
      <c r="E187" s="36" t="s">
        <v>52</v>
      </c>
      <c r="F187" s="37" t="s">
        <v>53</v>
      </c>
      <c r="G187" s="37" t="s">
        <v>54</v>
      </c>
      <c r="H187" s="37" t="s">
        <v>55</v>
      </c>
      <c r="I187" s="37" t="s">
        <v>56</v>
      </c>
      <c r="J187" s="37" t="s">
        <v>57</v>
      </c>
      <c r="K187" s="37" t="s">
        <v>58</v>
      </c>
      <c r="L187" s="37" t="s">
        <v>59</v>
      </c>
      <c r="M187" s="37" t="s">
        <v>60</v>
      </c>
      <c r="N187" s="37" t="s">
        <v>61</v>
      </c>
      <c r="O187" s="37" t="s">
        <v>62</v>
      </c>
      <c r="P187" s="38" t="s">
        <v>63</v>
      </c>
      <c r="Q187" s="37" t="s">
        <v>64</v>
      </c>
      <c r="R187" s="37" t="s">
        <v>10</v>
      </c>
      <c r="S187" s="37" t="s">
        <v>11</v>
      </c>
      <c r="T187" s="37" t="s">
        <v>65</v>
      </c>
      <c r="U187" s="37" t="s">
        <v>66</v>
      </c>
      <c r="V187" s="37" t="s">
        <v>67</v>
      </c>
      <c r="W187" s="37" t="s">
        <v>68</v>
      </c>
      <c r="X187" s="37" t="s">
        <v>69</v>
      </c>
      <c r="Y187" s="37" t="s">
        <v>70</v>
      </c>
      <c r="Z187" s="39" t="s">
        <v>36</v>
      </c>
      <c r="AA187" s="40" t="s">
        <v>71</v>
      </c>
      <c r="AB187" s="39" t="s">
        <v>35</v>
      </c>
      <c r="AC187" s="39" t="s">
        <v>42</v>
      </c>
      <c r="AD187" s="39" t="s">
        <v>43</v>
      </c>
      <c r="AE187" s="41" t="s">
        <v>38</v>
      </c>
      <c r="AF187" s="40" t="s">
        <v>44</v>
      </c>
      <c r="AG187" s="41" t="s">
        <v>45</v>
      </c>
      <c r="AH187" s="42" t="s">
        <v>39</v>
      </c>
      <c r="AI187" s="39" t="s">
        <v>40</v>
      </c>
      <c r="AJ187" s="39" t="s">
        <v>72</v>
      </c>
      <c r="AK187" s="39" t="s">
        <v>73</v>
      </c>
      <c r="AL187" s="39" t="s">
        <v>74</v>
      </c>
      <c r="AM187" s="39" t="s">
        <v>47</v>
      </c>
      <c r="AN187" s="39" t="s">
        <v>49</v>
      </c>
      <c r="AO187" s="39" t="s">
        <v>75</v>
      </c>
      <c r="AP187" s="39" t="s">
        <v>48</v>
      </c>
    </row>
    <row r="188" spans="1:42" ht="15.75" customHeight="1" x14ac:dyDescent="0.3">
      <c r="A188" s="43">
        <v>500114</v>
      </c>
      <c r="B188" s="44" t="s">
        <v>12</v>
      </c>
      <c r="C188" s="45">
        <f ca="1">IFERROR(__xludf.DUMMYFUNCTION("GOOGLEFINANCE(""bom:""&amp;A188,""price"")"),3748.45)</f>
        <v>3748.45</v>
      </c>
      <c r="D188" s="46">
        <f ca="1">IFERROR(__xludf.DUMMYFUNCTION("GOOGLEFINANCE(""bom:""&amp;A188,""marketcap"")/10000000"),332924.2307653)</f>
        <v>332924.23076529999</v>
      </c>
      <c r="E188" s="45">
        <v>27492</v>
      </c>
      <c r="F188" s="45">
        <v>18277</v>
      </c>
      <c r="G188" s="45">
        <v>32932</v>
      </c>
      <c r="H188" s="45">
        <v>20467</v>
      </c>
      <c r="I188" s="45">
        <v>89</v>
      </c>
      <c r="J188" s="45">
        <v>12465</v>
      </c>
      <c r="K188" s="45">
        <v>5500</v>
      </c>
      <c r="L188" s="45">
        <v>1563</v>
      </c>
      <c r="M188" s="45">
        <v>1</v>
      </c>
      <c r="N188" s="45"/>
      <c r="O188" s="46">
        <f ca="1">IFERROR(__xludf.DUMMYFUNCTION("GOOGLEFINANCE(""bom:""&amp;A188,""eps"")"),38.92)</f>
        <v>38.92</v>
      </c>
      <c r="P188" s="47">
        <f t="shared" ref="P188:P245" ca="1" si="0">D188/$D$247</f>
        <v>0.77328590008341747</v>
      </c>
      <c r="Q188" s="48">
        <v>16156</v>
      </c>
      <c r="R188" s="45">
        <v>40575</v>
      </c>
      <c r="S188" s="45">
        <v>3274</v>
      </c>
      <c r="T188" s="45">
        <v>35522</v>
      </c>
      <c r="U188" s="45">
        <v>28709</v>
      </c>
      <c r="V188" s="45">
        <v>2725</v>
      </c>
      <c r="W188" s="45">
        <v>2538</v>
      </c>
      <c r="X188" s="45">
        <v>300</v>
      </c>
      <c r="Y188" s="45">
        <v>36437</v>
      </c>
      <c r="Z188" s="49">
        <f t="shared" ref="Z188:Z198" si="1">(T188/U188)-1</f>
        <v>0.23731234107771093</v>
      </c>
      <c r="AA188" s="49">
        <f t="shared" ref="AA188:AA198" si="2">(V188/W188)-1</f>
        <v>7.3680063041765109E-2</v>
      </c>
      <c r="AB188" s="49">
        <f t="shared" ref="AB188:AB198" si="3">(R188/Q188)^(1/5)-1</f>
        <v>0.20222273564068716</v>
      </c>
      <c r="AC188" s="49">
        <f t="shared" ref="AC188:AC198" si="4">S188/R188</f>
        <v>8.0690080098582875E-2</v>
      </c>
      <c r="AD188" s="49">
        <f t="shared" ref="AD188:AD198" si="5">V188/T188</f>
        <v>7.6713022915376392E-2</v>
      </c>
      <c r="AE188" s="46">
        <f t="shared" ref="AE188:AE198" si="6">(R188-Y188+X188)/X188</f>
        <v>14.793333333333333</v>
      </c>
      <c r="AF188" s="50">
        <f t="shared" ref="AF188:AF198" si="7">E188/F188</f>
        <v>1.504185588444493</v>
      </c>
      <c r="AG188" s="46">
        <f t="shared" ref="AG188:AG198" si="8">(L188/R188)*365</f>
        <v>14.060258780036969</v>
      </c>
      <c r="AH188" s="50">
        <f t="shared" ref="AH188:AH198" si="9">K188/J188</f>
        <v>0.44123545928600078</v>
      </c>
      <c r="AI188" s="50">
        <f t="shared" ref="AI188:AI198" si="10">H188/G188</f>
        <v>0.62149277298676064</v>
      </c>
      <c r="AJ188" s="49">
        <f t="shared" ref="AJ188:AJ198" si="11">S188/J188</f>
        <v>0.26265543521861212</v>
      </c>
      <c r="AK188" s="50">
        <f t="shared" ref="AK188:AK198" si="12">S188/I188</f>
        <v>36.786516853932582</v>
      </c>
      <c r="AL188" s="49">
        <f t="shared" ref="AL188:AL198" si="13">S188/G188</f>
        <v>9.9416980444552411E-2</v>
      </c>
      <c r="AM188" s="46">
        <f t="shared" ref="AM188:AM198" ca="1" si="14">C188/O188</f>
        <v>96.311664953751276</v>
      </c>
      <c r="AN188" s="49">
        <f t="shared" ref="AN188:AN198" ca="1" si="15">O188/C188</f>
        <v>1.0382958289426297E-2</v>
      </c>
      <c r="AO188" s="46">
        <f t="shared" ref="AO188:AO198" si="16">(I188+J188)/(I188/M188)</f>
        <v>141.0561797752809</v>
      </c>
      <c r="AP188" s="46">
        <f t="shared" ref="AP188:AP198" ca="1" si="17">C188/AO188</f>
        <v>26.574163613191015</v>
      </c>
    </row>
    <row r="189" spans="1:42" ht="15.75" customHeight="1" x14ac:dyDescent="0.3">
      <c r="A189" s="43">
        <v>543278</v>
      </c>
      <c r="B189" s="44" t="s">
        <v>13</v>
      </c>
      <c r="C189" s="45">
        <f ca="1">IFERROR(__xludf.DUMMYFUNCTION("GOOGLEFINANCE(""bom:""&amp;A189,""price"")"),406.6)</f>
        <v>406.6</v>
      </c>
      <c r="D189" s="46">
        <f ca="1">IFERROR(__xludf.DUMMYFUNCTION("GOOGLEFINANCE(""bom:""&amp;A189,""marketcap"")/10000000"),41542.0362326)</f>
        <v>41542.036232600003</v>
      </c>
      <c r="E189" s="45">
        <v>8859</v>
      </c>
      <c r="F189" s="45">
        <v>6773</v>
      </c>
      <c r="G189" s="45">
        <v>11476</v>
      </c>
      <c r="H189" s="45">
        <v>7624</v>
      </c>
      <c r="I189" s="45">
        <v>1030</v>
      </c>
      <c r="J189" s="45">
        <v>3851</v>
      </c>
      <c r="K189" s="45">
        <v>1562</v>
      </c>
      <c r="L189" s="45">
        <v>383</v>
      </c>
      <c r="M189" s="45">
        <v>10</v>
      </c>
      <c r="N189" s="45"/>
      <c r="O189" s="46">
        <f ca="1">IFERROR(__xludf.DUMMYFUNCTION("GOOGLEFINANCE(""bom:""&amp;A189,""eps"")"),5.14)</f>
        <v>5.14</v>
      </c>
      <c r="P189" s="47">
        <f t="shared" ca="1" si="0"/>
        <v>9.6490035602335739E-2</v>
      </c>
      <c r="Q189" s="48">
        <v>10580</v>
      </c>
      <c r="R189" s="45">
        <v>14071</v>
      </c>
      <c r="S189" s="45">
        <v>432</v>
      </c>
      <c r="T189" s="45">
        <v>14013</v>
      </c>
      <c r="U189" s="45">
        <v>10690</v>
      </c>
      <c r="V189" s="45">
        <v>458</v>
      </c>
      <c r="W189" s="45">
        <v>362</v>
      </c>
      <c r="X189" s="45">
        <v>303</v>
      </c>
      <c r="Y189" s="45">
        <v>13505</v>
      </c>
      <c r="Z189" s="49">
        <f t="shared" si="1"/>
        <v>0.31085126286248821</v>
      </c>
      <c r="AA189" s="49">
        <f t="shared" si="2"/>
        <v>0.26519337016574585</v>
      </c>
      <c r="AB189" s="49">
        <f t="shared" si="3"/>
        <v>5.8687679670643256E-2</v>
      </c>
      <c r="AC189" s="49">
        <f t="shared" si="4"/>
        <v>3.070144268353351E-2</v>
      </c>
      <c r="AD189" s="49">
        <f t="shared" si="5"/>
        <v>3.2683936344822667E-2</v>
      </c>
      <c r="AE189" s="46">
        <f t="shared" si="6"/>
        <v>2.8679867986798682</v>
      </c>
      <c r="AF189" s="50">
        <f t="shared" si="7"/>
        <v>1.3079875978148532</v>
      </c>
      <c r="AG189" s="46">
        <f t="shared" si="8"/>
        <v>9.9349726387605717</v>
      </c>
      <c r="AH189" s="50">
        <f t="shared" si="9"/>
        <v>0.40560893274474163</v>
      </c>
      <c r="AI189" s="50">
        <f t="shared" si="10"/>
        <v>0.66434297664691533</v>
      </c>
      <c r="AJ189" s="49">
        <f t="shared" si="11"/>
        <v>0.11217865489483252</v>
      </c>
      <c r="AK189" s="50">
        <f t="shared" si="12"/>
        <v>0.41941747572815535</v>
      </c>
      <c r="AL189" s="49">
        <f t="shared" si="13"/>
        <v>3.7643778319972114E-2</v>
      </c>
      <c r="AM189" s="46">
        <f t="shared" ca="1" si="14"/>
        <v>79.105058365758765</v>
      </c>
      <c r="AN189" s="49">
        <f t="shared" ca="1" si="15"/>
        <v>1.264141662567634E-2</v>
      </c>
      <c r="AO189" s="46">
        <f t="shared" si="16"/>
        <v>47.38834951456311</v>
      </c>
      <c r="AP189" s="46">
        <f t="shared" ca="1" si="17"/>
        <v>8.5801679983609915</v>
      </c>
    </row>
    <row r="190" spans="1:42" ht="15.75" customHeight="1" x14ac:dyDescent="0.3">
      <c r="A190" s="43">
        <v>531500</v>
      </c>
      <c r="B190" s="44" t="s">
        <v>14</v>
      </c>
      <c r="C190" s="45">
        <f ca="1">IFERROR(__xludf.DUMMYFUNCTION("GOOGLEFINANCE(""bom:""&amp;A190,""price"")"),327.5)</f>
        <v>327.5</v>
      </c>
      <c r="D190" s="46">
        <f ca="1">IFERROR(__xludf.DUMMYFUNCTION("GOOGLEFINANCE(""bom:""&amp;A190,""marketcap"")/10000000"),9663.8561665)</f>
        <v>9663.8561664999997</v>
      </c>
      <c r="E190" s="45">
        <v>15848</v>
      </c>
      <c r="F190" s="45">
        <v>3893</v>
      </c>
      <c r="G190" s="45">
        <v>19224</v>
      </c>
      <c r="H190" s="45">
        <v>4002</v>
      </c>
      <c r="I190" s="45">
        <v>29</v>
      </c>
      <c r="J190" s="45">
        <v>15222</v>
      </c>
      <c r="K190" s="45">
        <v>626</v>
      </c>
      <c r="L190" s="45">
        <v>11459</v>
      </c>
      <c r="M190" s="45">
        <v>1</v>
      </c>
      <c r="N190" s="45"/>
      <c r="O190" s="46">
        <f ca="1">IFERROR(__xludf.DUMMYFUNCTION("GOOGLEFINANCE(""bom:""&amp;A190,""eps"")"),24.83)</f>
        <v>24.83</v>
      </c>
      <c r="P190" s="47">
        <f t="shared" ca="1" si="0"/>
        <v>2.2446319683041598E-2</v>
      </c>
      <c r="Q190" s="48">
        <v>187685</v>
      </c>
      <c r="R190" s="45">
        <v>339689</v>
      </c>
      <c r="S190" s="45">
        <v>1432</v>
      </c>
      <c r="T190" s="45">
        <v>189231</v>
      </c>
      <c r="U190" s="45">
        <v>224241</v>
      </c>
      <c r="V190" s="45">
        <v>367</v>
      </c>
      <c r="W190" s="45">
        <v>1066</v>
      </c>
      <c r="X190" s="45">
        <v>238</v>
      </c>
      <c r="Y190" s="45">
        <v>338235</v>
      </c>
      <c r="Z190" s="49">
        <f t="shared" si="1"/>
        <v>-0.156126667290995</v>
      </c>
      <c r="AA190" s="49">
        <f t="shared" si="2"/>
        <v>-0.65572232645403372</v>
      </c>
      <c r="AB190" s="49">
        <f t="shared" si="3"/>
        <v>0.12597924100766988</v>
      </c>
      <c r="AC190" s="49">
        <f t="shared" si="4"/>
        <v>4.2156207589883685E-3</v>
      </c>
      <c r="AD190" s="49">
        <f t="shared" si="5"/>
        <v>1.9394285291522001E-3</v>
      </c>
      <c r="AE190" s="46">
        <f t="shared" si="6"/>
        <v>7.1092436974789912</v>
      </c>
      <c r="AF190" s="50">
        <f t="shared" si="7"/>
        <v>4.0708964808630874</v>
      </c>
      <c r="AG190" s="46">
        <f t="shared" si="8"/>
        <v>12.312836153069426</v>
      </c>
      <c r="AH190" s="50">
        <f t="shared" si="9"/>
        <v>4.1124687951648926E-2</v>
      </c>
      <c r="AI190" s="50">
        <f t="shared" si="10"/>
        <v>0.20817727840199751</v>
      </c>
      <c r="AJ190" s="49">
        <f t="shared" si="11"/>
        <v>9.4074366049139407E-2</v>
      </c>
      <c r="AK190" s="50">
        <f t="shared" si="12"/>
        <v>49.379310344827587</v>
      </c>
      <c r="AL190" s="49">
        <f t="shared" si="13"/>
        <v>7.4490220557636294E-2</v>
      </c>
      <c r="AM190" s="46">
        <f t="shared" ca="1" si="14"/>
        <v>13.189689891260572</v>
      </c>
      <c r="AN190" s="49">
        <f t="shared" ca="1" si="15"/>
        <v>7.5816793893129772E-2</v>
      </c>
      <c r="AO190" s="46">
        <f t="shared" si="16"/>
        <v>525.89655172413791</v>
      </c>
      <c r="AP190" s="46">
        <f t="shared" ca="1" si="17"/>
        <v>0.62274604943938106</v>
      </c>
    </row>
    <row r="191" spans="1:42" ht="15.75" customHeight="1" x14ac:dyDescent="0.3">
      <c r="A191" s="43">
        <v>532156</v>
      </c>
      <c r="B191" s="44" t="s">
        <v>15</v>
      </c>
      <c r="C191" s="45">
        <f ca="1">IFERROR(__xludf.DUMMYFUNCTION("GOOGLEFINANCE(""bom:""&amp;A191,""price"")"),427)</f>
        <v>427</v>
      </c>
      <c r="D191" s="46">
        <f ca="1">IFERROR(__xludf.DUMMYFUNCTION("GOOGLEFINANCE(""bom:""&amp;A191,""marketcap"")/10000000"),7048.686335)</f>
        <v>7048.6863350000003</v>
      </c>
      <c r="E191" s="45">
        <v>1169</v>
      </c>
      <c r="F191" s="45">
        <v>518</v>
      </c>
      <c r="G191" s="45">
        <v>1822</v>
      </c>
      <c r="H191" s="45">
        <v>598</v>
      </c>
      <c r="I191" s="45">
        <v>33</v>
      </c>
      <c r="J191" s="45">
        <v>1224</v>
      </c>
      <c r="K191" s="45">
        <v>120</v>
      </c>
      <c r="L191" s="45">
        <v>260</v>
      </c>
      <c r="M191" s="45">
        <v>2</v>
      </c>
      <c r="N191" s="45"/>
      <c r="O191" s="46">
        <f ca="1">IFERROR(__xludf.DUMMYFUNCTION("GOOGLEFINANCE(""bom:""&amp;A191,""eps"")"),7.74)</f>
        <v>7.74</v>
      </c>
      <c r="P191" s="47">
        <f t="shared" ca="1" si="0"/>
        <v>1.6372042805165115E-2</v>
      </c>
      <c r="Q191" s="48">
        <v>1575</v>
      </c>
      <c r="R191" s="45">
        <v>2691</v>
      </c>
      <c r="S191" s="45">
        <v>105</v>
      </c>
      <c r="T191" s="45">
        <v>2251</v>
      </c>
      <c r="U191" s="45">
        <v>1998</v>
      </c>
      <c r="V191" s="45">
        <v>105</v>
      </c>
      <c r="W191" s="45">
        <v>82</v>
      </c>
      <c r="X191" s="45">
        <v>8</v>
      </c>
      <c r="Y191" s="45">
        <v>2577</v>
      </c>
      <c r="Z191" s="49">
        <f t="shared" si="1"/>
        <v>0.12662662662662671</v>
      </c>
      <c r="AA191" s="49">
        <f t="shared" si="2"/>
        <v>0.28048780487804881</v>
      </c>
      <c r="AB191" s="49">
        <f t="shared" si="3"/>
        <v>0.11308063709977656</v>
      </c>
      <c r="AC191" s="49">
        <f t="shared" si="4"/>
        <v>3.901895206243032E-2</v>
      </c>
      <c r="AD191" s="49">
        <f t="shared" si="5"/>
        <v>4.6645935139937804E-2</v>
      </c>
      <c r="AE191" s="46">
        <f t="shared" si="6"/>
        <v>15.25</v>
      </c>
      <c r="AF191" s="50">
        <f t="shared" si="7"/>
        <v>2.2567567567567566</v>
      </c>
      <c r="AG191" s="46">
        <f t="shared" si="8"/>
        <v>35.265700483091784</v>
      </c>
      <c r="AH191" s="50">
        <f t="shared" si="9"/>
        <v>9.8039215686274508E-2</v>
      </c>
      <c r="AI191" s="50">
        <f t="shared" si="10"/>
        <v>0.32821075740944017</v>
      </c>
      <c r="AJ191" s="49">
        <f t="shared" si="11"/>
        <v>8.5784313725490197E-2</v>
      </c>
      <c r="AK191" s="50">
        <f t="shared" si="12"/>
        <v>3.1818181818181817</v>
      </c>
      <c r="AL191" s="49">
        <f t="shared" si="13"/>
        <v>5.7628979143798026E-2</v>
      </c>
      <c r="AM191" s="46">
        <f t="shared" ca="1" si="14"/>
        <v>55.167958656330747</v>
      </c>
      <c r="AN191" s="49">
        <f t="shared" ca="1" si="15"/>
        <v>1.8126463700234192E-2</v>
      </c>
      <c r="AO191" s="46">
        <f t="shared" si="16"/>
        <v>76.181818181818187</v>
      </c>
      <c r="AP191" s="46">
        <f t="shared" ca="1" si="17"/>
        <v>5.6050119331742243</v>
      </c>
    </row>
    <row r="192" spans="1:42" ht="15.75" customHeight="1" x14ac:dyDescent="0.3">
      <c r="A192" s="43">
        <v>543532</v>
      </c>
      <c r="B192" s="44" t="s">
        <v>16</v>
      </c>
      <c r="C192" s="45">
        <f ca="1">IFERROR(__xludf.DUMMYFUNCTION("GOOGLEFINANCE(""bom:""&amp;A192,""price"")"),2779.9)</f>
        <v>2779.9</v>
      </c>
      <c r="D192" s="46">
        <f ca="1">IFERROR(__xludf.DUMMYFUNCTION("GOOGLEFINANCE(""bom:""&amp;A192,""marketcap"")/10000000"),6805.56232)</f>
        <v>6805.56232</v>
      </c>
      <c r="E192" s="45">
        <v>656</v>
      </c>
      <c r="F192" s="45">
        <v>150</v>
      </c>
      <c r="G192" s="45">
        <v>935</v>
      </c>
      <c r="H192" s="45">
        <v>267</v>
      </c>
      <c r="I192" s="45">
        <v>23</v>
      </c>
      <c r="J192" s="45">
        <v>668</v>
      </c>
      <c r="K192" s="45">
        <v>6.88</v>
      </c>
      <c r="L192" s="45">
        <v>15</v>
      </c>
      <c r="M192" s="45">
        <v>10</v>
      </c>
      <c r="N192" s="45"/>
      <c r="O192" s="46">
        <f ca="1">IFERROR(__xludf.DUMMYFUNCTION("GOOGLEFINANCE(""bom:""&amp;A192,""eps"")"),31.72)</f>
        <v>31.72</v>
      </c>
      <c r="P192" s="47">
        <f t="shared" ca="1" si="0"/>
        <v>1.5807336618598282E-2</v>
      </c>
      <c r="Q192" s="48">
        <v>356</v>
      </c>
      <c r="R192" s="45">
        <v>788</v>
      </c>
      <c r="S192" s="45">
        <v>60</v>
      </c>
      <c r="T192" s="45">
        <v>746</v>
      </c>
      <c r="U192" s="45">
        <v>581</v>
      </c>
      <c r="V192" s="45">
        <v>62</v>
      </c>
      <c r="W192" s="45">
        <v>47</v>
      </c>
      <c r="X192" s="45">
        <v>14</v>
      </c>
      <c r="Y192" s="45">
        <v>723</v>
      </c>
      <c r="Z192" s="49">
        <f t="shared" si="1"/>
        <v>0.28399311531841653</v>
      </c>
      <c r="AA192" s="49">
        <f t="shared" si="2"/>
        <v>0.31914893617021267</v>
      </c>
      <c r="AB192" s="49">
        <f t="shared" si="3"/>
        <v>0.17223651077836721</v>
      </c>
      <c r="AC192" s="49">
        <f t="shared" si="4"/>
        <v>7.6142131979695438E-2</v>
      </c>
      <c r="AD192" s="49">
        <f t="shared" si="5"/>
        <v>8.3109919571045576E-2</v>
      </c>
      <c r="AE192" s="46">
        <f t="shared" si="6"/>
        <v>5.6428571428571432</v>
      </c>
      <c r="AF192" s="50">
        <f t="shared" si="7"/>
        <v>4.3733333333333331</v>
      </c>
      <c r="AG192" s="46">
        <f t="shared" si="8"/>
        <v>6.9479695431472086</v>
      </c>
      <c r="AH192" s="50">
        <f t="shared" si="9"/>
        <v>1.029940119760479E-2</v>
      </c>
      <c r="AI192" s="50">
        <f t="shared" si="10"/>
        <v>0.28556149732620323</v>
      </c>
      <c r="AJ192" s="49">
        <f t="shared" si="11"/>
        <v>8.9820359281437126E-2</v>
      </c>
      <c r="AK192" s="50">
        <f t="shared" si="12"/>
        <v>2.6086956521739131</v>
      </c>
      <c r="AL192" s="49">
        <f t="shared" si="13"/>
        <v>6.4171122994652413E-2</v>
      </c>
      <c r="AM192" s="46">
        <f t="shared" ca="1" si="14"/>
        <v>87.638713745271133</v>
      </c>
      <c r="AN192" s="49">
        <f t="shared" ca="1" si="15"/>
        <v>1.1410482391452929E-2</v>
      </c>
      <c r="AO192" s="46">
        <f t="shared" si="16"/>
        <v>300.43478260869568</v>
      </c>
      <c r="AP192" s="46">
        <f t="shared" ca="1" si="17"/>
        <v>9.252923299565845</v>
      </c>
    </row>
    <row r="193" spans="1:42" ht="15.75" customHeight="1" x14ac:dyDescent="0.3">
      <c r="A193" s="43">
        <v>543936</v>
      </c>
      <c r="B193" s="44" t="s">
        <v>17</v>
      </c>
      <c r="C193" s="45">
        <f ca="1">IFERROR(__xludf.DUMMYFUNCTION("GOOGLEFINANCE(""bom:""&amp;A193,""price"")"),838.4)</f>
        <v>838.4</v>
      </c>
      <c r="D193" s="46">
        <f ca="1">IFERROR(__xludf.DUMMYFUNCTION("GOOGLEFINANCE(""bom:""&amp;A193,""marketcap"")/10000000"),6464.7630057)</f>
        <v>6464.7630056999997</v>
      </c>
      <c r="E193" s="45">
        <v>2501</v>
      </c>
      <c r="F193" s="45">
        <v>1744</v>
      </c>
      <c r="G193" s="45">
        <v>2905</v>
      </c>
      <c r="H193" s="45">
        <v>1959</v>
      </c>
      <c r="I193" s="45">
        <v>56</v>
      </c>
      <c r="J193" s="45">
        <v>945</v>
      </c>
      <c r="K193" s="45">
        <v>1177.45</v>
      </c>
      <c r="L193" s="45">
        <v>45</v>
      </c>
      <c r="M193" s="45">
        <v>10</v>
      </c>
      <c r="N193" s="45"/>
      <c r="O193" s="46">
        <v>24.84</v>
      </c>
      <c r="P193" s="47">
        <f t="shared" ca="1" si="0"/>
        <v>1.5015759196010284E-2</v>
      </c>
      <c r="Q193" s="45">
        <v>2215</v>
      </c>
      <c r="R193" s="45">
        <v>4077</v>
      </c>
      <c r="S193" s="45">
        <v>158</v>
      </c>
      <c r="T193" s="45">
        <v>4104</v>
      </c>
      <c r="U193" s="45">
        <v>3263</v>
      </c>
      <c r="V193" s="45">
        <v>148</v>
      </c>
      <c r="W193" s="45">
        <v>132</v>
      </c>
      <c r="X193" s="45">
        <v>86</v>
      </c>
      <c r="Y193" s="45">
        <v>3892</v>
      </c>
      <c r="Z193" s="49">
        <f t="shared" si="1"/>
        <v>0.25773827765859636</v>
      </c>
      <c r="AA193" s="49">
        <f t="shared" si="2"/>
        <v>0.1212121212121211</v>
      </c>
      <c r="AB193" s="49">
        <f t="shared" si="3"/>
        <v>0.12977873528413553</v>
      </c>
      <c r="AC193" s="49">
        <f t="shared" si="4"/>
        <v>3.8753985773853326E-2</v>
      </c>
      <c r="AD193" s="49">
        <f t="shared" si="5"/>
        <v>3.6062378167641324E-2</v>
      </c>
      <c r="AE193" s="46">
        <f t="shared" si="6"/>
        <v>3.1511627906976742</v>
      </c>
      <c r="AF193" s="50">
        <f t="shared" si="7"/>
        <v>1.434059633027523</v>
      </c>
      <c r="AG193" s="46">
        <f t="shared" si="8"/>
        <v>4.0286975717439297</v>
      </c>
      <c r="AH193" s="50">
        <f t="shared" si="9"/>
        <v>1.245978835978836</v>
      </c>
      <c r="AI193" s="50">
        <f t="shared" si="10"/>
        <v>0.67435456110154901</v>
      </c>
      <c r="AJ193" s="49">
        <f t="shared" si="11"/>
        <v>0.1671957671957672</v>
      </c>
      <c r="AK193" s="50">
        <f t="shared" si="12"/>
        <v>2.8214285714285716</v>
      </c>
      <c r="AL193" s="49">
        <f t="shared" si="13"/>
        <v>5.4388984509466436E-2</v>
      </c>
      <c r="AM193" s="46">
        <f t="shared" ca="1" si="14"/>
        <v>33.752012882447666</v>
      </c>
      <c r="AN193" s="49">
        <f t="shared" ca="1" si="15"/>
        <v>2.9627862595419847E-2</v>
      </c>
      <c r="AO193" s="46">
        <f t="shared" si="16"/>
        <v>178.75</v>
      </c>
      <c r="AP193" s="46">
        <f t="shared" ca="1" si="17"/>
        <v>4.69034965034965</v>
      </c>
    </row>
    <row r="194" spans="1:42" ht="15.75" customHeight="1" x14ac:dyDescent="0.3">
      <c r="A194" s="43">
        <v>533158</v>
      </c>
      <c r="B194" s="44" t="s">
        <v>18</v>
      </c>
      <c r="C194" s="45">
        <f ca="1">IFERROR(__xludf.DUMMYFUNCTION("GOOGLEFINANCE(""bom:""&amp;A194,""price"")"),1314.35)</f>
        <v>1314.35</v>
      </c>
      <c r="D194" s="46">
        <f ca="1">IFERROR(__xludf.DUMMYFUNCTION("GOOGLEFINANCE(""bom:""&amp;A194,""marketcap"")/10000000"),3595.215939)</f>
        <v>3595.2159390000002</v>
      </c>
      <c r="E194" s="45">
        <v>1210</v>
      </c>
      <c r="F194" s="45">
        <v>752</v>
      </c>
      <c r="G194" s="45">
        <v>1357</v>
      </c>
      <c r="H194" s="45">
        <v>910</v>
      </c>
      <c r="I194" s="45">
        <v>27</v>
      </c>
      <c r="J194" s="45">
        <v>447</v>
      </c>
      <c r="K194" s="45">
        <v>504</v>
      </c>
      <c r="L194" s="45">
        <v>5</v>
      </c>
      <c r="M194" s="45">
        <v>10</v>
      </c>
      <c r="N194" s="45"/>
      <c r="O194" s="46">
        <f ca="1">IFERROR(__xludf.DUMMYFUNCTION("GOOGLEFINANCE(""bom:""&amp;A194,""eps"")"),45.94)</f>
        <v>45.94</v>
      </c>
      <c r="P194" s="47">
        <f t="shared" ca="1" si="0"/>
        <v>8.3506381827274049E-3</v>
      </c>
      <c r="Q194" s="45">
        <v>1379</v>
      </c>
      <c r="R194" s="45">
        <v>3153</v>
      </c>
      <c r="S194" s="45">
        <v>80</v>
      </c>
      <c r="T194" s="45">
        <v>2845</v>
      </c>
      <c r="U194" s="45">
        <v>2382</v>
      </c>
      <c r="V194" s="45">
        <v>95</v>
      </c>
      <c r="W194" s="45">
        <v>49</v>
      </c>
      <c r="X194" s="45">
        <v>35</v>
      </c>
      <c r="Y194" s="45">
        <v>3048</v>
      </c>
      <c r="Z194" s="49">
        <f t="shared" si="1"/>
        <v>0.19437447523089846</v>
      </c>
      <c r="AA194" s="49">
        <f t="shared" si="2"/>
        <v>0.93877551020408156</v>
      </c>
      <c r="AB194" s="49">
        <f t="shared" si="3"/>
        <v>0.17986397493065875</v>
      </c>
      <c r="AC194" s="49">
        <f t="shared" si="4"/>
        <v>2.5372660957817952E-2</v>
      </c>
      <c r="AD194" s="49">
        <f t="shared" si="5"/>
        <v>3.3391915641476276E-2</v>
      </c>
      <c r="AE194" s="46">
        <f t="shared" si="6"/>
        <v>4</v>
      </c>
      <c r="AF194" s="50">
        <f t="shared" si="7"/>
        <v>1.6090425531914894</v>
      </c>
      <c r="AG194" s="46">
        <f t="shared" si="8"/>
        <v>0.57881382810022197</v>
      </c>
      <c r="AH194" s="50">
        <f t="shared" si="9"/>
        <v>1.1275167785234899</v>
      </c>
      <c r="AI194" s="50">
        <f t="shared" si="10"/>
        <v>0.67059690493736179</v>
      </c>
      <c r="AJ194" s="49">
        <f t="shared" si="11"/>
        <v>0.17897091722595079</v>
      </c>
      <c r="AK194" s="50">
        <f t="shared" si="12"/>
        <v>2.9629629629629628</v>
      </c>
      <c r="AL194" s="49">
        <f t="shared" si="13"/>
        <v>5.8953574060427415E-2</v>
      </c>
      <c r="AM194" s="46">
        <f t="shared" ca="1" si="14"/>
        <v>28.610143665650849</v>
      </c>
      <c r="AN194" s="49">
        <f t="shared" ca="1" si="15"/>
        <v>3.495263818617568E-2</v>
      </c>
      <c r="AO194" s="46">
        <f t="shared" si="16"/>
        <v>175.55555555555554</v>
      </c>
      <c r="AP194" s="46">
        <f t="shared" ca="1" si="17"/>
        <v>7.4868037974683546</v>
      </c>
    </row>
    <row r="195" spans="1:42" ht="15.75" customHeight="1" x14ac:dyDescent="0.3">
      <c r="A195" s="43">
        <v>532054</v>
      </c>
      <c r="B195" s="44" t="s">
        <v>19</v>
      </c>
      <c r="C195" s="45">
        <f ca="1">IFERROR(__xludf.DUMMYFUNCTION("GOOGLEFINANCE(""bom:""&amp;A195,""price"")"),2560)</f>
        <v>2560</v>
      </c>
      <c r="D195" s="46">
        <f ca="1">IFERROR(__xludf.DUMMYFUNCTION("GOOGLEFINANCE(""bom:""&amp;A195,""marketcap"")/10000000"),3184.4886867)</f>
        <v>3184.4886867</v>
      </c>
      <c r="E195" s="45">
        <v>807</v>
      </c>
      <c r="F195" s="45">
        <v>285</v>
      </c>
      <c r="G195" s="45">
        <v>1236</v>
      </c>
      <c r="H195" s="45">
        <v>472</v>
      </c>
      <c r="I195" s="45">
        <v>12</v>
      </c>
      <c r="J195" s="45">
        <v>764</v>
      </c>
      <c r="K195" s="45">
        <v>108</v>
      </c>
      <c r="L195" s="45">
        <v>75</v>
      </c>
      <c r="M195" s="45">
        <v>10</v>
      </c>
      <c r="N195" s="45"/>
      <c r="O195" s="46">
        <f ca="1">IFERROR(__xludf.DUMMYFUNCTION("GOOGLEFINANCE(""bom:""&amp;A195,""eps"")"),74.32)</f>
        <v>74.319999999999993</v>
      </c>
      <c r="P195" s="47">
        <f t="shared" ca="1" si="0"/>
        <v>7.3966385526809571E-3</v>
      </c>
      <c r="Q195" s="45">
        <v>503</v>
      </c>
      <c r="R195" s="45">
        <v>1119</v>
      </c>
      <c r="S195" s="45">
        <v>77</v>
      </c>
      <c r="T195" s="45">
        <v>1043</v>
      </c>
      <c r="U195" s="45">
        <v>820</v>
      </c>
      <c r="V195" s="45">
        <v>102</v>
      </c>
      <c r="W195" s="45">
        <v>55</v>
      </c>
      <c r="X195" s="45">
        <v>24</v>
      </c>
      <c r="Y195" s="45">
        <v>1032</v>
      </c>
      <c r="Z195" s="49">
        <f t="shared" si="1"/>
        <v>0.27195121951219514</v>
      </c>
      <c r="AA195" s="49">
        <f t="shared" si="2"/>
        <v>0.8545454545454545</v>
      </c>
      <c r="AB195" s="49">
        <f t="shared" si="3"/>
        <v>0.17341712018673738</v>
      </c>
      <c r="AC195" s="49">
        <f t="shared" si="4"/>
        <v>6.8811438784629128E-2</v>
      </c>
      <c r="AD195" s="49">
        <f t="shared" si="5"/>
        <v>9.7794822627037398E-2</v>
      </c>
      <c r="AE195" s="46">
        <f t="shared" si="6"/>
        <v>4.625</v>
      </c>
      <c r="AF195" s="50">
        <f t="shared" si="7"/>
        <v>2.831578947368421</v>
      </c>
      <c r="AG195" s="46">
        <f t="shared" si="8"/>
        <v>24.463806970509385</v>
      </c>
      <c r="AH195" s="50">
        <f t="shared" si="9"/>
        <v>0.14136125654450263</v>
      </c>
      <c r="AI195" s="50">
        <f t="shared" si="10"/>
        <v>0.3818770226537217</v>
      </c>
      <c r="AJ195" s="49">
        <f t="shared" si="11"/>
        <v>0.10078534031413612</v>
      </c>
      <c r="AK195" s="50">
        <f t="shared" si="12"/>
        <v>6.416666666666667</v>
      </c>
      <c r="AL195" s="49">
        <f t="shared" si="13"/>
        <v>6.2297734627831718E-2</v>
      </c>
      <c r="AM195" s="46">
        <f t="shared" ca="1" si="14"/>
        <v>34.445640473627563</v>
      </c>
      <c r="AN195" s="49">
        <f t="shared" ca="1" si="15"/>
        <v>2.9031249999999998E-2</v>
      </c>
      <c r="AO195" s="46">
        <f t="shared" si="16"/>
        <v>646.66666666666674</v>
      </c>
      <c r="AP195" s="46">
        <f t="shared" ca="1" si="17"/>
        <v>3.9587628865979378</v>
      </c>
    </row>
    <row r="196" spans="1:42" ht="15.75" customHeight="1" x14ac:dyDescent="0.3">
      <c r="A196" s="43">
        <v>534809</v>
      </c>
      <c r="B196" s="44" t="s">
        <v>21</v>
      </c>
      <c r="C196" s="45">
        <f ca="1">IFERROR(__xludf.DUMMYFUNCTION("GOOGLEFINANCE(""bom:""&amp;A196,""price"")"),62.26)</f>
        <v>62.26</v>
      </c>
      <c r="D196" s="46">
        <f ca="1">IFERROR(__xludf.DUMMYFUNCTION("GOOGLEFINANCE(""bom:""&amp;A196,""marketcap"")/10000000"),2898.08276)</f>
        <v>2898.0827599999998</v>
      </c>
      <c r="E196" s="45">
        <v>5788</v>
      </c>
      <c r="F196" s="45">
        <v>4058</v>
      </c>
      <c r="G196" s="45">
        <v>7352</v>
      </c>
      <c r="H196" s="45">
        <v>4103</v>
      </c>
      <c r="I196" s="45">
        <v>465</v>
      </c>
      <c r="J196" s="45">
        <v>3248</v>
      </c>
      <c r="K196" s="45">
        <v>3840</v>
      </c>
      <c r="L196" s="45">
        <v>7.89</v>
      </c>
      <c r="M196" s="45">
        <v>10</v>
      </c>
      <c r="N196" s="45"/>
      <c r="O196" s="46">
        <f ca="1">IFERROR(__xludf.DUMMYFUNCTION("GOOGLEFINANCE(""bom:""&amp;A196,""eps"")"),-17.43)</f>
        <v>-17.43</v>
      </c>
      <c r="P196" s="47">
        <f t="shared" ca="1" si="0"/>
        <v>6.731401107186741E-3</v>
      </c>
      <c r="Q196" s="45">
        <v>9615</v>
      </c>
      <c r="R196" s="45">
        <v>2473</v>
      </c>
      <c r="S196" s="45">
        <v>203</v>
      </c>
      <c r="T196" s="45">
        <v>517</v>
      </c>
      <c r="U196" s="45">
        <v>1445</v>
      </c>
      <c r="V196" s="45">
        <v>-310</v>
      </c>
      <c r="W196" s="45">
        <v>160</v>
      </c>
      <c r="X196" s="45">
        <v>492</v>
      </c>
      <c r="Y196" s="45">
        <v>2744</v>
      </c>
      <c r="Z196" s="49">
        <f t="shared" si="1"/>
        <v>-0.64221453287197239</v>
      </c>
      <c r="AA196" s="49">
        <f t="shared" si="2"/>
        <v>-2.9375</v>
      </c>
      <c r="AB196" s="49">
        <f t="shared" si="3"/>
        <v>-0.23782453296181305</v>
      </c>
      <c r="AC196" s="49">
        <f t="shared" si="4"/>
        <v>8.2086534573392642E-2</v>
      </c>
      <c r="AD196" s="49">
        <f t="shared" si="5"/>
        <v>-0.59961315280464211</v>
      </c>
      <c r="AE196" s="46">
        <f t="shared" si="6"/>
        <v>0.44918699186991867</v>
      </c>
      <c r="AF196" s="50">
        <f t="shared" si="7"/>
        <v>1.4263183834401183</v>
      </c>
      <c r="AG196" s="46">
        <f t="shared" si="8"/>
        <v>1.1645167812373636</v>
      </c>
      <c r="AH196" s="50">
        <f t="shared" si="9"/>
        <v>1.1822660098522169</v>
      </c>
      <c r="AI196" s="50">
        <f t="shared" si="10"/>
        <v>0.55807943416757344</v>
      </c>
      <c r="AJ196" s="49">
        <f t="shared" si="11"/>
        <v>6.25E-2</v>
      </c>
      <c r="AK196" s="50">
        <f t="shared" si="12"/>
        <v>0.43655913978494626</v>
      </c>
      <c r="AL196" s="49">
        <f t="shared" si="13"/>
        <v>2.7611534276387378E-2</v>
      </c>
      <c r="AM196" s="46">
        <f t="shared" ca="1" si="14"/>
        <v>-3.5720022948938612</v>
      </c>
      <c r="AN196" s="49">
        <f t="shared" ca="1" si="15"/>
        <v>-0.27995502730485061</v>
      </c>
      <c r="AO196" s="46">
        <f t="shared" si="16"/>
        <v>79.849462365591393</v>
      </c>
      <c r="AP196" s="46">
        <f t="shared" ca="1" si="17"/>
        <v>0.77971720980339354</v>
      </c>
    </row>
    <row r="197" spans="1:42" ht="15.75" customHeight="1" x14ac:dyDescent="0.3">
      <c r="A197" s="43">
        <v>526729</v>
      </c>
      <c r="B197" s="44" t="s">
        <v>22</v>
      </c>
      <c r="C197" s="45">
        <f ca="1">IFERROR(__xludf.DUMMYFUNCTION("GOOGLEFINANCE(""bom:""&amp;A197,""price"")"),190.7)</f>
        <v>190.7</v>
      </c>
      <c r="D197" s="46">
        <f ca="1">IFERROR(__xludf.DUMMYFUNCTION("GOOGLEFINANCE(""bom:""&amp;A197,""marketcap"")/10000000"),2034.446655)</f>
        <v>2034.446655</v>
      </c>
      <c r="E197" s="45">
        <v>633</v>
      </c>
      <c r="F197" s="45">
        <v>98</v>
      </c>
      <c r="G197" s="45">
        <v>699</v>
      </c>
      <c r="H197" s="45">
        <v>102</v>
      </c>
      <c r="I197" s="45">
        <v>21</v>
      </c>
      <c r="J197" s="45">
        <v>597</v>
      </c>
      <c r="K197" s="45">
        <v>0.8</v>
      </c>
      <c r="L197" s="45">
        <v>122</v>
      </c>
      <c r="M197" s="45">
        <v>2</v>
      </c>
      <c r="N197" s="45"/>
      <c r="O197" s="46">
        <f ca="1">IFERROR(__xludf.DUMMYFUNCTION("GOOGLEFINANCE(""bom:""&amp;A197,""eps"")"),8.22)</f>
        <v>8.2200000000000006</v>
      </c>
      <c r="P197" s="47">
        <f t="shared" ca="1" si="0"/>
        <v>4.7254262904415341E-3</v>
      </c>
      <c r="Q197" s="45">
        <v>319</v>
      </c>
      <c r="R197" s="45">
        <v>533</v>
      </c>
      <c r="S197" s="45">
        <v>85</v>
      </c>
      <c r="T197" s="45">
        <v>455</v>
      </c>
      <c r="U197" s="45">
        <v>419</v>
      </c>
      <c r="V197" s="45">
        <v>73</v>
      </c>
      <c r="W197" s="45">
        <v>68</v>
      </c>
      <c r="X197" s="45">
        <v>1</v>
      </c>
      <c r="Y197" s="45">
        <v>437</v>
      </c>
      <c r="Z197" s="49">
        <f t="shared" si="1"/>
        <v>8.591885441527447E-2</v>
      </c>
      <c r="AA197" s="49">
        <f t="shared" si="2"/>
        <v>7.3529411764705843E-2</v>
      </c>
      <c r="AB197" s="49">
        <f t="shared" si="3"/>
        <v>0.10812130599375092</v>
      </c>
      <c r="AC197" s="49">
        <f t="shared" si="4"/>
        <v>0.15947467166979362</v>
      </c>
      <c r="AD197" s="49">
        <f t="shared" si="5"/>
        <v>0.16043956043956045</v>
      </c>
      <c r="AE197" s="46">
        <f t="shared" si="6"/>
        <v>97</v>
      </c>
      <c r="AF197" s="50">
        <f t="shared" si="7"/>
        <v>6.4591836734693882</v>
      </c>
      <c r="AG197" s="46">
        <f t="shared" si="8"/>
        <v>83.54596622889305</v>
      </c>
      <c r="AH197" s="50">
        <f t="shared" si="9"/>
        <v>1.340033500837521E-3</v>
      </c>
      <c r="AI197" s="50">
        <f t="shared" si="10"/>
        <v>0.14592274678111589</v>
      </c>
      <c r="AJ197" s="49">
        <f t="shared" si="11"/>
        <v>0.14237855946398659</v>
      </c>
      <c r="AK197" s="50">
        <f t="shared" si="12"/>
        <v>4.0476190476190474</v>
      </c>
      <c r="AL197" s="49">
        <f t="shared" si="13"/>
        <v>0.12160228898426323</v>
      </c>
      <c r="AM197" s="46">
        <f t="shared" ca="1" si="14"/>
        <v>23.199513381995132</v>
      </c>
      <c r="AN197" s="49">
        <f t="shared" ca="1" si="15"/>
        <v>4.3104352385946516E-2</v>
      </c>
      <c r="AO197" s="46">
        <f t="shared" si="16"/>
        <v>58.857142857142854</v>
      </c>
      <c r="AP197" s="46">
        <f t="shared" ca="1" si="17"/>
        <v>3.2400485436893205</v>
      </c>
    </row>
    <row r="198" spans="1:42" ht="15.75" customHeight="1" x14ac:dyDescent="0.3">
      <c r="A198" s="43">
        <v>544053</v>
      </c>
      <c r="B198" s="44" t="s">
        <v>23</v>
      </c>
      <c r="C198" s="45">
        <f ca="1">IFERROR(__xludf.DUMMYFUNCTION("GOOGLEFINANCE(""bom:""&amp;A198,""price"")"),161.6)</f>
        <v>161.6</v>
      </c>
      <c r="D198" s="46">
        <f ca="1">IFERROR(__xludf.DUMMYFUNCTION("GOOGLEFINANCE(""bom:""&amp;A198,""marketcap"")/10000000"),1594.824714)</f>
        <v>1594.8247140000001</v>
      </c>
      <c r="E198" s="45">
        <v>340</v>
      </c>
      <c r="F198" s="45">
        <v>185</v>
      </c>
      <c r="G198" s="45">
        <v>348</v>
      </c>
      <c r="H198" s="45">
        <v>205</v>
      </c>
      <c r="I198" s="45">
        <v>65</v>
      </c>
      <c r="J198" s="45">
        <v>143</v>
      </c>
      <c r="K198" s="45">
        <v>166</v>
      </c>
      <c r="L198" s="46">
        <v>1</v>
      </c>
      <c r="M198" s="45">
        <v>10</v>
      </c>
      <c r="N198" s="45"/>
      <c r="O198" s="46">
        <v>1.1399999999999999</v>
      </c>
      <c r="P198" s="47">
        <f t="shared" ca="1" si="0"/>
        <v>3.704312724867933E-3</v>
      </c>
      <c r="Q198" s="45">
        <v>223</v>
      </c>
      <c r="R198" s="45">
        <v>367</v>
      </c>
      <c r="S198" s="45">
        <v>22</v>
      </c>
      <c r="T198" s="45">
        <v>300</v>
      </c>
      <c r="U198" s="45">
        <v>275</v>
      </c>
      <c r="V198" s="45">
        <v>21</v>
      </c>
      <c r="W198" s="45">
        <v>19</v>
      </c>
      <c r="X198" s="46">
        <v>17</v>
      </c>
      <c r="Y198" s="45">
        <v>336</v>
      </c>
      <c r="Z198" s="49">
        <f t="shared" si="1"/>
        <v>9.0909090909090828E-2</v>
      </c>
      <c r="AA198" s="49">
        <f t="shared" si="2"/>
        <v>0.10526315789473695</v>
      </c>
      <c r="AB198" s="49">
        <f t="shared" si="3"/>
        <v>0.10477093553144079</v>
      </c>
      <c r="AC198" s="49">
        <f t="shared" si="4"/>
        <v>5.9945504087193457E-2</v>
      </c>
      <c r="AD198" s="49">
        <f t="shared" si="5"/>
        <v>7.0000000000000007E-2</v>
      </c>
      <c r="AE198" s="46">
        <f t="shared" si="6"/>
        <v>2.8235294117647061</v>
      </c>
      <c r="AF198" s="50">
        <f t="shared" si="7"/>
        <v>1.8378378378378379</v>
      </c>
      <c r="AG198" s="46">
        <f t="shared" si="8"/>
        <v>0.99455040871934597</v>
      </c>
      <c r="AH198" s="50">
        <f t="shared" si="9"/>
        <v>1.1608391608391608</v>
      </c>
      <c r="AI198" s="50">
        <f t="shared" si="10"/>
        <v>0.58908045977011492</v>
      </c>
      <c r="AJ198" s="49">
        <f t="shared" si="11"/>
        <v>0.15384615384615385</v>
      </c>
      <c r="AK198" s="50">
        <f t="shared" si="12"/>
        <v>0.33846153846153848</v>
      </c>
      <c r="AL198" s="49">
        <f t="shared" si="13"/>
        <v>6.3218390804597707E-2</v>
      </c>
      <c r="AM198" s="46">
        <f t="shared" ca="1" si="14"/>
        <v>141.75438596491227</v>
      </c>
      <c r="AN198" s="49">
        <f t="shared" ca="1" si="15"/>
        <v>7.0544554455445538E-3</v>
      </c>
      <c r="AO198" s="46">
        <f t="shared" si="16"/>
        <v>32</v>
      </c>
      <c r="AP198" s="46">
        <f t="shared" ca="1" si="17"/>
        <v>5.05</v>
      </c>
    </row>
    <row r="199" spans="1:42" ht="15.75" customHeight="1" x14ac:dyDescent="0.3">
      <c r="A199" s="43">
        <v>543995</v>
      </c>
      <c r="B199" s="44" t="s">
        <v>28</v>
      </c>
      <c r="C199" s="45">
        <f ca="1">IFERROR(__xludf.DUMMYFUNCTION("GOOGLEFINANCE(""bom:""&amp;A199,""price"")"),216.6)</f>
        <v>216.6</v>
      </c>
      <c r="D199" s="46">
        <f ca="1">IFERROR(__xludf.DUMMYFUNCTION("GOOGLEFINANCE(""bom:""&amp;A199,""marketcap"")/10000000"),1063.4089715)</f>
        <v>1063.4089715</v>
      </c>
      <c r="P199" s="47">
        <f t="shared" ca="1" si="0"/>
        <v>2.4699889274892254E-3</v>
      </c>
    </row>
    <row r="200" spans="1:42" ht="15.75" customHeight="1" x14ac:dyDescent="0.3">
      <c r="A200" s="43">
        <v>541967</v>
      </c>
      <c r="B200" s="44" t="s">
        <v>24</v>
      </c>
      <c r="C200" s="45">
        <f ca="1">IFERROR(__xludf.DUMMYFUNCTION("GOOGLEFINANCE(""bom:""&amp;A200,""price"")"),1091.9)</f>
        <v>1091.9000000000001</v>
      </c>
      <c r="D200" s="46">
        <f ca="1">IFERROR(__xludf.DUMMYFUNCTION("GOOGLEFINANCE(""bom:""&amp;A200,""marketcap"")/10000000"),1415.664976)</f>
        <v>1415.664976</v>
      </c>
      <c r="P200" s="47">
        <f t="shared" ca="1" si="0"/>
        <v>3.2881769003904817E-3</v>
      </c>
    </row>
    <row r="201" spans="1:42" ht="15.75" customHeight="1" x14ac:dyDescent="0.3">
      <c r="A201" s="43">
        <v>500414</v>
      </c>
      <c r="B201" s="44" t="s">
        <v>25</v>
      </c>
      <c r="C201" s="45">
        <f ca="1">IFERROR(__xludf.DUMMYFUNCTION("GOOGLEFINANCE(""bom:""&amp;A201,""price"")"),137)</f>
        <v>137</v>
      </c>
      <c r="D201" s="46">
        <f ca="1">IFERROR(__xludf.DUMMYFUNCTION("GOOGLEFINANCE(""bom:""&amp;A201,""marketcap"")/10000000"),1383.01363)</f>
        <v>1383.0136299999999</v>
      </c>
      <c r="P201" s="47">
        <f t="shared" ca="1" si="0"/>
        <v>3.2123373454788278E-3</v>
      </c>
    </row>
    <row r="202" spans="1:42" ht="15.75" customHeight="1" x14ac:dyDescent="0.3">
      <c r="A202" s="43">
        <v>531847</v>
      </c>
      <c r="B202" s="44" t="s">
        <v>26</v>
      </c>
      <c r="C202" s="45">
        <f ca="1">IFERROR(__xludf.DUMMYFUNCTION("GOOGLEFINANCE(""bom:""&amp;A202,""price"")"),785)</f>
        <v>785</v>
      </c>
      <c r="D202" s="46">
        <f ca="1">IFERROR(__xludf.DUMMYFUNCTION("GOOGLEFINANCE(""bom:""&amp;A202,""marketcap"")/10000000"),1256.5338)</f>
        <v>1256.5337999999999</v>
      </c>
      <c r="P202" s="47">
        <f t="shared" ca="1" si="0"/>
        <v>2.9185615846724694E-3</v>
      </c>
    </row>
    <row r="203" spans="1:42" ht="15.75" customHeight="1" x14ac:dyDescent="0.3">
      <c r="A203" s="43">
        <v>532923</v>
      </c>
      <c r="B203" s="44" t="s">
        <v>27</v>
      </c>
      <c r="C203" s="45">
        <f ca="1">IFERROR(__xludf.DUMMYFUNCTION("GOOGLEFINANCE(""bom:""&amp;A203,""price"")"),126.55)</f>
        <v>126.55</v>
      </c>
      <c r="D203" s="46">
        <f ca="1">IFERROR(__xludf.DUMMYFUNCTION("GOOGLEFINANCE(""bom:""&amp;A203,""marketcap"")/10000000"),1191.2922565)</f>
        <v>1191.2922564999999</v>
      </c>
      <c r="P203" s="47">
        <f t="shared" ca="1" si="0"/>
        <v>2.7670245049824221E-3</v>
      </c>
    </row>
    <row r="204" spans="1:42" ht="15.75" customHeight="1" x14ac:dyDescent="0.3">
      <c r="A204" s="43">
        <v>534369</v>
      </c>
      <c r="B204" s="44" t="s">
        <v>29</v>
      </c>
      <c r="C204" s="45">
        <f ca="1">IFERROR(__xludf.DUMMYFUNCTION("GOOGLEFINANCE(""bom:""&amp;A204,""price"")"),117.3)</f>
        <v>117.3</v>
      </c>
      <c r="D204" s="46">
        <f ca="1">IFERROR(__xludf.DUMMYFUNCTION("GOOGLEFINANCE(""bom:""&amp;A204,""marketcap"")/10000000"),780.748254)</f>
        <v>780.74825399999997</v>
      </c>
      <c r="P204" s="47">
        <f t="shared" ca="1" si="0"/>
        <v>1.8134505107817265E-3</v>
      </c>
    </row>
    <row r="205" spans="1:42" ht="15.75" customHeight="1" x14ac:dyDescent="0.3">
      <c r="A205" s="43">
        <v>543953</v>
      </c>
      <c r="B205" s="44" t="s">
        <v>30</v>
      </c>
      <c r="C205" s="45">
        <f ca="1">IFERROR(__xludf.DUMMYFUNCTION("GOOGLEFINANCE(""bom:""&amp;A205,""price"")"),327)</f>
        <v>327</v>
      </c>
      <c r="D205" s="46">
        <f ca="1">IFERROR(__xludf.DUMMYFUNCTION("GOOGLEFINANCE(""bom:""&amp;A205,""marketcap"")/10000000"),809.22363)</f>
        <v>809.22362999999996</v>
      </c>
      <c r="P205" s="47">
        <f t="shared" ca="1" si="0"/>
        <v>1.8795905051875309E-3</v>
      </c>
    </row>
    <row r="206" spans="1:42" ht="15.75" customHeight="1" x14ac:dyDescent="0.3">
      <c r="A206" s="43">
        <v>540125</v>
      </c>
      <c r="B206" s="44" t="s">
        <v>31</v>
      </c>
      <c r="C206" s="45">
        <f ca="1">IFERROR(__xludf.DUMMYFUNCTION("GOOGLEFINANCE(""bom:""&amp;A206,""price"")"),63.88)</f>
        <v>63.88</v>
      </c>
      <c r="D206" s="46">
        <f ca="1">IFERROR(__xludf.DUMMYFUNCTION("GOOGLEFINANCE(""bom:""&amp;A206,""marketcap"")/10000000"),754.020018)</f>
        <v>754.02001800000005</v>
      </c>
      <c r="P206" s="47">
        <f t="shared" ca="1" si="0"/>
        <v>1.7513686130917003E-3</v>
      </c>
    </row>
    <row r="207" spans="1:42" ht="15.75" customHeight="1" x14ac:dyDescent="0.3">
      <c r="A207" s="43">
        <v>544060</v>
      </c>
      <c r="B207" s="44" t="s">
        <v>32</v>
      </c>
      <c r="C207" s="45">
        <f ca="1">IFERROR(__xludf.DUMMYFUNCTION("GOOGLEFINANCE(""bom:""&amp;A207,""price"")"),161.75)</f>
        <v>161.75</v>
      </c>
      <c r="D207" s="46">
        <f ca="1">IFERROR(__xludf.DUMMYFUNCTION("GOOGLEFINANCE(""bom:""&amp;A207,""marketcap"")/10000000"),640)</f>
        <v>640</v>
      </c>
      <c r="P207" s="47">
        <f t="shared" ca="1" si="0"/>
        <v>1.4865333620077553E-3</v>
      </c>
    </row>
    <row r="208" spans="1:42" ht="15.75" customHeight="1" x14ac:dyDescent="0.3">
      <c r="A208" s="43">
        <v>543709</v>
      </c>
      <c r="B208" s="44" t="s">
        <v>33</v>
      </c>
      <c r="C208" s="45">
        <f ca="1">IFERROR(__xludf.DUMMYFUNCTION("GOOGLEFINANCE(""bom:""&amp;A208,""price"")"),557.7)</f>
        <v>557.70000000000005</v>
      </c>
      <c r="D208" s="46">
        <f ca="1">IFERROR(__xludf.DUMMYFUNCTION("GOOGLEFINANCE(""bom:""&amp;A208,""marketcap"")/10000000"),536.953739)</f>
        <v>536.95373900000004</v>
      </c>
      <c r="P208" s="47">
        <f t="shared" ca="1" si="0"/>
        <v>1.2471869482473513E-3</v>
      </c>
    </row>
    <row r="209" spans="1:16" ht="15.75" customHeight="1" x14ac:dyDescent="0.3">
      <c r="A209" s="43">
        <v>539518</v>
      </c>
      <c r="B209" s="44" t="s">
        <v>76</v>
      </c>
      <c r="C209" s="45">
        <f ca="1">IFERROR(__xludf.DUMMYFUNCTION("GOOGLEFINANCE(""bom:""&amp;A209,""price"")"),172.95)</f>
        <v>172.95</v>
      </c>
      <c r="D209" s="46">
        <f ca="1">IFERROR(__xludf.DUMMYFUNCTION("GOOGLEFINANCE(""bom:""&amp;A209,""marketcap"")/10000000"),380.8685808)</f>
        <v>380.86858080000002</v>
      </c>
      <c r="P209" s="47">
        <f t="shared" ca="1" si="0"/>
        <v>8.8464664359335385E-4</v>
      </c>
    </row>
    <row r="210" spans="1:16" ht="15.75" customHeight="1" x14ac:dyDescent="0.3">
      <c r="A210" s="43">
        <v>542579</v>
      </c>
      <c r="B210" s="44" t="s">
        <v>77</v>
      </c>
      <c r="C210" s="45">
        <f ca="1">IFERROR(__xludf.DUMMYFUNCTION("GOOGLEFINANCE(""bom:""&amp;A210,""price"")"),12.99)</f>
        <v>12.99</v>
      </c>
      <c r="D210" s="46">
        <f ca="1">IFERROR(__xludf.DUMMYFUNCTION("GOOGLEFINANCE(""bom:""&amp;A210,""marketcap"")/10000000"),324.7316783)</f>
        <v>324.7316783</v>
      </c>
      <c r="P210" s="47">
        <f t="shared" ca="1" si="0"/>
        <v>7.5425698983393728E-4</v>
      </c>
    </row>
    <row r="211" spans="1:16" ht="15.75" customHeight="1" x14ac:dyDescent="0.3">
      <c r="A211" s="43">
        <v>542020</v>
      </c>
      <c r="B211" s="44" t="s">
        <v>78</v>
      </c>
      <c r="C211" s="45">
        <f ca="1">IFERROR(__xludf.DUMMYFUNCTION("GOOGLEFINANCE(""bom:""&amp;A211,""price"")"),23.76)</f>
        <v>23.76</v>
      </c>
      <c r="D211" s="46">
        <f ca="1">IFERROR(__xludf.DUMMYFUNCTION("GOOGLEFINANCE(""bom:""&amp;A211,""marketcap"")/10000000"),247.1781383)</f>
        <v>247.1781383</v>
      </c>
      <c r="P211" s="47">
        <f t="shared" ca="1" si="0"/>
        <v>5.7412273272174519E-4</v>
      </c>
    </row>
    <row r="212" spans="1:16" ht="15.75" customHeight="1" x14ac:dyDescent="0.3">
      <c r="A212" s="43">
        <v>530525</v>
      </c>
      <c r="B212" s="44" t="s">
        <v>79</v>
      </c>
      <c r="C212" s="45">
        <f ca="1">IFERROR(__xludf.DUMMYFUNCTION("GOOGLEFINANCE(""bom:""&amp;A212,""price"")"),65.66)</f>
        <v>65.66</v>
      </c>
      <c r="D212" s="46">
        <f ca="1">IFERROR(__xludf.DUMMYFUNCTION("GOOGLEFINANCE(""bom:""&amp;A212,""marketcap"")/10000000"),204.3942729)</f>
        <v>204.3942729</v>
      </c>
      <c r="P212" s="47">
        <f t="shared" ca="1" si="0"/>
        <v>4.7474829010807443E-4</v>
      </c>
    </row>
    <row r="213" spans="1:16" ht="15.75" customHeight="1" x14ac:dyDescent="0.3">
      <c r="A213" s="43">
        <v>506184</v>
      </c>
      <c r="B213" s="44" t="s">
        <v>80</v>
      </c>
      <c r="C213" s="45">
        <f ca="1">IFERROR(__xludf.DUMMYFUNCTION("GOOGLEFINANCE(""bom:""&amp;A213,""price"")"),4.48)</f>
        <v>4.4800000000000004</v>
      </c>
      <c r="D213" s="46">
        <f ca="1">IFERROR(__xludf.DUMMYFUNCTION("GOOGLEFINANCE(""bom:""&amp;A213,""marketcap"")/10000000"),87.0619218)</f>
        <v>87.061921799999993</v>
      </c>
      <c r="P213" s="47">
        <f t="shared" ca="1" si="0"/>
        <v>2.0221945518157856E-4</v>
      </c>
    </row>
    <row r="214" spans="1:16" ht="15.75" customHeight="1" x14ac:dyDescent="0.3">
      <c r="A214" s="43">
        <v>512099</v>
      </c>
      <c r="B214" s="44" t="s">
        <v>81</v>
      </c>
      <c r="C214" s="45">
        <f ca="1">IFERROR(__xludf.DUMMYFUNCTION("GOOGLEFINANCE(""bom:""&amp;A214,""price"")"),963.9)</f>
        <v>963.9</v>
      </c>
      <c r="D214" s="46">
        <f ca="1">IFERROR(__xludf.DUMMYFUNCTION("GOOGLEFINANCE(""bom:""&amp;A214,""marketcap"")/10000000"),175.3695606)</f>
        <v>175.3695606</v>
      </c>
      <c r="P214" s="47">
        <f t="shared" ca="1" si="0"/>
        <v>4.0733234767584498E-4</v>
      </c>
    </row>
    <row r="215" spans="1:16" ht="15.75" customHeight="1" x14ac:dyDescent="0.3">
      <c r="A215" s="43">
        <v>523676</v>
      </c>
      <c r="B215" s="44" t="s">
        <v>82</v>
      </c>
      <c r="C215" s="45">
        <f ca="1">IFERROR(__xludf.DUMMYFUNCTION("GOOGLEFINANCE(""bom:""&amp;A215,""price"")"),171.95)</f>
        <v>171.95</v>
      </c>
      <c r="D215" s="46">
        <f ca="1">IFERROR(__xludf.DUMMYFUNCTION("GOOGLEFINANCE(""bom:""&amp;A215,""marketcap"")/10000000"),119.7473878)</f>
        <v>119.7473878</v>
      </c>
      <c r="P215" s="47">
        <f t="shared" ca="1" si="0"/>
        <v>2.7813826090309447E-4</v>
      </c>
    </row>
    <row r="216" spans="1:16" ht="15.75" customHeight="1" x14ac:dyDescent="0.3">
      <c r="A216" s="43">
        <v>519455</v>
      </c>
      <c r="B216" s="44" t="s">
        <v>83</v>
      </c>
      <c r="C216" s="45">
        <f ca="1">IFERROR(__xludf.DUMMYFUNCTION("GOOGLEFINANCE(""bom:""&amp;A216,""price"")"),69.5)</f>
        <v>69.5</v>
      </c>
      <c r="D216" s="46">
        <f ca="1">IFERROR(__xludf.DUMMYFUNCTION("GOOGLEFINANCE(""bom:""&amp;A216,""marketcap"")/10000000"),147.043235)</f>
        <v>147.04323500000001</v>
      </c>
      <c r="P216" s="47">
        <f t="shared" ca="1" si="0"/>
        <v>3.415385538828851E-4</v>
      </c>
    </row>
    <row r="217" spans="1:16" ht="15.75" customHeight="1" x14ac:dyDescent="0.3">
      <c r="A217" s="43">
        <v>539401</v>
      </c>
      <c r="B217" s="44" t="s">
        <v>84</v>
      </c>
      <c r="C217" s="45">
        <f ca="1">IFERROR(__xludf.DUMMYFUNCTION("GOOGLEFINANCE(""bom:""&amp;A217,""price"")"),226.95)</f>
        <v>226.95</v>
      </c>
      <c r="D217" s="46">
        <f ca="1">IFERROR(__xludf.DUMMYFUNCTION("GOOGLEFINANCE(""bom:""&amp;A217,""marketcap"")/10000000"),97.97432)</f>
        <v>97.974320000000006</v>
      </c>
      <c r="P217" s="47">
        <f t="shared" ca="1" si="0"/>
        <v>2.27565773906287E-4</v>
      </c>
    </row>
    <row r="218" spans="1:16" ht="15.75" customHeight="1" x14ac:dyDescent="0.3">
      <c r="A218" s="43">
        <v>542850</v>
      </c>
      <c r="B218" s="44" t="s">
        <v>85</v>
      </c>
      <c r="C218" s="45">
        <f ca="1">IFERROR(__xludf.DUMMYFUNCTION("GOOGLEFINANCE(""bom:""&amp;A218,""price"")"),61.99)</f>
        <v>61.99</v>
      </c>
      <c r="D218" s="46">
        <f ca="1">IFERROR(__xludf.DUMMYFUNCTION("GOOGLEFINANCE(""bom:""&amp;A218,""marketcap"")/10000000"),85.6631774)</f>
        <v>85.663177399999995</v>
      </c>
      <c r="P218" s="47">
        <f t="shared" ca="1" si="0"/>
        <v>1.9897057984482618E-4</v>
      </c>
    </row>
    <row r="219" spans="1:16" ht="15.75" customHeight="1" x14ac:dyDescent="0.3">
      <c r="A219" s="43">
        <v>543848</v>
      </c>
      <c r="B219" s="44" t="s">
        <v>86</v>
      </c>
      <c r="C219" s="45">
        <f ca="1">IFERROR(__xludf.DUMMYFUNCTION("GOOGLEFINANCE(""bom:""&amp;A219,""price"")"),112.7)</f>
        <v>112.7</v>
      </c>
      <c r="D219" s="46">
        <f ca="1">IFERROR(__xludf.DUMMYFUNCTION("GOOGLEFINANCE(""bom:""&amp;A219,""marketcap"")/10000000"),93.215734)</f>
        <v>93.215733999999998</v>
      </c>
      <c r="P219" s="47">
        <f t="shared" ca="1" si="0"/>
        <v>2.1651296633600097E-4</v>
      </c>
    </row>
    <row r="220" spans="1:16" ht="15.75" customHeight="1" x14ac:dyDescent="0.3">
      <c r="A220" s="43">
        <v>540953</v>
      </c>
      <c r="B220" s="44" t="s">
        <v>87</v>
      </c>
      <c r="C220" s="45">
        <f ca="1">IFERROR(__xludf.DUMMYFUNCTION("GOOGLEFINANCE(""bom:""&amp;A220,""price"")"),6.44)</f>
        <v>6.44</v>
      </c>
      <c r="D220" s="46">
        <f ca="1">IFERROR(__xludf.DUMMYFUNCTION("GOOGLEFINANCE(""bom:""&amp;A220,""marketcap"")/10000000"),81.3887851)</f>
        <v>81.388785100000007</v>
      </c>
      <c r="P220" s="47">
        <f t="shared" ca="1" si="0"/>
        <v>1.8904241303817142E-4</v>
      </c>
    </row>
    <row r="221" spans="1:16" ht="15.75" customHeight="1" x14ac:dyDescent="0.3">
      <c r="A221" s="43">
        <v>526365</v>
      </c>
      <c r="B221" s="44" t="s">
        <v>88</v>
      </c>
      <c r="C221" s="45">
        <f ca="1">IFERROR(__xludf.DUMMYFUNCTION("GOOGLEFINANCE(""bom:""&amp;A221,""price"")"),37.1)</f>
        <v>37.1</v>
      </c>
      <c r="D221" s="46">
        <f ca="1">IFERROR(__xludf.DUMMYFUNCTION("GOOGLEFINANCE(""bom:""&amp;A221,""marketcap"")/10000000"),77.4528877)</f>
        <v>77.452887700000005</v>
      </c>
      <c r="P221" s="47">
        <f t="shared" ca="1" si="0"/>
        <v>1.7990047117170333E-4</v>
      </c>
    </row>
    <row r="222" spans="1:16" ht="15.75" customHeight="1" x14ac:dyDescent="0.3">
      <c r="A222" s="43">
        <v>526849</v>
      </c>
      <c r="B222" s="44" t="s">
        <v>89</v>
      </c>
      <c r="C222" s="45">
        <f ca="1">IFERROR(__xludf.DUMMYFUNCTION("GOOGLEFINANCE(""bom:""&amp;A222,""price"")"),100.75)</f>
        <v>100.75</v>
      </c>
      <c r="D222" s="46">
        <f ca="1">IFERROR(__xludf.DUMMYFUNCTION("GOOGLEFINANCE(""bom:""&amp;A222,""marketcap"")/10000000"),66.694021)</f>
        <v>66.694021000000006</v>
      </c>
      <c r="P222" s="47">
        <f t="shared" ca="1" si="0"/>
        <v>1.549107613483529E-4</v>
      </c>
    </row>
    <row r="223" spans="1:16" ht="15.75" customHeight="1" x14ac:dyDescent="0.3">
      <c r="A223" s="43">
        <v>540252</v>
      </c>
      <c r="B223" s="44" t="s">
        <v>90</v>
      </c>
      <c r="C223" s="45">
        <f ca="1">IFERROR(__xludf.DUMMYFUNCTION("GOOGLEFINANCE(""bom:""&amp;A223,""price"")"),9.57)</f>
        <v>9.57</v>
      </c>
      <c r="D223" s="46">
        <f ca="1">IFERROR(__xludf.DUMMYFUNCTION("GOOGLEFINANCE(""bom:""&amp;A223,""marketcap"")/10000000"),71.55624)</f>
        <v>71.556240000000003</v>
      </c>
      <c r="P223" s="47">
        <f t="shared" ca="1" si="0"/>
        <v>1.6620427815599036E-4</v>
      </c>
    </row>
    <row r="224" spans="1:16" ht="15.75" customHeight="1" x14ac:dyDescent="0.3">
      <c r="A224" s="43">
        <v>540715</v>
      </c>
      <c r="B224" s="44" t="s">
        <v>91</v>
      </c>
      <c r="C224" s="45">
        <f ca="1">IFERROR(__xludf.DUMMYFUNCTION("GOOGLEFINANCE(""bom:""&amp;A224,""price"")"),31.28)</f>
        <v>31.28</v>
      </c>
      <c r="D224" s="46">
        <f ca="1">IFERROR(__xludf.DUMMYFUNCTION("GOOGLEFINANCE(""bom:""&amp;A224,""marketcap"")/10000000"),39.5497447)</f>
        <v>39.549744699999998</v>
      </c>
      <c r="P224" s="47">
        <f t="shared" ca="1" si="0"/>
        <v>9.1862523367874059E-5</v>
      </c>
    </row>
    <row r="225" spans="1:16" ht="15.75" customHeight="1" x14ac:dyDescent="0.3">
      <c r="A225" s="43">
        <v>531119</v>
      </c>
      <c r="B225" s="44" t="s">
        <v>92</v>
      </c>
      <c r="C225" s="45">
        <f ca="1">IFERROR(__xludf.DUMMYFUNCTION("GOOGLEFINANCE(""bom:""&amp;A225,""price"")"),277.2)</f>
        <v>277.2</v>
      </c>
      <c r="D225" s="46">
        <f ca="1">IFERROR(__xludf.DUMMYFUNCTION("GOOGLEFINANCE(""bom:""&amp;A225,""marketcap"")/10000000"),92.862004)</f>
        <v>92.862003999999999</v>
      </c>
      <c r="P225" s="47">
        <f t="shared" ca="1" si="0"/>
        <v>2.1569135470140253E-4</v>
      </c>
    </row>
    <row r="226" spans="1:16" ht="15.75" customHeight="1" x14ac:dyDescent="0.3">
      <c r="A226" s="43">
        <v>540936</v>
      </c>
      <c r="B226" s="44" t="s">
        <v>93</v>
      </c>
      <c r="C226" s="45">
        <f ca="1">IFERROR(__xludf.DUMMYFUNCTION("GOOGLEFINANCE(""bom:""&amp;A226,""price"")"),10.3)</f>
        <v>10.3</v>
      </c>
      <c r="D226" s="46">
        <f ca="1">IFERROR(__xludf.DUMMYFUNCTION("GOOGLEFINANCE(""bom:""&amp;A226,""marketcap"")/10000000"),56.1242272)</f>
        <v>56.1242272</v>
      </c>
      <c r="P226" s="47">
        <f t="shared" ca="1" si="0"/>
        <v>1.303602127339111E-4</v>
      </c>
    </row>
    <row r="227" spans="1:16" ht="15.75" customHeight="1" x14ac:dyDescent="0.3">
      <c r="A227" s="43">
        <v>543518</v>
      </c>
      <c r="B227" s="44" t="s">
        <v>94</v>
      </c>
      <c r="C227" s="45">
        <f ca="1">IFERROR(__xludf.DUMMYFUNCTION("GOOGLEFINANCE(""bom:""&amp;A227,""price"")"),49.01)</f>
        <v>49.01</v>
      </c>
      <c r="D227" s="46">
        <f ca="1">IFERROR(__xludf.DUMMYFUNCTION("GOOGLEFINANCE(""bom:""&amp;A227,""marketcap"")/10000000"),49.98648)</f>
        <v>49.98648</v>
      </c>
      <c r="P227" s="47">
        <f t="shared" ca="1" si="0"/>
        <v>1.1610401588958347E-4</v>
      </c>
    </row>
    <row r="228" spans="1:16" ht="15.75" customHeight="1" x14ac:dyDescent="0.3">
      <c r="A228" s="43">
        <v>539220</v>
      </c>
      <c r="B228" s="44" t="s">
        <v>95</v>
      </c>
      <c r="C228" s="45">
        <f ca="1">IFERROR(__xludf.DUMMYFUNCTION("GOOGLEFINANCE(""bom:""&amp;A228,""price"")"),34.52)</f>
        <v>34.520000000000003</v>
      </c>
      <c r="D228" s="46">
        <f ca="1">IFERROR(__xludf.DUMMYFUNCTION("GOOGLEFINANCE(""bom:""&amp;A228,""marketcap"")/10000000"),49.8814006)</f>
        <v>49.881400599999999</v>
      </c>
      <c r="P228" s="47">
        <f t="shared" ca="1" si="0"/>
        <v>1.1585994708683385E-4</v>
      </c>
    </row>
    <row r="229" spans="1:16" ht="15.75" customHeight="1" x14ac:dyDescent="0.3">
      <c r="A229" s="43">
        <v>541338</v>
      </c>
      <c r="B229" s="44" t="s">
        <v>96</v>
      </c>
      <c r="C229" s="45">
        <f ca="1">IFERROR(__xludf.DUMMYFUNCTION("GOOGLEFINANCE(""bom:""&amp;A229,""price"")"),49.31)</f>
        <v>49.31</v>
      </c>
      <c r="D229" s="46">
        <f ca="1">IFERROR(__xludf.DUMMYFUNCTION("GOOGLEFINANCE(""bom:""&amp;A229,""marketcap"")/10000000"),50.8578154)</f>
        <v>50.8578154</v>
      </c>
      <c r="P229" s="47">
        <f t="shared" ca="1" si="0"/>
        <v>1.1812787392333093E-4</v>
      </c>
    </row>
    <row r="230" spans="1:16" ht="15.75" customHeight="1" x14ac:dyDescent="0.3">
      <c r="A230" s="43">
        <v>512587</v>
      </c>
      <c r="B230" s="44" t="s">
        <v>97</v>
      </c>
      <c r="C230" s="45">
        <f ca="1">IFERROR(__xludf.DUMMYFUNCTION("GOOGLEFINANCE(""bom:""&amp;A230,""price"")"),81.2)</f>
        <v>81.2</v>
      </c>
      <c r="D230" s="46">
        <f ca="1">IFERROR(__xludf.DUMMYFUNCTION("GOOGLEFINANCE(""bom:""&amp;A230,""marketcap"")/10000000"),42.0387162)</f>
        <v>42.038716200000003</v>
      </c>
      <c r="P230" s="47">
        <f t="shared" ca="1" si="0"/>
        <v>9.7643678323868592E-5</v>
      </c>
    </row>
    <row r="231" spans="1:16" ht="15.75" customHeight="1" x14ac:dyDescent="0.3">
      <c r="A231" s="43">
        <v>539559</v>
      </c>
      <c r="B231" s="44" t="s">
        <v>98</v>
      </c>
      <c r="C231" s="45">
        <f ca="1">IFERROR(__xludf.DUMMYFUNCTION("GOOGLEFINANCE(""bom:""&amp;A231,""price"")"),6.45)</f>
        <v>6.45</v>
      </c>
      <c r="D231" s="46">
        <f ca="1">IFERROR(__xludf.DUMMYFUNCTION("GOOGLEFINANCE(""bom:""&amp;A231,""marketcap"")/10000000"),30.992249)</f>
        <v>30.992249000000001</v>
      </c>
      <c r="P231" s="47">
        <f t="shared" ca="1" si="0"/>
        <v>7.1985956409611714E-5</v>
      </c>
    </row>
    <row r="232" spans="1:16" ht="15.75" customHeight="1" x14ac:dyDescent="0.3">
      <c r="A232" s="43">
        <v>540545</v>
      </c>
      <c r="B232" s="44" t="s">
        <v>99</v>
      </c>
      <c r="C232" s="45">
        <f ca="1">IFERROR(__xludf.DUMMYFUNCTION("GOOGLEFINANCE(""bom:""&amp;A232,""price"")"),18.37)</f>
        <v>18.37</v>
      </c>
      <c r="D232" s="46">
        <f ca="1">IFERROR(__xludf.DUMMYFUNCTION("GOOGLEFINANCE(""bom:""&amp;A232,""marketcap"")/10000000"),27.6275811)</f>
        <v>27.6275811</v>
      </c>
      <c r="P232" s="47">
        <f t="shared" ca="1" si="0"/>
        <v>6.4170814088632691E-5</v>
      </c>
    </row>
    <row r="233" spans="1:16" ht="15.75" customHeight="1" x14ac:dyDescent="0.3">
      <c r="A233" s="43">
        <v>533189</v>
      </c>
      <c r="B233" s="44" t="s">
        <v>100</v>
      </c>
      <c r="C233" s="45">
        <f ca="1">IFERROR(__xludf.DUMMYFUNCTION("GOOGLEFINANCE(""bom:""&amp;A233,""price"")"),0.93)</f>
        <v>0.93</v>
      </c>
      <c r="D233" s="46">
        <f ca="1">IFERROR(__xludf.DUMMYFUNCTION("GOOGLEFINANCE(""bom:""&amp;A233,""marketcap"")/10000000"),30.1149996)</f>
        <v>30.114999600000001</v>
      </c>
      <c r="P233" s="47">
        <f t="shared" ca="1" si="0"/>
        <v>6.9948361878515952E-5</v>
      </c>
    </row>
    <row r="234" spans="1:16" ht="15.75" customHeight="1" x14ac:dyDescent="0.3">
      <c r="A234" s="43">
        <v>543171</v>
      </c>
      <c r="B234" s="44" t="s">
        <v>101</v>
      </c>
      <c r="C234" s="45">
        <f ca="1">IFERROR(__xludf.DUMMYFUNCTION("GOOGLEFINANCE(""bom:""&amp;A234,""price"")"),3.92)</f>
        <v>3.92</v>
      </c>
      <c r="D234" s="46">
        <f ca="1">IFERROR(__xludf.DUMMYFUNCTION("GOOGLEFINANCE(""bom:""&amp;A234,""marketcap"")/10000000"),19.7750205)</f>
        <v>19.7750205</v>
      </c>
      <c r="P234" s="47">
        <f t="shared" ca="1" si="0"/>
        <v>4.5931605793183254E-5</v>
      </c>
    </row>
    <row r="235" spans="1:16" ht="15.75" customHeight="1" x14ac:dyDescent="0.3">
      <c r="A235" s="43">
        <v>512595</v>
      </c>
      <c r="B235" s="44" t="s">
        <v>102</v>
      </c>
      <c r="C235" s="45">
        <f ca="1">IFERROR(__xludf.DUMMYFUNCTION("GOOGLEFINANCE(""bom:""&amp;A235,""price"")"),658.3)</f>
        <v>658.3</v>
      </c>
      <c r="D235" s="46">
        <f ca="1">IFERROR(__xludf.DUMMYFUNCTION("GOOGLEFINANCE(""bom:""&amp;A235,""marketcap"")/10000000"),32.9841208)</f>
        <v>32.984120799999999</v>
      </c>
      <c r="P235" s="47">
        <f t="shared" ca="1" si="0"/>
        <v>7.661249372764677E-5</v>
      </c>
    </row>
    <row r="236" spans="1:16" ht="15.75" customHeight="1" x14ac:dyDescent="0.3">
      <c r="A236" s="43">
        <v>543545</v>
      </c>
      <c r="B236" s="44" t="s">
        <v>103</v>
      </c>
      <c r="C236" s="45">
        <f ca="1">IFERROR(__xludf.DUMMYFUNCTION("GOOGLEFINANCE(""bom:""&amp;A236,""price"")"),1.43)</f>
        <v>1.43</v>
      </c>
      <c r="D236" s="46">
        <f ca="1">IFERROR(__xludf.DUMMYFUNCTION("GOOGLEFINANCE(""bom:""&amp;A236,""marketcap"")/10000000"),18.7405068)</f>
        <v>18.740506799999999</v>
      </c>
      <c r="P236" s="47">
        <f t="shared" ca="1" si="0"/>
        <v>4.3528732154895624E-5</v>
      </c>
    </row>
    <row r="237" spans="1:16" ht="15.75" customHeight="1" x14ac:dyDescent="0.3">
      <c r="A237" s="43">
        <v>521210</v>
      </c>
      <c r="B237" s="44" t="s">
        <v>104</v>
      </c>
      <c r="C237" s="45">
        <f ca="1">IFERROR(__xludf.DUMMYFUNCTION("GOOGLEFINANCE(""bom:""&amp;A237,""price"")"),15.68)</f>
        <v>15.68</v>
      </c>
      <c r="D237" s="46">
        <f ca="1">IFERROR(__xludf.DUMMYFUNCTION("GOOGLEFINANCE(""bom:""&amp;A237,""marketcap"")/10000000"),18.3473251)</f>
        <v>18.347325099999999</v>
      </c>
      <c r="P237" s="47">
        <f t="shared" ca="1" si="0"/>
        <v>4.2615485726175431E-5</v>
      </c>
    </row>
    <row r="238" spans="1:16" ht="15.75" customHeight="1" x14ac:dyDescent="0.3">
      <c r="A238" s="43">
        <v>542034</v>
      </c>
      <c r="B238" s="44" t="s">
        <v>105</v>
      </c>
      <c r="C238" s="45">
        <f ca="1">IFERROR(__xludf.DUMMYFUNCTION("GOOGLEFINANCE(""bom:""&amp;A238,""price"")"),19.4)</f>
        <v>19.399999999999999</v>
      </c>
      <c r="D238" s="46">
        <f ca="1">IFERROR(__xludf.DUMMYFUNCTION("GOOGLEFINANCE(""bom:""&amp;A238,""marketcap"")/10000000"),19.4727496)</f>
        <v>19.4727496</v>
      </c>
      <c r="P238" s="47">
        <f t="shared" ca="1" si="0"/>
        <v>4.5229518641286212E-5</v>
      </c>
    </row>
    <row r="239" spans="1:16" ht="15.75" customHeight="1" x14ac:dyDescent="0.3">
      <c r="A239" s="43">
        <v>534532</v>
      </c>
      <c r="B239" s="44" t="s">
        <v>106</v>
      </c>
      <c r="C239" s="45">
        <f ca="1">IFERROR(__xludf.DUMMYFUNCTION("GOOGLEFINANCE(""bom:""&amp;A239,""price"")"),7.06)</f>
        <v>7.06</v>
      </c>
      <c r="D239" s="46">
        <f ca="1">IFERROR(__xludf.DUMMYFUNCTION("GOOGLEFINANCE(""bom:""&amp;A239,""marketcap"")/10000000"),20.7862205)</f>
        <v>20.786220499999999</v>
      </c>
      <c r="P239" s="47">
        <f t="shared" ca="1" si="0"/>
        <v>4.8280328505155504E-5</v>
      </c>
    </row>
    <row r="240" spans="1:16" ht="15.75" customHeight="1" x14ac:dyDescent="0.3">
      <c r="A240" s="43">
        <v>531626</v>
      </c>
      <c r="B240" s="44" t="s">
        <v>107</v>
      </c>
      <c r="C240" s="45">
        <f ca="1">IFERROR(__xludf.DUMMYFUNCTION("GOOGLEFINANCE(""bom:""&amp;A240,""price"")"),4.39)</f>
        <v>4.3899999999999997</v>
      </c>
      <c r="D240" s="46">
        <f ca="1">IFERROR(__xludf.DUMMYFUNCTION("GOOGLEFINANCE(""bom:""&amp;A240,""marketcap"")/10000000"),18.1377234)</f>
        <v>18.137723399999999</v>
      </c>
      <c r="P240" s="47">
        <f t="shared" ca="1" si="0"/>
        <v>4.212864210151365E-5</v>
      </c>
    </row>
    <row r="241" spans="1:42" ht="15.75" customHeight="1" x14ac:dyDescent="0.3">
      <c r="A241" s="43">
        <v>539884</v>
      </c>
      <c r="B241" s="44" t="s">
        <v>108</v>
      </c>
      <c r="C241" s="45">
        <f ca="1">IFERROR(__xludf.DUMMYFUNCTION("GOOGLEFINANCE(""bom:""&amp;A241,""price"")"),4.46)</f>
        <v>4.46</v>
      </c>
      <c r="D241" s="46">
        <f ca="1">IFERROR(__xludf.DUMMYFUNCTION("GOOGLEFINANCE(""bom:""&amp;A241,""marketcap"")/10000000"),22.3130858)</f>
        <v>22.3130858</v>
      </c>
      <c r="P241" s="47">
        <f t="shared" ca="1" si="0"/>
        <v>5.1826791329752351E-5</v>
      </c>
    </row>
    <row r="242" spans="1:42" ht="15.75" customHeight="1" x14ac:dyDescent="0.3">
      <c r="A242" s="43">
        <v>540269</v>
      </c>
      <c r="B242" s="44" t="s">
        <v>109</v>
      </c>
      <c r="C242" s="45">
        <f ca="1">IFERROR(__xludf.DUMMYFUNCTION("GOOGLEFINANCE(""bom:""&amp;A242,""price"")"),13.2)</f>
        <v>13.2</v>
      </c>
      <c r="D242" s="46">
        <f ca="1">IFERROR(__xludf.DUMMYFUNCTION("GOOGLEFINANCE(""bom:""&amp;A242,""marketcap"")/10000000"),16.3588389)</f>
        <v>16.358838899999999</v>
      </c>
      <c r="P242" s="47">
        <f t="shared" ca="1" si="0"/>
        <v>3.799681216962539E-5</v>
      </c>
    </row>
    <row r="243" spans="1:42" ht="15.75" customHeight="1" x14ac:dyDescent="0.3">
      <c r="A243" s="43">
        <v>530675</v>
      </c>
      <c r="B243" s="44" t="s">
        <v>110</v>
      </c>
      <c r="C243" s="45">
        <f ca="1">IFERROR(__xludf.DUMMYFUNCTION("GOOGLEFINANCE(""bom:""&amp;A243,""price"")"),46.87)</f>
        <v>46.87</v>
      </c>
      <c r="D243" s="46">
        <f ca="1">IFERROR(__xludf.DUMMYFUNCTION("GOOGLEFINANCE(""bom:""&amp;A243,""marketcap"")/10000000"),15.7614385)</f>
        <v>15.761438500000001</v>
      </c>
      <c r="P243" s="47">
        <f t="shared" ca="1" si="0"/>
        <v>3.6609225255442928E-5</v>
      </c>
    </row>
    <row r="244" spans="1:42" ht="15.75" customHeight="1" x14ac:dyDescent="0.3">
      <c r="A244" s="43">
        <v>540148</v>
      </c>
      <c r="B244" s="44" t="s">
        <v>111</v>
      </c>
      <c r="C244" s="45">
        <f ca="1">IFERROR(__xludf.DUMMYFUNCTION("GOOGLEFINANCE(""bom:""&amp;A244,""price"")"),17.5)</f>
        <v>17.5</v>
      </c>
      <c r="D244" s="46">
        <f ca="1">IFERROR(__xludf.DUMMYFUNCTION("GOOGLEFINANCE(""bom:""&amp;A244,""marketcap"")/10000000"),8.0507)</f>
        <v>8.0507000000000009</v>
      </c>
      <c r="P244" s="47">
        <f t="shared" ca="1" si="0"/>
        <v>1.8699428339868496E-5</v>
      </c>
    </row>
    <row r="245" spans="1:42" ht="15.75" customHeight="1" x14ac:dyDescent="0.3">
      <c r="A245" s="43">
        <v>526115</v>
      </c>
      <c r="B245" s="44" t="s">
        <v>112</v>
      </c>
      <c r="C245" s="45">
        <f ca="1">IFERROR(__xludf.DUMMYFUNCTION("GOOGLEFINANCE(""bom:""&amp;A245,""price"")"),4.52)</f>
        <v>4.5199999999999996</v>
      </c>
      <c r="D245" s="46">
        <f ca="1">IFERROR(__xludf.DUMMYFUNCTION("GOOGLEFINANCE(""bom:""&amp;A245,""marketcap"")/10000000"),3.7222199)</f>
        <v>3.7222198999999998</v>
      </c>
      <c r="P245" s="47">
        <f t="shared" ca="1" si="0"/>
        <v>8.6456313469987042E-6</v>
      </c>
    </row>
    <row r="246" spans="1:42" ht="13.8" x14ac:dyDescent="0.3">
      <c r="A246" s="45"/>
      <c r="B246" s="51"/>
      <c r="C246" s="51"/>
      <c r="D246" s="51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47"/>
      <c r="Q246" s="52"/>
      <c r="R246" s="52"/>
      <c r="S246" s="52"/>
      <c r="T246" s="52"/>
      <c r="U246" s="52"/>
      <c r="V246" s="52"/>
      <c r="W246" s="52"/>
      <c r="X246" s="52"/>
      <c r="Y246" s="52"/>
      <c r="Z246" s="53"/>
      <c r="AA246" s="53"/>
      <c r="AB246" s="53"/>
      <c r="AC246" s="53"/>
      <c r="AD246" s="53"/>
      <c r="AE246" s="54"/>
      <c r="AF246" s="55"/>
      <c r="AG246" s="54"/>
      <c r="AH246" s="55"/>
      <c r="AI246" s="55"/>
      <c r="AJ246" s="53"/>
      <c r="AK246" s="55"/>
      <c r="AL246" s="53"/>
      <c r="AM246" s="52"/>
      <c r="AN246" s="52"/>
      <c r="AO246" s="54"/>
      <c r="AP246" s="52"/>
    </row>
    <row r="247" spans="1:42" ht="13.8" x14ac:dyDescent="0.3">
      <c r="A247" s="45"/>
      <c r="B247" s="51" t="s">
        <v>1</v>
      </c>
      <c r="C247" s="51"/>
      <c r="D247" s="56">
        <f t="shared" ref="D247:L247" ca="1" si="18">SUM(D188:D245)</f>
        <v>430531.87796310021</v>
      </c>
      <c r="E247" s="51">
        <f t="shared" si="18"/>
        <v>65303</v>
      </c>
      <c r="F247" s="51">
        <f t="shared" si="18"/>
        <v>36733</v>
      </c>
      <c r="G247" s="51">
        <f t="shared" si="18"/>
        <v>80286</v>
      </c>
      <c r="H247" s="51">
        <f t="shared" si="18"/>
        <v>40709</v>
      </c>
      <c r="I247" s="51">
        <f t="shared" si="18"/>
        <v>1850</v>
      </c>
      <c r="J247" s="51">
        <f t="shared" si="18"/>
        <v>39574</v>
      </c>
      <c r="K247" s="51">
        <f t="shared" si="18"/>
        <v>13611.13</v>
      </c>
      <c r="L247" s="51">
        <f t="shared" si="18"/>
        <v>13935.89</v>
      </c>
      <c r="M247" s="51">
        <f>MEDIAN(M188:M198)</f>
        <v>10</v>
      </c>
      <c r="N247" s="51"/>
      <c r="O247" s="56">
        <f ca="1">SUM(O188:O245)</f>
        <v>245.37999999999997</v>
      </c>
      <c r="P247" s="47">
        <f ca="1">D247/$D$247</f>
        <v>1</v>
      </c>
      <c r="Q247" s="51">
        <f t="shared" ref="Q247:Y247" si="19">SUM(Q188:Q245)</f>
        <v>230606</v>
      </c>
      <c r="R247" s="51">
        <f t="shared" si="19"/>
        <v>409536</v>
      </c>
      <c r="S247" s="51">
        <f t="shared" si="19"/>
        <v>5928</v>
      </c>
      <c r="T247" s="51">
        <f t="shared" si="19"/>
        <v>251027</v>
      </c>
      <c r="U247" s="51">
        <f t="shared" si="19"/>
        <v>274823</v>
      </c>
      <c r="V247" s="51">
        <f t="shared" si="19"/>
        <v>3846</v>
      </c>
      <c r="W247" s="51">
        <f t="shared" si="19"/>
        <v>4578</v>
      </c>
      <c r="X247" s="51">
        <f t="shared" si="19"/>
        <v>1518</v>
      </c>
      <c r="Y247" s="51">
        <f t="shared" si="19"/>
        <v>402966</v>
      </c>
      <c r="Z247" s="49">
        <f>(T247/U247)-1</f>
        <v>-8.6586639400632381E-2</v>
      </c>
      <c r="AA247" s="57">
        <f>(V247/W247)-1</f>
        <v>-0.15989515072083882</v>
      </c>
      <c r="AB247" s="57">
        <f>(R247/Q247)^(1/5)-1</f>
        <v>0.1217195685849366</v>
      </c>
      <c r="AC247" s="57">
        <f>S247/R247</f>
        <v>1.4474917955930615E-2</v>
      </c>
      <c r="AD247" s="57">
        <f>V247/T247</f>
        <v>1.5321061081078927E-2</v>
      </c>
      <c r="AE247" s="56">
        <f>(R247-Y247+X247)/X247</f>
        <v>5.3280632411067197</v>
      </c>
      <c r="AF247" s="58">
        <f>E247/F247</f>
        <v>1.7777747529469414</v>
      </c>
      <c r="AG247" s="56">
        <f>(L247/R247)*365</f>
        <v>12.420397352125331</v>
      </c>
      <c r="AH247" s="58">
        <f>K247/J247</f>
        <v>0.34394122403598321</v>
      </c>
      <c r="AI247" s="58">
        <f>H247/G247</f>
        <v>0.50704979697581143</v>
      </c>
      <c r="AJ247" s="57">
        <f>S247/J247</f>
        <v>0.14979532015970082</v>
      </c>
      <c r="AK247" s="58">
        <f>S247/I247</f>
        <v>3.2043243243243245</v>
      </c>
      <c r="AL247" s="57">
        <f>S247/G247</f>
        <v>7.3836036170689789E-2</v>
      </c>
      <c r="AM247" s="56">
        <f t="shared" ref="AM247:AN247" ca="1" si="20">MEDIAN(AM188:AM198)</f>
        <v>34.445640473627563</v>
      </c>
      <c r="AN247" s="57">
        <f t="shared" ca="1" si="20"/>
        <v>1.8126463700234192E-2</v>
      </c>
      <c r="AO247" s="56">
        <f>(I247+J247)/(I247/M247)</f>
        <v>223.91351351351352</v>
      </c>
      <c r="AP247" s="56">
        <f ca="1">MEDIAN(AP188:AP198)</f>
        <v>5.05</v>
      </c>
    </row>
  </sheetData>
  <mergeCells count="6">
    <mergeCell ref="B2:M4"/>
    <mergeCell ref="B7:E7"/>
    <mergeCell ref="G7:J7"/>
    <mergeCell ref="L7:O7"/>
    <mergeCell ref="B20:E20"/>
    <mergeCell ref="G20:J20"/>
  </mergeCells>
  <conditionalFormatting sqref="C38:C5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80:C90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11:C121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42:C152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72:C183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D142:D152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73:D183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G38:G48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0:G9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11:G121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42:H152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38:K4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11:K121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142:L152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173:N183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 of Gems,Jewellery And Watc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2024-03-05T10:17:27Z</dcterms:created>
  <dcterms:modified xsi:type="dcterms:W3CDTF">2024-03-05T10:18:08Z</dcterms:modified>
</cp:coreProperties>
</file>