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profi\Desktop\Documents\Annual Result\Q1_fy26\"/>
    </mc:Choice>
  </mc:AlternateContent>
  <xr:revisionPtr revIDLastSave="0" documentId="8_{A9D5B8C4-3CBF-42CA-BD82-227E82E11C12}" xr6:coauthVersionLast="47" xr6:coauthVersionMax="47" xr10:uidLastSave="{00000000-0000-0000-0000-000000000000}"/>
  <bookViews>
    <workbookView xWindow="-108" yWindow="-108" windowWidth="23256" windowHeight="12456" xr2:uid="{BA4683DD-D7CF-4097-9D3F-C338EDF90C4E}"/>
  </bookViews>
  <sheets>
    <sheet name="TITAN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1" i="1" l="1"/>
  <c r="S69" i="1"/>
  <c r="R69" i="1"/>
  <c r="E66" i="1"/>
  <c r="G66" i="1" s="1"/>
  <c r="D66" i="1"/>
  <c r="D63" i="1" s="1"/>
  <c r="C66" i="1"/>
  <c r="C67" i="1" s="1"/>
  <c r="R63" i="1"/>
  <c r="F63" i="1"/>
  <c r="Y62" i="1"/>
  <c r="X62" i="1"/>
  <c r="Z58" i="1" s="1"/>
  <c r="AA60" i="1"/>
  <c r="AA59" i="1"/>
  <c r="T59" i="1"/>
  <c r="S59" i="1"/>
  <c r="R59" i="1"/>
  <c r="T53" i="1" s="1"/>
  <c r="N59" i="1"/>
  <c r="O59" i="1" s="1"/>
  <c r="M59" i="1"/>
  <c r="I59" i="1"/>
  <c r="H59" i="1"/>
  <c r="J59" i="1" s="1"/>
  <c r="E59" i="1"/>
  <c r="D59" i="1"/>
  <c r="C59" i="1"/>
  <c r="AA58" i="1"/>
  <c r="N58" i="1"/>
  <c r="M58" i="1"/>
  <c r="O58" i="1" s="1"/>
  <c r="J58" i="1"/>
  <c r="I58" i="1"/>
  <c r="H58" i="1"/>
  <c r="E58" i="1"/>
  <c r="D58" i="1"/>
  <c r="C58" i="1"/>
  <c r="AA57" i="1"/>
  <c r="U57" i="1"/>
  <c r="T57" i="1"/>
  <c r="O57" i="1"/>
  <c r="J57" i="1"/>
  <c r="E57" i="1"/>
  <c r="AA56" i="1"/>
  <c r="U56" i="1"/>
  <c r="T56" i="1"/>
  <c r="O56" i="1"/>
  <c r="J56" i="1"/>
  <c r="E56" i="1"/>
  <c r="AA55" i="1"/>
  <c r="U55" i="1"/>
  <c r="T55" i="1"/>
  <c r="O55" i="1"/>
  <c r="J55" i="1"/>
  <c r="E55" i="1"/>
  <c r="AA54" i="1"/>
  <c r="U54" i="1"/>
  <c r="O54" i="1"/>
  <c r="J54" i="1"/>
  <c r="E54" i="1"/>
  <c r="AA53" i="1"/>
  <c r="U53" i="1"/>
  <c r="O53" i="1"/>
  <c r="J53" i="1"/>
  <c r="E53" i="1"/>
  <c r="B9" i="1" s="1"/>
  <c r="P50" i="1"/>
  <c r="N48" i="1"/>
  <c r="Q48" i="1" s="1"/>
  <c r="J45" i="1"/>
  <c r="I45" i="1"/>
  <c r="H45" i="1"/>
  <c r="G45" i="1"/>
  <c r="E45" i="1"/>
  <c r="D45" i="1"/>
  <c r="C45" i="1"/>
  <c r="J44" i="1"/>
  <c r="I44" i="1"/>
  <c r="H44" i="1"/>
  <c r="G44" i="1"/>
  <c r="E44" i="1"/>
  <c r="D44" i="1"/>
  <c r="C44" i="1"/>
  <c r="J43" i="1"/>
  <c r="I43" i="1"/>
  <c r="H43" i="1"/>
  <c r="G43" i="1"/>
  <c r="E43" i="1"/>
  <c r="D43" i="1"/>
  <c r="C43" i="1"/>
  <c r="J42" i="1"/>
  <c r="I42" i="1"/>
  <c r="H42" i="1"/>
  <c r="G42" i="1"/>
  <c r="E42" i="1"/>
  <c r="D42" i="1"/>
  <c r="C42" i="1"/>
  <c r="M39" i="1"/>
  <c r="O39" i="1" s="1"/>
  <c r="D39" i="1"/>
  <c r="F39" i="1" s="1"/>
  <c r="C39" i="1"/>
  <c r="M38" i="1"/>
  <c r="M43" i="1" s="1"/>
  <c r="L38" i="1"/>
  <c r="L45" i="1" s="1"/>
  <c r="K38" i="1"/>
  <c r="K45" i="1" s="1"/>
  <c r="F38" i="1"/>
  <c r="F45" i="1" s="1"/>
  <c r="O37" i="1"/>
  <c r="M37" i="1"/>
  <c r="N37" i="1" s="1"/>
  <c r="L37" i="1"/>
  <c r="K37" i="1"/>
  <c r="F37" i="1"/>
  <c r="M36" i="1"/>
  <c r="O36" i="1" s="1"/>
  <c r="L36" i="1"/>
  <c r="K36" i="1"/>
  <c r="F36" i="1"/>
  <c r="O35" i="1"/>
  <c r="N35" i="1"/>
  <c r="M35" i="1"/>
  <c r="L35" i="1"/>
  <c r="K35" i="1"/>
  <c r="F35" i="1"/>
  <c r="M34" i="1"/>
  <c r="O34" i="1" s="1"/>
  <c r="L34" i="1"/>
  <c r="L44" i="1" s="1"/>
  <c r="K34" i="1"/>
  <c r="F34" i="1"/>
  <c r="O33" i="1"/>
  <c r="M33" i="1"/>
  <c r="N33" i="1" s="1"/>
  <c r="L33" i="1"/>
  <c r="K33" i="1"/>
  <c r="K44" i="1" s="1"/>
  <c r="F33" i="1"/>
  <c r="F44" i="1" s="1"/>
  <c r="M32" i="1"/>
  <c r="O32" i="1" s="1"/>
  <c r="L32" i="1"/>
  <c r="K32" i="1"/>
  <c r="F32" i="1"/>
  <c r="O31" i="1"/>
  <c r="N31" i="1"/>
  <c r="M31" i="1"/>
  <c r="L31" i="1"/>
  <c r="K31" i="1"/>
  <c r="F31" i="1"/>
  <c r="M30" i="1"/>
  <c r="O30" i="1" s="1"/>
  <c r="L30" i="1"/>
  <c r="K30" i="1"/>
  <c r="F30" i="1"/>
  <c r="O29" i="1"/>
  <c r="M29" i="1"/>
  <c r="N29" i="1" s="1"/>
  <c r="L29" i="1"/>
  <c r="K29" i="1"/>
  <c r="F29" i="1"/>
  <c r="M28" i="1"/>
  <c r="O28" i="1" s="1"/>
  <c r="L28" i="1"/>
  <c r="K28" i="1"/>
  <c r="F28" i="1"/>
  <c r="O27" i="1"/>
  <c r="N27" i="1"/>
  <c r="M27" i="1"/>
  <c r="L27" i="1"/>
  <c r="K27" i="1"/>
  <c r="F27" i="1"/>
  <c r="M26" i="1"/>
  <c r="O26" i="1" s="1"/>
  <c r="L26" i="1"/>
  <c r="K26" i="1"/>
  <c r="F26" i="1"/>
  <c r="O25" i="1"/>
  <c r="M25" i="1"/>
  <c r="N25" i="1" s="1"/>
  <c r="L25" i="1"/>
  <c r="K25" i="1"/>
  <c r="F25" i="1"/>
  <c r="F43" i="1" s="1"/>
  <c r="M24" i="1"/>
  <c r="O24" i="1" s="1"/>
  <c r="L24" i="1"/>
  <c r="K24" i="1"/>
  <c r="F24" i="1"/>
  <c r="O23" i="1"/>
  <c r="N23" i="1"/>
  <c r="M23" i="1"/>
  <c r="L23" i="1"/>
  <c r="L43" i="1" s="1"/>
  <c r="K23" i="1"/>
  <c r="K43" i="1" s="1"/>
  <c r="F23" i="1"/>
  <c r="M22" i="1"/>
  <c r="O22" i="1" s="1"/>
  <c r="L22" i="1"/>
  <c r="K22" i="1"/>
  <c r="F22" i="1"/>
  <c r="O21" i="1"/>
  <c r="M21" i="1"/>
  <c r="N21" i="1" s="1"/>
  <c r="L21" i="1"/>
  <c r="K21" i="1"/>
  <c r="F21" i="1"/>
  <c r="M20" i="1"/>
  <c r="O20" i="1" s="1"/>
  <c r="L20" i="1"/>
  <c r="K20" i="1"/>
  <c r="F20" i="1"/>
  <c r="O19" i="1"/>
  <c r="N19" i="1"/>
  <c r="M19" i="1"/>
  <c r="L19" i="1"/>
  <c r="K19" i="1"/>
  <c r="F19" i="1"/>
  <c r="M18" i="1"/>
  <c r="O18" i="1" s="1"/>
  <c r="L18" i="1"/>
  <c r="K18" i="1"/>
  <c r="F18" i="1"/>
  <c r="O17" i="1"/>
  <c r="M17" i="1"/>
  <c r="N17" i="1" s="1"/>
  <c r="L17" i="1"/>
  <c r="K17" i="1"/>
  <c r="F17" i="1"/>
  <c r="M16" i="1"/>
  <c r="O16" i="1" s="1"/>
  <c r="L16" i="1"/>
  <c r="K16" i="1"/>
  <c r="F16" i="1"/>
  <c r="O15" i="1"/>
  <c r="N15" i="1"/>
  <c r="M15" i="1"/>
  <c r="L15" i="1"/>
  <c r="K15" i="1"/>
  <c r="F15" i="1"/>
  <c r="M14" i="1"/>
  <c r="O14" i="1" s="1"/>
  <c r="L14" i="1"/>
  <c r="K14" i="1"/>
  <c r="F14" i="1"/>
  <c r="O13" i="1"/>
  <c r="M13" i="1"/>
  <c r="N13" i="1" s="1"/>
  <c r="L13" i="1"/>
  <c r="L42" i="1" s="1"/>
  <c r="K13" i="1"/>
  <c r="K42" i="1" s="1"/>
  <c r="F13" i="1"/>
  <c r="F42" i="1" s="1"/>
  <c r="M12" i="1"/>
  <c r="O12" i="1" s="1"/>
  <c r="L12" i="1"/>
  <c r="K12" i="1"/>
  <c r="F12" i="1"/>
  <c r="O9" i="1"/>
  <c r="N9" i="1"/>
  <c r="H9" i="1"/>
  <c r="G9" i="1"/>
  <c r="F9" i="1"/>
  <c r="D9" i="1"/>
  <c r="C9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G5" i="1"/>
  <c r="F5" i="1"/>
  <c r="E5" i="1"/>
  <c r="C5" i="1"/>
  <c r="I4" i="1"/>
  <c r="H4" i="1"/>
  <c r="G4" i="1"/>
  <c r="I3" i="1"/>
  <c r="I5" i="1" s="1"/>
  <c r="H3" i="1"/>
  <c r="K9" i="1" s="1"/>
  <c r="G3" i="1"/>
  <c r="E9" i="1" s="1"/>
  <c r="D3" i="1"/>
  <c r="D4" i="1" s="1"/>
  <c r="C3" i="1"/>
  <c r="F62" i="1" l="1"/>
  <c r="D67" i="1" s="1"/>
  <c r="C68" i="1"/>
  <c r="L9" i="1"/>
  <c r="Z53" i="1"/>
  <c r="Z60" i="1"/>
  <c r="I66" i="1"/>
  <c r="H66" i="1" s="1"/>
  <c r="D5" i="1"/>
  <c r="M9" i="1"/>
  <c r="N12" i="1"/>
  <c r="N16" i="1"/>
  <c r="N20" i="1"/>
  <c r="N24" i="1"/>
  <c r="N43" i="1" s="1"/>
  <c r="N28" i="1"/>
  <c r="N32" i="1"/>
  <c r="N36" i="1"/>
  <c r="E39" i="1"/>
  <c r="M45" i="1"/>
  <c r="Q50" i="1"/>
  <c r="M42" i="1"/>
  <c r="H5" i="1"/>
  <c r="I9" i="1"/>
  <c r="N14" i="1"/>
  <c r="N42" i="1" s="1"/>
  <c r="N18" i="1"/>
  <c r="N22" i="1"/>
  <c r="N26" i="1"/>
  <c r="N30" i="1"/>
  <c r="N34" i="1"/>
  <c r="N44" i="1" s="1"/>
  <c r="N38" i="1"/>
  <c r="N45" i="1" s="1"/>
  <c r="T54" i="1"/>
  <c r="Z56" i="1"/>
  <c r="U59" i="1"/>
  <c r="Z62" i="1"/>
  <c r="F66" i="1"/>
  <c r="Z57" i="1"/>
  <c r="J9" i="1"/>
  <c r="O38" i="1"/>
  <c r="O45" i="1" s="1"/>
  <c r="N39" i="1"/>
  <c r="R48" i="1"/>
  <c r="R50" i="1" s="1"/>
  <c r="S49" i="1" s="1"/>
  <c r="P9" i="1" s="1"/>
  <c r="Z55" i="1"/>
  <c r="Z59" i="1"/>
  <c r="AA62" i="1"/>
  <c r="M44" i="1"/>
  <c r="Z54" i="1"/>
  <c r="E67" i="1" l="1"/>
  <c r="D68" i="1"/>
  <c r="O44" i="1"/>
  <c r="L66" i="1"/>
  <c r="J66" i="1"/>
  <c r="F67" i="1"/>
  <c r="L39" i="1"/>
  <c r="K39" i="1"/>
  <c r="O43" i="1"/>
  <c r="O42" i="1"/>
  <c r="J67" i="1" l="1"/>
  <c r="F68" i="1"/>
  <c r="L67" i="1"/>
  <c r="K66" i="1"/>
  <c r="M66" i="1" s="1"/>
  <c r="E71" i="1" s="1"/>
  <c r="F71" i="1" s="1"/>
  <c r="I67" i="1"/>
  <c r="E68" i="1"/>
  <c r="G67" i="1"/>
  <c r="H67" i="1" s="1"/>
  <c r="I68" i="1" l="1"/>
  <c r="G68" i="1"/>
  <c r="H68" i="1" s="1"/>
  <c r="J68" i="1"/>
  <c r="L68" i="1"/>
  <c r="K67" i="1"/>
  <c r="M67" i="1" s="1"/>
  <c r="K68" i="1" l="1"/>
  <c r="M68" i="1" s="1"/>
</calcChain>
</file>

<file path=xl/sharedStrings.xml><?xml version="1.0" encoding="utf-8"?>
<sst xmlns="http://schemas.openxmlformats.org/spreadsheetml/2006/main" count="248" uniqueCount="175">
  <si>
    <t>MARKET</t>
  </si>
  <si>
    <t>INCOME</t>
  </si>
  <si>
    <t>BALANCE</t>
  </si>
  <si>
    <t>CASHFLOW</t>
  </si>
  <si>
    <t>DATA</t>
  </si>
  <si>
    <t>Company</t>
  </si>
  <si>
    <t>Price</t>
  </si>
  <si>
    <t>Marketcap in Cr</t>
  </si>
  <si>
    <t>STORES</t>
  </si>
  <si>
    <t>AREA MLNSQFT</t>
  </si>
  <si>
    <t>Sales in Cr</t>
  </si>
  <si>
    <t>Profit in Cr</t>
  </si>
  <si>
    <t>TRAIL_EPS</t>
  </si>
  <si>
    <t>FV</t>
  </si>
  <si>
    <t>Equity</t>
  </si>
  <si>
    <t>TOTAL EQ</t>
  </si>
  <si>
    <t>DEBT</t>
  </si>
  <si>
    <t>LEASE</t>
  </si>
  <si>
    <t>CUR.ASSETS</t>
  </si>
  <si>
    <t>CUR.LIABILITIES</t>
  </si>
  <si>
    <t>ASSETS</t>
  </si>
  <si>
    <t>LIABILITIES</t>
  </si>
  <si>
    <t>TRADE REC</t>
  </si>
  <si>
    <t>CFO</t>
  </si>
  <si>
    <t>CFI</t>
  </si>
  <si>
    <t>CFF</t>
  </si>
  <si>
    <t>NET</t>
  </si>
  <si>
    <t>PPE</t>
  </si>
  <si>
    <t>TITAN</t>
  </si>
  <si>
    <t>LAST YEAR</t>
  </si>
  <si>
    <t>GROWTH</t>
  </si>
  <si>
    <t>LIQUIDITY</t>
  </si>
  <si>
    <t>SOLVENCY</t>
  </si>
  <si>
    <t>PROFITABILITY</t>
  </si>
  <si>
    <t>RATIO</t>
  </si>
  <si>
    <t>SALES GR</t>
  </si>
  <si>
    <t>PR.MARGIN</t>
  </si>
  <si>
    <t>CUR.RATIO</t>
  </si>
  <si>
    <t>TRADE REC Days</t>
  </si>
  <si>
    <t>DEBT2EQUITY</t>
  </si>
  <si>
    <t>DEBTRATIO</t>
  </si>
  <si>
    <t>ICR</t>
  </si>
  <si>
    <t>ROE</t>
  </si>
  <si>
    <t>ROPE</t>
  </si>
  <si>
    <t>ROA</t>
  </si>
  <si>
    <t>F_PE</t>
  </si>
  <si>
    <t>YIELD_23</t>
  </si>
  <si>
    <t>BOOKVALUE</t>
  </si>
  <si>
    <t>PBV</t>
  </si>
  <si>
    <t>PEG</t>
  </si>
  <si>
    <t>MARKET SHARE</t>
  </si>
  <si>
    <t>Actual</t>
  </si>
  <si>
    <t>Year</t>
  </si>
  <si>
    <t>Revenue</t>
  </si>
  <si>
    <t>Profit</t>
  </si>
  <si>
    <t>EPS</t>
  </si>
  <si>
    <t>Margin</t>
  </si>
  <si>
    <t>Other Eq.</t>
  </si>
  <si>
    <t>Low Price</t>
  </si>
  <si>
    <t>High Price</t>
  </si>
  <si>
    <t>Low PE</t>
  </si>
  <si>
    <t>High PE</t>
  </si>
  <si>
    <t>BookValue</t>
  </si>
  <si>
    <t>LBV</t>
  </si>
  <si>
    <t>HBV</t>
  </si>
  <si>
    <t>Sonata</t>
  </si>
  <si>
    <t>FY_1999</t>
  </si>
  <si>
    <t>FY_2000</t>
  </si>
  <si>
    <t>FY_2001</t>
  </si>
  <si>
    <t>FY_2002</t>
  </si>
  <si>
    <t>Fasttrack</t>
  </si>
  <si>
    <t>FY_2003</t>
  </si>
  <si>
    <t>FY_2004</t>
  </si>
  <si>
    <t>FY_2005</t>
  </si>
  <si>
    <t>FY_2006</t>
  </si>
  <si>
    <t>EyePlus</t>
  </si>
  <si>
    <t>FY_2007</t>
  </si>
  <si>
    <t>FY_2008</t>
  </si>
  <si>
    <t>FY_2009</t>
  </si>
  <si>
    <t>FY_2010</t>
  </si>
  <si>
    <t>Accesories</t>
  </si>
  <si>
    <t>FY_2011</t>
  </si>
  <si>
    <t>Bonus + split</t>
  </si>
  <si>
    <t>FY_2012</t>
  </si>
  <si>
    <t>Perfumes</t>
  </si>
  <si>
    <t>FY_2013</t>
  </si>
  <si>
    <t>FY_2014</t>
  </si>
  <si>
    <t>FAVRELEUBA</t>
  </si>
  <si>
    <t>FY_2015</t>
  </si>
  <si>
    <t>CARATLINE</t>
  </si>
  <si>
    <t>FY_2016</t>
  </si>
  <si>
    <t>TANEIRA</t>
  </si>
  <si>
    <t>FY_2017</t>
  </si>
  <si>
    <t>FY_2018</t>
  </si>
  <si>
    <t>FY_2019</t>
  </si>
  <si>
    <t>FY_2020</t>
  </si>
  <si>
    <t>FY_2021</t>
  </si>
  <si>
    <t>FY_2022</t>
  </si>
  <si>
    <t>FY_2023</t>
  </si>
  <si>
    <t>FY_2024</t>
  </si>
  <si>
    <t>FY_2025</t>
  </si>
  <si>
    <t>Trail 2025</t>
  </si>
  <si>
    <t>Growth</t>
  </si>
  <si>
    <t>25 Year</t>
  </si>
  <si>
    <t>15 Year</t>
  </si>
  <si>
    <t>5 Year</t>
  </si>
  <si>
    <t>Trends</t>
  </si>
  <si>
    <t>C Trend</t>
  </si>
  <si>
    <t>H1_FY_25</t>
  </si>
  <si>
    <t>9M_FY_25</t>
  </si>
  <si>
    <t>FY_25</t>
  </si>
  <si>
    <t>Q1_FY_26</t>
  </si>
  <si>
    <t>E_FY_2026</t>
  </si>
  <si>
    <t>QUARTER</t>
  </si>
  <si>
    <t>Q2_FY25</t>
  </si>
  <si>
    <t>Q3_FY25</t>
  </si>
  <si>
    <t>Q4_FY25</t>
  </si>
  <si>
    <t>TRAILEPS</t>
  </si>
  <si>
    <t>EPS_25</t>
  </si>
  <si>
    <t>Trail_EPS</t>
  </si>
  <si>
    <t>EPS_26</t>
  </si>
  <si>
    <t>F_PEG</t>
  </si>
  <si>
    <t>.</t>
  </si>
  <si>
    <t>Sales</t>
  </si>
  <si>
    <t>7..94</t>
  </si>
  <si>
    <t>MARGIN</t>
  </si>
  <si>
    <t>PE_25</t>
  </si>
  <si>
    <t>TRAIL_PE</t>
  </si>
  <si>
    <t>PE_26</t>
  </si>
  <si>
    <t>PROFIT</t>
  </si>
  <si>
    <t>Q_results</t>
  </si>
  <si>
    <t>RESULT</t>
  </si>
  <si>
    <t>Q1_FY_25</t>
  </si>
  <si>
    <t>Q4_FY24</t>
  </si>
  <si>
    <t>FY_24</t>
  </si>
  <si>
    <t>SEGMENT</t>
  </si>
  <si>
    <t>SHARE</t>
  </si>
  <si>
    <t>MAJORCOST</t>
  </si>
  <si>
    <t>Jwellery</t>
  </si>
  <si>
    <t>Material</t>
  </si>
  <si>
    <t>Cost</t>
  </si>
  <si>
    <t>Watches</t>
  </si>
  <si>
    <t>stockintrade</t>
  </si>
  <si>
    <t>Finance</t>
  </si>
  <si>
    <t>EYEWEAR</t>
  </si>
  <si>
    <t>INVENTORY</t>
  </si>
  <si>
    <t>OTHERS</t>
  </si>
  <si>
    <t>Employee</t>
  </si>
  <si>
    <t>CORPORATE</t>
  </si>
  <si>
    <t>Depreciation</t>
  </si>
  <si>
    <t>Advertise</t>
  </si>
  <si>
    <t>TOTAL</t>
  </si>
  <si>
    <t>OTHER</t>
  </si>
  <si>
    <t>Estimate</t>
  </si>
  <si>
    <t>SHP</t>
  </si>
  <si>
    <t>FY_23</t>
  </si>
  <si>
    <t>LongTerm</t>
  </si>
  <si>
    <t>PROMOTER</t>
  </si>
  <si>
    <t>FY_26</t>
  </si>
  <si>
    <t>MF, AIF, INS</t>
  </si>
  <si>
    <t>FPI</t>
  </si>
  <si>
    <t>forward</t>
  </si>
  <si>
    <t>Low Price Range</t>
  </si>
  <si>
    <t>FairPrice@EPS</t>
  </si>
  <si>
    <t>HIgh Price Range</t>
  </si>
  <si>
    <t>FairPrice@PBV</t>
  </si>
  <si>
    <t>Blended Fairvalue</t>
  </si>
  <si>
    <t>RETAIL</t>
  </si>
  <si>
    <t>EST_2026</t>
  </si>
  <si>
    <t>RAKESH JH</t>
  </si>
  <si>
    <t>EST_2030</t>
  </si>
  <si>
    <t>EST_2035</t>
  </si>
  <si>
    <t>STR. WEIGHTAGE</t>
  </si>
  <si>
    <t>FACTOR</t>
  </si>
  <si>
    <t>TECH. WEIGHT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</si>
</sst>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#,##0.0"/>
  </numFmts>
  <fonts count="27" x14ac:knownFonts="1">
    <font>
      <sz val="10"/>
      <color rgb="FF000000"/>
      <name val="Arial"/>
      <scheme val="minor"/>
    </font>
    <font>
      <b/>
      <sz val="11"/>
      <color rgb="FFFFFFFF"/>
      <name val="Calibri"/>
    </font>
    <font>
      <sz val="10"/>
      <color theme="1"/>
      <name val="Arial"/>
      <scheme val="minor"/>
    </font>
    <font>
      <sz val="9"/>
      <color rgb="FF000000"/>
      <name val="Arial"/>
    </font>
    <font>
      <sz val="11"/>
      <color theme="1"/>
      <name val="Calibri"/>
    </font>
    <font>
      <b/>
      <i/>
      <sz val="11"/>
      <color theme="1"/>
      <name val="Calibri"/>
    </font>
    <font>
      <b/>
      <sz val="11"/>
      <color theme="1"/>
      <name val="Calibri"/>
    </font>
    <font>
      <sz val="11"/>
      <color theme="1"/>
      <name val="Arial"/>
      <scheme val="minor"/>
    </font>
    <font>
      <b/>
      <sz val="12"/>
      <color theme="1"/>
      <name val="Arial"/>
    </font>
    <font>
      <sz val="12"/>
      <color rgb="FFFFFFFF"/>
      <name val="Arial"/>
    </font>
    <font>
      <sz val="12"/>
      <color theme="0"/>
      <name val="Arial"/>
    </font>
    <font>
      <sz val="11"/>
      <color rgb="FF000000"/>
      <name val="Arial"/>
      <scheme val="minor"/>
    </font>
    <font>
      <b/>
      <sz val="12"/>
      <color rgb="FF000000"/>
      <name val="Arial"/>
    </font>
    <font>
      <sz val="12"/>
      <color rgb="FF000000"/>
      <name val="Arial"/>
    </font>
    <font>
      <sz val="10"/>
      <color theme="1"/>
      <name val="Arial"/>
    </font>
    <font>
      <sz val="12"/>
      <color theme="1"/>
      <name val="Arial"/>
    </font>
    <font>
      <i/>
      <sz val="12"/>
      <color theme="1"/>
      <name val="Arial"/>
    </font>
    <font>
      <i/>
      <sz val="12"/>
      <color rgb="FF000000"/>
      <name val="Arial"/>
    </font>
    <font>
      <i/>
      <sz val="11"/>
      <color theme="1"/>
      <name val="Arial"/>
      <scheme val="minor"/>
    </font>
    <font>
      <i/>
      <sz val="12"/>
      <color rgb="FF000000"/>
      <name val="Arial"/>
      <scheme val="minor"/>
    </font>
    <font>
      <sz val="11"/>
      <color rgb="FF000000"/>
      <name val="Calibri"/>
    </font>
    <font>
      <sz val="13"/>
      <color theme="1"/>
      <name val="Arial"/>
      <scheme val="minor"/>
    </font>
    <font>
      <b/>
      <i/>
      <u/>
      <sz val="11"/>
      <color theme="1"/>
      <name val="Arial"/>
      <scheme val="minor"/>
    </font>
    <font>
      <b/>
      <i/>
      <sz val="11"/>
      <color theme="1"/>
      <name val="Arial"/>
      <scheme val="minor"/>
    </font>
    <font>
      <sz val="11"/>
      <color theme="1"/>
      <name val="Arial"/>
    </font>
    <font>
      <i/>
      <sz val="11"/>
      <color theme="1"/>
      <name val="Calibri"/>
    </font>
    <font>
      <b/>
      <i/>
      <sz val="10"/>
      <color theme="1"/>
      <name val="Arial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0C343D"/>
        <bgColor rgb="FF0C343D"/>
      </patternFill>
    </fill>
    <fill>
      <patternFill patternType="solid">
        <fgColor rgb="FFFFFFFF"/>
        <bgColor rgb="FFFFFFFF"/>
      </patternFill>
    </fill>
    <fill>
      <patternFill patternType="solid">
        <fgColor rgb="FFD0E0E3"/>
        <bgColor rgb="FFD0E0E3"/>
      </patternFill>
    </fill>
    <fill>
      <patternFill patternType="solid">
        <fgColor rgb="FFCCCCCC"/>
        <bgColor rgb="FFCCCCCC"/>
      </patternFill>
    </fill>
    <fill>
      <patternFill patternType="solid">
        <fgColor rgb="FF4C1130"/>
        <bgColor rgb="FF4C1130"/>
      </patternFill>
    </fill>
    <fill>
      <patternFill patternType="solid">
        <fgColor rgb="FFEAD1DC"/>
        <bgColor rgb="FFEAD1DC"/>
      </patternFill>
    </fill>
    <fill>
      <patternFill patternType="solid">
        <fgColor rgb="FF20124D"/>
        <bgColor rgb="FF20124D"/>
      </patternFill>
    </fill>
    <fill>
      <patternFill patternType="solid">
        <fgColor rgb="FFD9D2E9"/>
        <bgColor rgb="FFD9D2E9"/>
      </patternFill>
    </fill>
    <fill>
      <patternFill patternType="solid">
        <fgColor rgb="FF073763"/>
        <bgColor rgb="FF073763"/>
      </patternFill>
    </fill>
    <fill>
      <patternFill patternType="solid">
        <fgColor rgb="FFCFE2F3"/>
        <bgColor rgb="FFCFE2F3"/>
      </patternFill>
    </fill>
    <fill>
      <patternFill patternType="solid">
        <fgColor rgb="FF1C4587"/>
        <bgColor rgb="FF1C4587"/>
      </patternFill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rgb="FF4F81BD"/>
        <bgColor rgb="FF4F81BD"/>
      </patternFill>
    </fill>
    <fill>
      <patternFill patternType="solid">
        <fgColor rgb="FF84CEAA"/>
        <bgColor rgb="FF84CEAA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2" borderId="0" xfId="0" applyFont="1" applyFill="1"/>
    <xf numFmtId="0" fontId="2" fillId="0" borderId="0" xfId="0" applyFont="1"/>
    <xf numFmtId="0" fontId="3" fillId="3" borderId="0" xfId="0" applyFont="1" applyFill="1" applyAlignment="1">
      <alignment horizontal="right" wrapText="1"/>
    </xf>
    <xf numFmtId="1" fontId="1" fillId="2" borderId="0" xfId="0" applyNumberFormat="1" applyFont="1" applyFill="1"/>
    <xf numFmtId="0" fontId="1" fillId="2" borderId="1" xfId="0" applyFont="1" applyFill="1" applyBorder="1"/>
    <xf numFmtId="0" fontId="4" fillId="0" borderId="0" xfId="0" applyFont="1"/>
    <xf numFmtId="0" fontId="4" fillId="4" borderId="1" xfId="0" applyFont="1" applyFill="1" applyBorder="1"/>
    <xf numFmtId="1" fontId="4" fillId="4" borderId="1" xfId="0" applyNumberFormat="1" applyFont="1" applyFill="1" applyBorder="1" applyAlignment="1">
      <alignment horizontal="right"/>
    </xf>
    <xf numFmtId="164" fontId="2" fillId="0" borderId="1" xfId="0" applyNumberFormat="1" applyFont="1" applyBorder="1"/>
    <xf numFmtId="3" fontId="4" fillId="4" borderId="1" xfId="0" applyNumberFormat="1" applyFont="1" applyFill="1" applyBorder="1" applyAlignment="1">
      <alignment horizontal="right"/>
    </xf>
    <xf numFmtId="0" fontId="4" fillId="4" borderId="1" xfId="0" applyFont="1" applyFill="1" applyBorder="1" applyAlignment="1">
      <alignment horizontal="right"/>
    </xf>
    <xf numFmtId="0" fontId="2" fillId="0" borderId="1" xfId="0" applyFont="1" applyBorder="1"/>
    <xf numFmtId="0" fontId="4" fillId="0" borderId="1" xfId="0" applyFont="1" applyBorder="1"/>
    <xf numFmtId="1" fontId="4" fillId="0" borderId="1" xfId="0" applyNumberFormat="1" applyFont="1" applyBorder="1"/>
    <xf numFmtId="3" fontId="4" fillId="0" borderId="1" xfId="0" applyNumberFormat="1" applyFont="1" applyBorder="1"/>
    <xf numFmtId="0" fontId="5" fillId="5" borderId="1" xfId="0" applyFont="1" applyFill="1" applyBorder="1"/>
    <xf numFmtId="165" fontId="5" fillId="5" borderId="1" xfId="0" applyNumberFormat="1" applyFont="1" applyFill="1" applyBorder="1"/>
    <xf numFmtId="9" fontId="5" fillId="5" borderId="1" xfId="0" applyNumberFormat="1" applyFont="1" applyFill="1" applyBorder="1"/>
    <xf numFmtId="0" fontId="6" fillId="0" borderId="0" xfId="0" applyFont="1"/>
    <xf numFmtId="1" fontId="6" fillId="0" borderId="0" xfId="0" applyNumberFormat="1" applyFont="1"/>
    <xf numFmtId="1" fontId="4" fillId="0" borderId="0" xfId="0" applyNumberFormat="1" applyFont="1"/>
    <xf numFmtId="9" fontId="4" fillId="4" borderId="0" xfId="0" applyNumberFormat="1" applyFont="1" applyFill="1"/>
    <xf numFmtId="165" fontId="4" fillId="4" borderId="0" xfId="0" applyNumberFormat="1" applyFont="1" applyFill="1"/>
    <xf numFmtId="166" fontId="4" fillId="4" borderId="0" xfId="0" applyNumberFormat="1" applyFont="1" applyFill="1"/>
    <xf numFmtId="164" fontId="4" fillId="4" borderId="0" xfId="0" applyNumberFormat="1" applyFont="1" applyFill="1"/>
    <xf numFmtId="1" fontId="4" fillId="4" borderId="0" xfId="0" applyNumberFormat="1" applyFont="1" applyFill="1"/>
    <xf numFmtId="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" fontId="9" fillId="6" borderId="1" xfId="0" applyNumberFormat="1" applyFont="1" applyFill="1" applyBorder="1" applyAlignment="1">
      <alignment horizontal="left" vertical="center"/>
    </xf>
    <xf numFmtId="1" fontId="10" fillId="6" borderId="1" xfId="0" applyNumberFormat="1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1" fontId="12" fillId="7" borderId="1" xfId="0" applyNumberFormat="1" applyFont="1" applyFill="1" applyBorder="1" applyAlignment="1">
      <alignment horizontal="left" vertical="center"/>
    </xf>
    <xf numFmtId="1" fontId="13" fillId="7" borderId="1" xfId="0" applyNumberFormat="1" applyFont="1" applyFill="1" applyBorder="1" applyAlignment="1">
      <alignment horizontal="right"/>
    </xf>
    <xf numFmtId="164" fontId="13" fillId="3" borderId="1" xfId="0" applyNumberFormat="1" applyFont="1" applyFill="1" applyBorder="1" applyAlignment="1">
      <alignment horizontal="right" vertical="center"/>
    </xf>
    <xf numFmtId="165" fontId="7" fillId="7" borderId="1" xfId="0" applyNumberFormat="1" applyFont="1" applyFill="1" applyBorder="1" applyAlignment="1">
      <alignment horizontal="right" vertical="center"/>
    </xf>
    <xf numFmtId="1" fontId="2" fillId="0" borderId="1" xfId="0" applyNumberFormat="1" applyFont="1" applyBorder="1"/>
    <xf numFmtId="1" fontId="14" fillId="3" borderId="1" xfId="0" applyNumberFormat="1" applyFont="1" applyFill="1" applyBorder="1" applyAlignment="1">
      <alignment horizontal="right"/>
    </xf>
    <xf numFmtId="1" fontId="15" fillId="7" borderId="1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1" fontId="2" fillId="0" borderId="0" xfId="0" applyNumberFormat="1" applyFont="1"/>
    <xf numFmtId="164" fontId="15" fillId="3" borderId="1" xfId="0" applyNumberFormat="1" applyFont="1" applyFill="1" applyBorder="1" applyAlignment="1">
      <alignment horizontal="right" vertical="center"/>
    </xf>
    <xf numFmtId="1" fontId="13" fillId="3" borderId="1" xfId="0" applyNumberFormat="1" applyFont="1" applyFill="1" applyBorder="1" applyAlignment="1">
      <alignment horizontal="right" wrapText="1"/>
    </xf>
    <xf numFmtId="9" fontId="2" fillId="0" borderId="0" xfId="0" applyNumberFormat="1" applyFont="1"/>
    <xf numFmtId="1" fontId="15" fillId="3" borderId="1" xfId="0" applyNumberFormat="1" applyFont="1" applyFill="1" applyBorder="1" applyAlignment="1">
      <alignment horizontal="right" vertical="center"/>
    </xf>
    <xf numFmtId="164" fontId="2" fillId="0" borderId="0" xfId="0" applyNumberFormat="1" applyFont="1"/>
    <xf numFmtId="1" fontId="15" fillId="7" borderId="1" xfId="0" applyNumberFormat="1" applyFont="1" applyFill="1" applyBorder="1" applyAlignment="1">
      <alignment horizontal="right" wrapText="1"/>
    </xf>
    <xf numFmtId="1" fontId="13" fillId="7" borderId="1" xfId="0" applyNumberFormat="1" applyFont="1" applyFill="1" applyBorder="1" applyAlignment="1">
      <alignment horizontal="right" wrapText="1"/>
    </xf>
    <xf numFmtId="0" fontId="15" fillId="0" borderId="0" xfId="0" applyFont="1"/>
    <xf numFmtId="1" fontId="13" fillId="3" borderId="1" xfId="0" applyNumberFormat="1" applyFont="1" applyFill="1" applyBorder="1" applyAlignment="1">
      <alignment horizontal="right" vertical="center"/>
    </xf>
    <xf numFmtId="0" fontId="16" fillId="0" borderId="0" xfId="0" applyFont="1"/>
    <xf numFmtId="3" fontId="16" fillId="0" borderId="1" xfId="0" applyNumberFormat="1" applyFont="1" applyBorder="1" applyAlignment="1">
      <alignment horizontal="right"/>
    </xf>
    <xf numFmtId="3" fontId="17" fillId="3" borderId="1" xfId="0" applyNumberFormat="1" applyFont="1" applyFill="1" applyBorder="1" applyAlignment="1">
      <alignment horizontal="right"/>
    </xf>
    <xf numFmtId="1" fontId="17" fillId="3" borderId="1" xfId="0" applyNumberFormat="1" applyFont="1" applyFill="1" applyBorder="1" applyAlignment="1">
      <alignment horizontal="right"/>
    </xf>
    <xf numFmtId="166" fontId="17" fillId="3" borderId="1" xfId="0" applyNumberFormat="1" applyFont="1" applyFill="1" applyBorder="1" applyAlignment="1">
      <alignment horizontal="right"/>
    </xf>
    <xf numFmtId="10" fontId="2" fillId="0" borderId="0" xfId="0" applyNumberFormat="1" applyFont="1"/>
    <xf numFmtId="1" fontId="9" fillId="8" borderId="2" xfId="0" applyNumberFormat="1" applyFont="1" applyFill="1" applyBorder="1" applyAlignment="1">
      <alignment horizontal="left" vertical="center"/>
    </xf>
    <xf numFmtId="1" fontId="10" fillId="8" borderId="1" xfId="0" applyNumberFormat="1" applyFont="1" applyFill="1" applyBorder="1" applyAlignment="1">
      <alignment horizontal="left" vertical="center"/>
    </xf>
    <xf numFmtId="1" fontId="9" fillId="8" borderId="1" xfId="0" applyNumberFormat="1" applyFont="1" applyFill="1" applyBorder="1" applyAlignment="1">
      <alignment horizontal="left" vertical="center"/>
    </xf>
    <xf numFmtId="1" fontId="13" fillId="9" borderId="1" xfId="0" applyNumberFormat="1" applyFont="1" applyFill="1" applyBorder="1" applyAlignment="1">
      <alignment horizontal="left" vertical="center"/>
    </xf>
    <xf numFmtId="9" fontId="17" fillId="9" borderId="1" xfId="0" applyNumberFormat="1" applyFont="1" applyFill="1" applyBorder="1" applyAlignment="1">
      <alignment horizontal="right"/>
    </xf>
    <xf numFmtId="165" fontId="17" fillId="9" borderId="1" xfId="0" applyNumberFormat="1" applyFont="1" applyFill="1" applyBorder="1" applyAlignment="1">
      <alignment horizontal="right" vertical="center"/>
    </xf>
    <xf numFmtId="1" fontId="17" fillId="9" borderId="1" xfId="0" applyNumberFormat="1" applyFont="1" applyFill="1" applyBorder="1" applyAlignment="1">
      <alignment horizontal="right" vertical="center"/>
    </xf>
    <xf numFmtId="164" fontId="17" fillId="9" borderId="1" xfId="0" applyNumberFormat="1" applyFont="1" applyFill="1" applyBorder="1" applyAlignment="1">
      <alignment horizontal="right" vertical="center"/>
    </xf>
    <xf numFmtId="3" fontId="17" fillId="9" borderId="1" xfId="0" applyNumberFormat="1" applyFont="1" applyFill="1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9" fontId="19" fillId="9" borderId="1" xfId="0" applyNumberFormat="1" applyFont="1" applyFill="1" applyBorder="1" applyAlignment="1">
      <alignment horizontal="right" vertical="center"/>
    </xf>
    <xf numFmtId="165" fontId="19" fillId="9" borderId="1" xfId="0" applyNumberFormat="1" applyFont="1" applyFill="1" applyBorder="1" applyAlignment="1">
      <alignment horizontal="right"/>
    </xf>
    <xf numFmtId="1" fontId="19" fillId="9" borderId="1" xfId="0" applyNumberFormat="1" applyFont="1" applyFill="1" applyBorder="1" applyAlignment="1">
      <alignment horizontal="right"/>
    </xf>
    <xf numFmtId="164" fontId="19" fillId="9" borderId="1" xfId="0" applyNumberFormat="1" applyFont="1" applyFill="1" applyBorder="1" applyAlignment="1">
      <alignment horizontal="right"/>
    </xf>
    <xf numFmtId="0" fontId="18" fillId="9" borderId="1" xfId="0" applyFont="1" applyFill="1" applyBorder="1" applyAlignment="1">
      <alignment horizontal="left" vertical="center"/>
    </xf>
    <xf numFmtId="1" fontId="9" fillId="10" borderId="2" xfId="0" applyNumberFormat="1" applyFont="1" applyFill="1" applyBorder="1" applyAlignment="1">
      <alignment horizontal="left" vertical="center"/>
    </xf>
    <xf numFmtId="1" fontId="9" fillId="10" borderId="2" xfId="0" applyNumberFormat="1" applyFont="1" applyFill="1" applyBorder="1" applyAlignment="1">
      <alignment horizontal="center" vertical="center"/>
    </xf>
    <xf numFmtId="0" fontId="20" fillId="11" borderId="3" xfId="0" applyFont="1" applyFill="1" applyBorder="1"/>
    <xf numFmtId="9" fontId="20" fillId="11" borderId="4" xfId="0" applyNumberFormat="1" applyFont="1" applyFill="1" applyBorder="1" applyAlignment="1">
      <alignment horizontal="right"/>
    </xf>
    <xf numFmtId="0" fontId="20" fillId="11" borderId="4" xfId="0" applyFont="1" applyFill="1" applyBorder="1" applyAlignment="1">
      <alignment horizontal="center"/>
    </xf>
    <xf numFmtId="0" fontId="20" fillId="11" borderId="4" xfId="0" applyFont="1" applyFill="1" applyBorder="1" applyAlignment="1">
      <alignment horizontal="right"/>
    </xf>
    <xf numFmtId="0" fontId="20" fillId="11" borderId="3" xfId="0" applyFont="1" applyFill="1" applyBorder="1" applyAlignment="1">
      <alignment horizontal="center"/>
    </xf>
    <xf numFmtId="164" fontId="20" fillId="11" borderId="4" xfId="0" applyNumberFormat="1" applyFont="1" applyFill="1" applyBorder="1" applyAlignment="1">
      <alignment horizontal="center"/>
    </xf>
    <xf numFmtId="0" fontId="21" fillId="5" borderId="0" xfId="0" applyFont="1" applyFill="1" applyAlignment="1">
      <alignment horizontal="center"/>
    </xf>
    <xf numFmtId="165" fontId="20" fillId="11" borderId="4" xfId="0" applyNumberFormat="1" applyFont="1" applyFill="1" applyBorder="1" applyAlignment="1">
      <alignment horizontal="right"/>
    </xf>
    <xf numFmtId="10" fontId="20" fillId="11" borderId="4" xfId="0" applyNumberFormat="1" applyFont="1" applyFill="1" applyBorder="1" applyAlignment="1">
      <alignment horizontal="right"/>
    </xf>
    <xf numFmtId="1" fontId="21" fillId="5" borderId="0" xfId="0" applyNumberFormat="1" applyFont="1" applyFill="1" applyAlignment="1">
      <alignment horizontal="center"/>
    </xf>
    <xf numFmtId="1" fontId="20" fillId="11" borderId="4" xfId="0" applyNumberFormat="1" applyFont="1" applyFill="1" applyBorder="1" applyAlignment="1">
      <alignment horizontal="center"/>
    </xf>
    <xf numFmtId="1" fontId="9" fillId="10" borderId="2" xfId="0" applyNumberFormat="1" applyFont="1" applyFill="1" applyBorder="1" applyAlignment="1">
      <alignment horizontal="right" vertical="center"/>
    </xf>
    <xf numFmtId="0" fontId="7" fillId="11" borderId="1" xfId="0" applyFont="1" applyFill="1" applyBorder="1" applyAlignment="1">
      <alignment horizontal="left"/>
    </xf>
    <xf numFmtId="1" fontId="13" fillId="11" borderId="1" xfId="0" applyNumberFormat="1" applyFont="1" applyFill="1" applyBorder="1" applyAlignment="1">
      <alignment horizontal="right"/>
    </xf>
    <xf numFmtId="9" fontId="2" fillId="11" borderId="1" xfId="0" applyNumberFormat="1" applyFont="1" applyFill="1" applyBorder="1"/>
    <xf numFmtId="9" fontId="20" fillId="11" borderId="3" xfId="0" applyNumberFormat="1" applyFont="1" applyFill="1" applyBorder="1"/>
    <xf numFmtId="1" fontId="13" fillId="11" borderId="1" xfId="0" applyNumberFormat="1" applyFont="1" applyFill="1" applyBorder="1" applyAlignment="1">
      <alignment horizontal="left"/>
    </xf>
    <xf numFmtId="0" fontId="15" fillId="11" borderId="1" xfId="0" applyFont="1" applyFill="1" applyBorder="1" applyAlignment="1">
      <alignment horizontal="left"/>
    </xf>
    <xf numFmtId="1" fontId="11" fillId="11" borderId="1" xfId="0" applyNumberFormat="1" applyFont="1" applyFill="1" applyBorder="1" applyAlignment="1">
      <alignment horizontal="right"/>
    </xf>
    <xf numFmtId="164" fontId="11" fillId="11" borderId="1" xfId="0" applyNumberFormat="1" applyFont="1" applyFill="1" applyBorder="1" applyAlignment="1">
      <alignment horizontal="right"/>
    </xf>
    <xf numFmtId="165" fontId="7" fillId="11" borderId="1" xfId="0" applyNumberFormat="1" applyFont="1" applyFill="1" applyBorder="1" applyAlignment="1">
      <alignment horizontal="right"/>
    </xf>
    <xf numFmtId="165" fontId="2" fillId="11" borderId="1" xfId="0" applyNumberFormat="1" applyFont="1" applyFill="1" applyBorder="1"/>
    <xf numFmtId="164" fontId="7" fillId="11" borderId="1" xfId="0" applyNumberFormat="1" applyFont="1" applyFill="1" applyBorder="1" applyAlignment="1">
      <alignment horizontal="right"/>
    </xf>
    <xf numFmtId="0" fontId="22" fillId="0" borderId="1" xfId="0" applyFont="1" applyBorder="1" applyAlignment="1">
      <alignment horizontal="center" vertical="center"/>
    </xf>
    <xf numFmtId="9" fontId="22" fillId="0" borderId="1" xfId="0" applyNumberFormat="1" applyFont="1" applyBorder="1" applyAlignment="1">
      <alignment horizontal="right" vertical="center"/>
    </xf>
    <xf numFmtId="1" fontId="9" fillId="12" borderId="2" xfId="0" applyNumberFormat="1" applyFont="1" applyFill="1" applyBorder="1" applyAlignment="1">
      <alignment horizontal="left" vertical="center"/>
    </xf>
    <xf numFmtId="1" fontId="10" fillId="12" borderId="1" xfId="0" applyNumberFormat="1" applyFont="1" applyFill="1" applyBorder="1" applyAlignment="1">
      <alignment horizontal="left" vertical="center"/>
    </xf>
    <xf numFmtId="1" fontId="9" fillId="12" borderId="1" xfId="0" applyNumberFormat="1" applyFont="1" applyFill="1" applyBorder="1" applyAlignment="1">
      <alignment horizontal="left" vertical="center"/>
    </xf>
    <xf numFmtId="1" fontId="13" fillId="13" borderId="1" xfId="0" applyNumberFormat="1" applyFont="1" applyFill="1" applyBorder="1" applyAlignment="1">
      <alignment horizontal="left" vertical="center"/>
    </xf>
    <xf numFmtId="9" fontId="17" fillId="13" borderId="1" xfId="0" applyNumberFormat="1" applyFont="1" applyFill="1" applyBorder="1" applyAlignment="1">
      <alignment horizontal="right"/>
    </xf>
    <xf numFmtId="165" fontId="17" fillId="13" borderId="1" xfId="0" applyNumberFormat="1" applyFont="1" applyFill="1" applyBorder="1" applyAlignment="1">
      <alignment horizontal="right"/>
    </xf>
    <xf numFmtId="9" fontId="2" fillId="0" borderId="1" xfId="0" applyNumberFormat="1" applyFont="1" applyBorder="1"/>
    <xf numFmtId="165" fontId="2" fillId="0" borderId="1" xfId="0" applyNumberFormat="1" applyFont="1" applyBorder="1"/>
    <xf numFmtId="0" fontId="23" fillId="0" borderId="1" xfId="0" applyFont="1" applyBorder="1" applyAlignment="1">
      <alignment horizontal="center" vertical="center"/>
    </xf>
    <xf numFmtId="9" fontId="23" fillId="0" borderId="1" xfId="0" applyNumberFormat="1" applyFont="1" applyBorder="1" applyAlignment="1">
      <alignment horizontal="right" vertical="center"/>
    </xf>
    <xf numFmtId="9" fontId="23" fillId="0" borderId="1" xfId="0" applyNumberFormat="1" applyFont="1" applyBorder="1" applyAlignment="1">
      <alignment horizontal="center" vertical="center"/>
    </xf>
    <xf numFmtId="0" fontId="12" fillId="13" borderId="1" xfId="0" applyFont="1" applyFill="1" applyBorder="1" applyAlignment="1">
      <alignment horizontal="left"/>
    </xf>
    <xf numFmtId="1" fontId="15" fillId="13" borderId="1" xfId="0" applyNumberFormat="1" applyFont="1" applyFill="1" applyBorder="1" applyAlignment="1">
      <alignment horizontal="right"/>
    </xf>
    <xf numFmtId="3" fontId="24" fillId="14" borderId="1" xfId="0" applyNumberFormat="1" applyFont="1" applyFill="1" applyBorder="1" applyAlignment="1">
      <alignment horizontal="right"/>
    </xf>
    <xf numFmtId="1" fontId="24" fillId="14" borderId="1" xfId="0" applyNumberFormat="1" applyFont="1" applyFill="1" applyBorder="1" applyAlignment="1">
      <alignment horizontal="right"/>
    </xf>
    <xf numFmtId="0" fontId="7" fillId="0" borderId="1" xfId="0" applyFont="1" applyBorder="1" applyAlignment="1">
      <alignment horizontal="center" vertical="center"/>
    </xf>
    <xf numFmtId="3" fontId="25" fillId="14" borderId="1" xfId="0" applyNumberFormat="1" applyFont="1" applyFill="1" applyBorder="1" applyAlignment="1">
      <alignment horizontal="right"/>
    </xf>
    <xf numFmtId="0" fontId="26" fillId="0" borderId="5" xfId="0" applyFont="1" applyBorder="1"/>
    <xf numFmtId="9" fontId="26" fillId="0" borderId="5" xfId="0" applyNumberFormat="1" applyFont="1" applyBorder="1"/>
    <xf numFmtId="165" fontId="26" fillId="0" borderId="5" xfId="0" applyNumberFormat="1" applyFont="1" applyBorder="1"/>
    <xf numFmtId="0" fontId="1" fillId="15" borderId="1" xfId="0" applyFont="1" applyFill="1" applyBorder="1"/>
    <xf numFmtId="1" fontId="4" fillId="0" borderId="1" xfId="0" applyNumberFormat="1" applyFont="1" applyBorder="1" applyAlignment="1">
      <alignment horizontal="right"/>
    </xf>
    <xf numFmtId="10" fontId="24" fillId="16" borderId="1" xfId="0" applyNumberFormat="1" applyFont="1" applyFill="1" applyBorder="1" applyAlignment="1">
      <alignment horizontal="right"/>
    </xf>
    <xf numFmtId="2" fontId="4" fillId="0" borderId="1" xfId="0" applyNumberFormat="1" applyFont="1" applyBorder="1" applyAlignment="1">
      <alignment horizontal="right"/>
    </xf>
    <xf numFmtId="10" fontId="24" fillId="0" borderId="1" xfId="0" applyNumberFormat="1" applyFont="1" applyBorder="1" applyAlignment="1">
      <alignment horizontal="right"/>
    </xf>
    <xf numFmtId="3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790575</xdr:colOff>
      <xdr:row>71</xdr:row>
      <xdr:rowOff>200025</xdr:rowOff>
    </xdr:from>
    <xdr:ext cx="9429750" cy="3790950"/>
    <xdr:pic>
      <xdr:nvPicPr>
        <xdr:cNvPr id="2" name="image6.png" title="Image">
          <a:extLst>
            <a:ext uri="{FF2B5EF4-FFF2-40B4-BE49-F238E27FC236}">
              <a16:creationId xmlns:a16="http://schemas.microsoft.com/office/drawing/2014/main" id="{64E460EA-8BE0-40AA-B60C-67995ADE1D3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06755" y="14053185"/>
          <a:ext cx="9429750" cy="37909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2375E-F19C-409E-A348-9E6E4683E0E5}">
  <dimension ref="A1:AI960"/>
  <sheetViews>
    <sheetView showGridLines="0" tabSelected="1" workbookViewId="0"/>
  </sheetViews>
  <sheetFormatPr defaultColWidth="12.6640625" defaultRowHeight="15.75" customHeight="1" x14ac:dyDescent="0.25"/>
  <cols>
    <col min="1" max="12" width="10.33203125" customWidth="1"/>
    <col min="13" max="13" width="11.109375" customWidth="1"/>
    <col min="14" max="15" width="10.33203125" customWidth="1"/>
    <col min="16" max="16" width="11.109375" customWidth="1"/>
    <col min="17" max="18" width="10.33203125" customWidth="1"/>
    <col min="19" max="19" width="13.21875" customWidth="1"/>
    <col min="20" max="20" width="9.44140625" customWidth="1"/>
    <col min="21" max="21" width="14" customWidth="1"/>
    <col min="22" max="22" width="10.77734375" customWidth="1"/>
    <col min="23" max="23" width="12.77734375" customWidth="1"/>
    <col min="24" max="24" width="7.6640625" customWidth="1"/>
    <col min="25" max="25" width="12.33203125" customWidth="1"/>
    <col min="26" max="26" width="15.109375" customWidth="1"/>
    <col min="27" max="27" width="12" customWidth="1"/>
    <col min="28" max="47" width="7.6640625" customWidth="1"/>
  </cols>
  <sheetData>
    <row r="1" spans="1:35" ht="15.75" customHeight="1" x14ac:dyDescent="0.3">
      <c r="B1" s="1" t="s">
        <v>0</v>
      </c>
      <c r="C1" s="2"/>
      <c r="D1" s="2"/>
      <c r="E1" s="2"/>
      <c r="G1" s="1" t="s">
        <v>1</v>
      </c>
      <c r="H1" s="2"/>
      <c r="K1" s="1" t="s">
        <v>2</v>
      </c>
      <c r="T1" s="1" t="s">
        <v>3</v>
      </c>
      <c r="AB1" s="3"/>
    </row>
    <row r="2" spans="1:35" ht="15.75" customHeight="1" x14ac:dyDescent="0.3">
      <c r="A2" s="1" t="s">
        <v>4</v>
      </c>
      <c r="B2" s="4" t="s">
        <v>5</v>
      </c>
      <c r="C2" s="4" t="s">
        <v>6</v>
      </c>
      <c r="D2" s="4" t="s">
        <v>7</v>
      </c>
      <c r="E2" s="4" t="s">
        <v>8</v>
      </c>
      <c r="F2" s="4" t="s">
        <v>9</v>
      </c>
      <c r="G2" s="4" t="s">
        <v>10</v>
      </c>
      <c r="H2" s="4" t="s">
        <v>11</v>
      </c>
      <c r="I2" s="4" t="s">
        <v>12</v>
      </c>
      <c r="J2" s="4" t="s">
        <v>13</v>
      </c>
      <c r="K2" s="4" t="s">
        <v>14</v>
      </c>
      <c r="L2" s="4" t="s">
        <v>15</v>
      </c>
      <c r="M2" s="4" t="s">
        <v>16</v>
      </c>
      <c r="N2" s="4" t="s">
        <v>17</v>
      </c>
      <c r="O2" s="4" t="s">
        <v>18</v>
      </c>
      <c r="P2" s="4" t="s">
        <v>19</v>
      </c>
      <c r="Q2" s="1" t="s">
        <v>20</v>
      </c>
      <c r="R2" s="1" t="s">
        <v>21</v>
      </c>
      <c r="S2" s="1" t="s">
        <v>22</v>
      </c>
      <c r="T2" s="5" t="s">
        <v>23</v>
      </c>
      <c r="U2" s="5" t="s">
        <v>24</v>
      </c>
      <c r="V2" s="5" t="s">
        <v>25</v>
      </c>
      <c r="W2" s="5" t="s">
        <v>26</v>
      </c>
      <c r="X2" s="5" t="s">
        <v>27</v>
      </c>
      <c r="AB2" s="3"/>
    </row>
    <row r="3" spans="1:35" ht="15.75" customHeight="1" x14ac:dyDescent="0.3">
      <c r="A3" s="6"/>
      <c r="B3" s="7" t="s">
        <v>28</v>
      </c>
      <c r="C3" s="8">
        <f ca="1">IFERROR(__xludf.DUMMYFUNCTION("GOOGLEFINANCE(""NSE:""&amp;B3,""price"")"),3594.7)</f>
        <v>3594.7</v>
      </c>
      <c r="D3" s="8">
        <f ca="1">IFERROR(__xludf.DUMMYFUNCTION("GOOGLEFINANCE(""NSE:""&amp;B3,""MARKETCAP"")/10000000"),320533.78302)</f>
        <v>320533.78301999997</v>
      </c>
      <c r="E3" s="8">
        <v>3312</v>
      </c>
      <c r="F3" s="9">
        <v>4.7</v>
      </c>
      <c r="G3" s="8">
        <f t="shared" ref="G3:I3" si="0">C38</f>
        <v>57143</v>
      </c>
      <c r="H3" s="8">
        <f t="shared" si="0"/>
        <v>3337</v>
      </c>
      <c r="I3" s="8">
        <f t="shared" si="0"/>
        <v>37.619999999999997</v>
      </c>
      <c r="J3" s="8">
        <v>1</v>
      </c>
      <c r="K3" s="10">
        <v>89</v>
      </c>
      <c r="L3" s="11">
        <v>11535</v>
      </c>
      <c r="M3" s="11">
        <v>10286</v>
      </c>
      <c r="N3" s="10">
        <v>2681</v>
      </c>
      <c r="O3" s="8">
        <v>34434</v>
      </c>
      <c r="P3" s="8">
        <v>25793</v>
      </c>
      <c r="Q3" s="10">
        <v>40647</v>
      </c>
      <c r="R3" s="10">
        <v>29023</v>
      </c>
      <c r="S3" s="11">
        <v>1068</v>
      </c>
      <c r="T3" s="12">
        <v>-541</v>
      </c>
      <c r="U3" s="12">
        <v>546</v>
      </c>
      <c r="V3" s="12">
        <v>-7</v>
      </c>
      <c r="W3" s="12">
        <v>-494</v>
      </c>
      <c r="X3" s="12">
        <v>691</v>
      </c>
      <c r="AB3" s="3"/>
    </row>
    <row r="4" spans="1:35" ht="15.75" customHeight="1" x14ac:dyDescent="0.3">
      <c r="A4" s="6"/>
      <c r="B4" s="13" t="s">
        <v>29</v>
      </c>
      <c r="C4" s="13">
        <v>3063</v>
      </c>
      <c r="D4" s="14">
        <f ca="1">(C4*D3)/C3</f>
        <v>273122.92469197983</v>
      </c>
      <c r="E4" s="13">
        <v>3075</v>
      </c>
      <c r="F4" s="12">
        <v>4.2</v>
      </c>
      <c r="G4" s="15">
        <f t="shared" ref="G4:I4" si="1">C37</f>
        <v>46751</v>
      </c>
      <c r="H4" s="15">
        <f t="shared" si="1"/>
        <v>3496</v>
      </c>
      <c r="I4" s="15">
        <f t="shared" si="1"/>
        <v>39.4</v>
      </c>
      <c r="J4" s="13">
        <v>1</v>
      </c>
      <c r="K4" s="10">
        <v>89</v>
      </c>
      <c r="L4" s="13">
        <v>9304</v>
      </c>
      <c r="M4" s="13">
        <v>7838</v>
      </c>
      <c r="N4" s="13">
        <v>2349</v>
      </c>
      <c r="O4" s="15">
        <v>25608</v>
      </c>
      <c r="P4" s="13">
        <v>16529</v>
      </c>
      <c r="Q4" s="13">
        <v>31550</v>
      </c>
      <c r="R4" s="10">
        <v>22157</v>
      </c>
      <c r="S4" s="12">
        <v>1018</v>
      </c>
      <c r="T4" s="12">
        <v>1695</v>
      </c>
      <c r="U4" s="12">
        <v>-189</v>
      </c>
      <c r="V4" s="12">
        <v>-1329</v>
      </c>
      <c r="W4" s="12">
        <v>-691</v>
      </c>
      <c r="X4" s="12">
        <v>432</v>
      </c>
      <c r="AB4" s="3"/>
    </row>
    <row r="5" spans="1:35" ht="15.75" customHeight="1" x14ac:dyDescent="0.3">
      <c r="A5" s="6"/>
      <c r="B5" s="16" t="s">
        <v>30</v>
      </c>
      <c r="C5" s="17">
        <f t="shared" ref="C5:X5" ca="1" si="2">(C3/C4)-1</f>
        <v>0.17358798563499822</v>
      </c>
      <c r="D5" s="17">
        <f t="shared" ca="1" si="2"/>
        <v>0.17358798563499844</v>
      </c>
      <c r="E5" s="17">
        <f t="shared" si="2"/>
        <v>7.7073170731707386E-2</v>
      </c>
      <c r="F5" s="17">
        <f t="shared" si="2"/>
        <v>0.11904761904761907</v>
      </c>
      <c r="G5" s="17">
        <f t="shared" si="2"/>
        <v>0.22228401531518038</v>
      </c>
      <c r="H5" s="18">
        <f t="shared" si="2"/>
        <v>-4.5480549199084619E-2</v>
      </c>
      <c r="I5" s="18">
        <f t="shared" si="2"/>
        <v>-4.517766497461928E-2</v>
      </c>
      <c r="J5" s="18">
        <f t="shared" si="2"/>
        <v>0</v>
      </c>
      <c r="K5" s="18">
        <f t="shared" si="2"/>
        <v>0</v>
      </c>
      <c r="L5" s="18">
        <f t="shared" si="2"/>
        <v>0.23978933791917445</v>
      </c>
      <c r="M5" s="18">
        <f t="shared" si="2"/>
        <v>0.31232457259504987</v>
      </c>
      <c r="N5" s="18">
        <f t="shared" si="2"/>
        <v>0.14133673903788857</v>
      </c>
      <c r="O5" s="18">
        <f t="shared" si="2"/>
        <v>0.34465791940018753</v>
      </c>
      <c r="P5" s="18">
        <f t="shared" si="2"/>
        <v>0.56046947788734958</v>
      </c>
      <c r="Q5" s="18">
        <f t="shared" si="2"/>
        <v>0.28833597464342309</v>
      </c>
      <c r="R5" s="18">
        <f t="shared" si="2"/>
        <v>0.3098794963217042</v>
      </c>
      <c r="S5" s="18">
        <f t="shared" si="2"/>
        <v>4.9115913555992208E-2</v>
      </c>
      <c r="T5" s="18">
        <f t="shared" si="2"/>
        <v>-1.3191740412979351</v>
      </c>
      <c r="U5" s="18">
        <f t="shared" si="2"/>
        <v>-3.8888888888888888</v>
      </c>
      <c r="V5" s="18">
        <f t="shared" si="2"/>
        <v>-0.99473288186606468</v>
      </c>
      <c r="W5" s="18">
        <f t="shared" si="2"/>
        <v>-0.2850940665701881</v>
      </c>
      <c r="X5" s="18">
        <f t="shared" si="2"/>
        <v>0.59953703703703698</v>
      </c>
      <c r="AB5" s="3"/>
    </row>
    <row r="6" spans="1:35" ht="15.75" customHeight="1" x14ac:dyDescent="0.3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AA6" s="3"/>
    </row>
    <row r="7" spans="1:35" ht="15.75" customHeight="1" x14ac:dyDescent="0.3">
      <c r="A7" s="6"/>
      <c r="B7" s="19" t="s">
        <v>30</v>
      </c>
      <c r="C7" s="20" t="s">
        <v>31</v>
      </c>
      <c r="D7" s="21"/>
      <c r="E7" s="21"/>
      <c r="F7" s="20" t="s">
        <v>32</v>
      </c>
      <c r="G7" s="21"/>
      <c r="H7" s="21"/>
      <c r="I7" s="20" t="s">
        <v>33</v>
      </c>
      <c r="J7" s="21"/>
      <c r="K7" s="21"/>
      <c r="L7" s="21"/>
      <c r="M7" s="21"/>
      <c r="N7" s="6"/>
      <c r="O7" s="6"/>
      <c r="P7" s="6"/>
      <c r="Q7" s="6"/>
      <c r="AA7" s="3"/>
    </row>
    <row r="8" spans="1:35" ht="15.75" customHeight="1" x14ac:dyDescent="0.3">
      <c r="A8" s="1" t="s">
        <v>34</v>
      </c>
      <c r="B8" s="1" t="s">
        <v>35</v>
      </c>
      <c r="C8" s="1" t="s">
        <v>36</v>
      </c>
      <c r="D8" s="1" t="s">
        <v>37</v>
      </c>
      <c r="E8" s="1" t="s">
        <v>38</v>
      </c>
      <c r="F8" s="1" t="s">
        <v>39</v>
      </c>
      <c r="G8" s="1" t="s">
        <v>40</v>
      </c>
      <c r="H8" s="1" t="s">
        <v>41</v>
      </c>
      <c r="I8" s="1" t="s">
        <v>42</v>
      </c>
      <c r="J8" s="1" t="s">
        <v>43</v>
      </c>
      <c r="K8" s="1" t="s">
        <v>44</v>
      </c>
      <c r="L8" s="1" t="s">
        <v>45</v>
      </c>
      <c r="M8" s="1" t="s">
        <v>46</v>
      </c>
      <c r="N8" s="1" t="s">
        <v>47</v>
      </c>
      <c r="O8" s="1" t="s">
        <v>48</v>
      </c>
      <c r="P8" s="1" t="s">
        <v>49</v>
      </c>
      <c r="Q8" s="1" t="s">
        <v>50</v>
      </c>
      <c r="AA8" s="3"/>
    </row>
    <row r="9" spans="1:35" ht="15.75" customHeight="1" x14ac:dyDescent="0.3">
      <c r="A9" s="6"/>
      <c r="B9" s="22">
        <f>E53</f>
        <v>0.21197741961875161</v>
      </c>
      <c r="C9" s="23">
        <f>C58</f>
        <v>7.3646550560280813E-2</v>
      </c>
      <c r="D9" s="22">
        <f>O3/P3</f>
        <v>1.3350133757220952</v>
      </c>
      <c r="E9" s="24">
        <f>(S3/G3)*365</f>
        <v>6.8218329454176372</v>
      </c>
      <c r="F9" s="22">
        <f>M3/L3</f>
        <v>0.89172084958820985</v>
      </c>
      <c r="G9" s="22">
        <f>R3/Q3</f>
        <v>0.71402563534824215</v>
      </c>
      <c r="H9" s="25">
        <f>C59</f>
        <v>-0.23247232472324722</v>
      </c>
      <c r="I9" s="22">
        <f>H3/L3</f>
        <v>0.2892934547030776</v>
      </c>
      <c r="J9" s="26">
        <f>H3/K3</f>
        <v>37.49438202247191</v>
      </c>
      <c r="K9" s="22">
        <f>H3/Q3</f>
        <v>8.2097079735281811E-2</v>
      </c>
      <c r="L9" s="26">
        <f ca="1">C3/I3</f>
        <v>95.55289739500266</v>
      </c>
      <c r="M9" s="23">
        <f ca="1">I3/C3</f>
        <v>1.0465407405346761E-2</v>
      </c>
      <c r="N9" s="26">
        <f>(L3)/(K3/J3)</f>
        <v>129.6067415730337</v>
      </c>
      <c r="O9" s="26">
        <f ca="1">C3/N9</f>
        <v>27.735439965322929</v>
      </c>
      <c r="P9" s="25">
        <f ca="1">S49</f>
        <v>1.8322703239693705</v>
      </c>
      <c r="Q9" s="23">
        <v>7.0000000000000007E-2</v>
      </c>
      <c r="R9" s="27"/>
      <c r="S9" s="27"/>
      <c r="T9" s="27"/>
      <c r="U9" s="27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</row>
    <row r="10" spans="1:35" ht="15.6" x14ac:dyDescent="0.25">
      <c r="A10" s="29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7"/>
      <c r="N10" s="28"/>
      <c r="O10" s="28"/>
      <c r="P10" s="28"/>
      <c r="Q10" s="27"/>
      <c r="R10" s="27"/>
      <c r="S10" s="27"/>
      <c r="T10" s="27"/>
      <c r="U10" s="27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</row>
    <row r="11" spans="1:35" ht="15" x14ac:dyDescent="0.25">
      <c r="A11" s="30" t="s">
        <v>51</v>
      </c>
      <c r="B11" s="31" t="s">
        <v>52</v>
      </c>
      <c r="C11" s="31" t="s">
        <v>53</v>
      </c>
      <c r="D11" s="31" t="s">
        <v>54</v>
      </c>
      <c r="E11" s="31" t="s">
        <v>55</v>
      </c>
      <c r="F11" s="30" t="s">
        <v>56</v>
      </c>
      <c r="G11" s="30" t="s">
        <v>14</v>
      </c>
      <c r="H11" s="30" t="s">
        <v>57</v>
      </c>
      <c r="I11" s="30" t="s">
        <v>58</v>
      </c>
      <c r="J11" s="30" t="s">
        <v>59</v>
      </c>
      <c r="K11" s="30" t="s">
        <v>60</v>
      </c>
      <c r="L11" s="30" t="s">
        <v>61</v>
      </c>
      <c r="M11" s="30" t="s">
        <v>62</v>
      </c>
      <c r="N11" s="30" t="s">
        <v>63</v>
      </c>
      <c r="O11" s="30" t="s">
        <v>64</v>
      </c>
      <c r="AE11" s="28"/>
      <c r="AF11" s="28"/>
      <c r="AG11" s="28"/>
      <c r="AH11" s="28"/>
      <c r="AI11" s="28"/>
    </row>
    <row r="12" spans="1:35" ht="15.6" x14ac:dyDescent="0.25">
      <c r="A12" s="32" t="s">
        <v>65</v>
      </c>
      <c r="B12" s="33" t="s">
        <v>66</v>
      </c>
      <c r="C12" s="34">
        <v>482</v>
      </c>
      <c r="D12" s="34">
        <v>17</v>
      </c>
      <c r="E12" s="35">
        <v>2.8</v>
      </c>
      <c r="F12" s="36">
        <f t="shared" ref="F12:F39" si="3">D12/C12</f>
        <v>3.5269709543568464E-2</v>
      </c>
      <c r="G12" s="37">
        <v>42.3</v>
      </c>
      <c r="H12" s="12">
        <v>116</v>
      </c>
      <c r="I12" s="38">
        <v>32</v>
      </c>
      <c r="J12" s="38">
        <v>105</v>
      </c>
      <c r="K12" s="39">
        <f t="shared" ref="K12:K39" si="4">I12/E12</f>
        <v>11.428571428571429</v>
      </c>
      <c r="L12" s="39">
        <f t="shared" ref="L12:L39" si="5">J12/E12</f>
        <v>37.5</v>
      </c>
      <c r="M12" s="9">
        <f t="shared" ref="M12:M24" si="6">(G12+H12)/(G12/10)</f>
        <v>37.423167848699769</v>
      </c>
      <c r="N12" s="9">
        <f t="shared" ref="N12:N39" si="7">I12/M12</f>
        <v>0.85508528111181292</v>
      </c>
      <c r="O12" s="9">
        <f t="shared" ref="O12:O39" si="8">J12/M12</f>
        <v>2.805748578648136</v>
      </c>
      <c r="AE12" s="28"/>
      <c r="AF12" s="28"/>
      <c r="AG12" s="28"/>
      <c r="AH12" s="28"/>
      <c r="AI12" s="28"/>
    </row>
    <row r="13" spans="1:35" ht="15.6" x14ac:dyDescent="0.25">
      <c r="A13" s="40"/>
      <c r="B13" s="33" t="s">
        <v>67</v>
      </c>
      <c r="C13" s="34">
        <v>630</v>
      </c>
      <c r="D13" s="34">
        <v>19</v>
      </c>
      <c r="E13" s="35">
        <v>3.6</v>
      </c>
      <c r="F13" s="36">
        <f t="shared" si="3"/>
        <v>3.0158730158730159E-2</v>
      </c>
      <c r="G13" s="37">
        <v>42.3</v>
      </c>
      <c r="H13" s="12">
        <v>118</v>
      </c>
      <c r="I13" s="38">
        <v>59</v>
      </c>
      <c r="J13" s="38">
        <v>178</v>
      </c>
      <c r="K13" s="39">
        <f t="shared" si="4"/>
        <v>16.388888888888889</v>
      </c>
      <c r="L13" s="39">
        <f t="shared" si="5"/>
        <v>49.444444444444443</v>
      </c>
      <c r="M13" s="9">
        <f t="shared" si="6"/>
        <v>37.895981087470453</v>
      </c>
      <c r="N13" s="9">
        <f t="shared" si="7"/>
        <v>1.5568933250155956</v>
      </c>
      <c r="O13" s="9">
        <f t="shared" si="8"/>
        <v>4.6970679975046785</v>
      </c>
      <c r="W13" s="2"/>
      <c r="X13" s="2"/>
      <c r="Y13" s="2"/>
      <c r="AB13" s="2"/>
      <c r="AC13" s="2"/>
      <c r="AD13" s="2"/>
      <c r="AE13" s="2"/>
      <c r="AF13" s="2"/>
      <c r="AG13" s="28"/>
      <c r="AH13" s="28"/>
      <c r="AI13" s="28"/>
    </row>
    <row r="14" spans="1:35" ht="15.6" x14ac:dyDescent="0.25">
      <c r="A14" s="40"/>
      <c r="B14" s="33" t="s">
        <v>68</v>
      </c>
      <c r="C14" s="34">
        <v>697</v>
      </c>
      <c r="D14" s="34">
        <v>24</v>
      </c>
      <c r="E14" s="35">
        <v>4.41</v>
      </c>
      <c r="F14" s="36">
        <f t="shared" si="3"/>
        <v>3.443328550932568E-2</v>
      </c>
      <c r="G14" s="37">
        <v>42.3</v>
      </c>
      <c r="H14" s="12">
        <v>125</v>
      </c>
      <c r="I14" s="38">
        <v>52</v>
      </c>
      <c r="J14" s="38">
        <v>94</v>
      </c>
      <c r="K14" s="39">
        <f t="shared" si="4"/>
        <v>11.791383219954648</v>
      </c>
      <c r="L14" s="39">
        <f t="shared" si="5"/>
        <v>21.315192743764172</v>
      </c>
      <c r="M14" s="9">
        <f t="shared" si="6"/>
        <v>39.550827423167853</v>
      </c>
      <c r="N14" s="9">
        <f t="shared" si="7"/>
        <v>1.3147638971906752</v>
      </c>
      <c r="O14" s="9">
        <f t="shared" si="8"/>
        <v>2.3766885833831437</v>
      </c>
      <c r="Q14" s="41"/>
      <c r="W14" s="41"/>
      <c r="X14" s="41"/>
      <c r="Y14" s="41"/>
      <c r="AA14" s="41"/>
      <c r="AB14" s="41"/>
      <c r="AC14" s="41"/>
      <c r="AD14" s="41"/>
      <c r="AE14" s="2"/>
      <c r="AF14" s="2"/>
      <c r="AG14" s="28"/>
      <c r="AH14" s="28"/>
      <c r="AI14" s="28"/>
    </row>
    <row r="15" spans="1:35" ht="15.6" x14ac:dyDescent="0.25">
      <c r="A15" s="40"/>
      <c r="B15" s="33" t="s">
        <v>69</v>
      </c>
      <c r="C15" s="34">
        <v>725</v>
      </c>
      <c r="D15" s="34">
        <v>13</v>
      </c>
      <c r="E15" s="42">
        <v>2.2000000000000002</v>
      </c>
      <c r="F15" s="36">
        <f t="shared" si="3"/>
        <v>1.793103448275862E-2</v>
      </c>
      <c r="G15" s="37">
        <v>42.3</v>
      </c>
      <c r="H15" s="12">
        <v>82</v>
      </c>
      <c r="I15" s="43">
        <v>23.3</v>
      </c>
      <c r="J15" s="43">
        <v>63</v>
      </c>
      <c r="K15" s="39">
        <f t="shared" si="4"/>
        <v>10.59090909090909</v>
      </c>
      <c r="L15" s="39">
        <f t="shared" si="5"/>
        <v>28.636363636363633</v>
      </c>
      <c r="M15" s="9">
        <f t="shared" si="6"/>
        <v>29.385342789598113</v>
      </c>
      <c r="N15" s="9">
        <f t="shared" si="7"/>
        <v>0.79291230893000797</v>
      </c>
      <c r="O15" s="9">
        <f t="shared" si="8"/>
        <v>2.1439259855189055</v>
      </c>
      <c r="Q15" s="44"/>
      <c r="W15" s="2"/>
      <c r="X15" s="41"/>
      <c r="Y15" s="41"/>
      <c r="AA15" s="44"/>
      <c r="AB15" s="2"/>
      <c r="AC15" s="41"/>
      <c r="AD15" s="41"/>
      <c r="AE15" s="2"/>
      <c r="AF15" s="2"/>
      <c r="AG15" s="28"/>
      <c r="AH15" s="28"/>
      <c r="AI15" s="28"/>
    </row>
    <row r="16" spans="1:35" ht="15.6" x14ac:dyDescent="0.25">
      <c r="A16" s="32" t="s">
        <v>70</v>
      </c>
      <c r="B16" s="33" t="s">
        <v>71</v>
      </c>
      <c r="C16" s="34">
        <v>798</v>
      </c>
      <c r="D16" s="34">
        <v>6.2</v>
      </c>
      <c r="E16" s="42">
        <v>0.6</v>
      </c>
      <c r="F16" s="36">
        <f t="shared" si="3"/>
        <v>7.7694235588972437E-3</v>
      </c>
      <c r="G16" s="37">
        <v>42.3</v>
      </c>
      <c r="H16" s="12">
        <v>80</v>
      </c>
      <c r="I16" s="43">
        <v>50</v>
      </c>
      <c r="J16" s="43">
        <v>89.7</v>
      </c>
      <c r="K16" s="39">
        <f t="shared" si="4"/>
        <v>83.333333333333343</v>
      </c>
      <c r="L16" s="39">
        <f t="shared" si="5"/>
        <v>149.5</v>
      </c>
      <c r="M16" s="9">
        <f t="shared" si="6"/>
        <v>28.912529550827426</v>
      </c>
      <c r="N16" s="9">
        <f t="shared" si="7"/>
        <v>1.7293540474243663</v>
      </c>
      <c r="O16" s="9">
        <f t="shared" si="8"/>
        <v>3.1024611610793129</v>
      </c>
      <c r="Q16" s="44"/>
      <c r="W16" s="41"/>
      <c r="X16" s="41"/>
      <c r="Y16" s="41"/>
      <c r="AA16" s="44"/>
      <c r="AB16" s="41"/>
      <c r="AC16" s="41"/>
      <c r="AD16" s="41"/>
      <c r="AE16" s="2"/>
      <c r="AF16" s="2"/>
      <c r="AG16" s="28"/>
      <c r="AH16" s="28"/>
      <c r="AI16" s="28"/>
    </row>
    <row r="17" spans="1:35" ht="15.6" x14ac:dyDescent="0.25">
      <c r="A17" s="40"/>
      <c r="B17" s="33" t="s">
        <v>72</v>
      </c>
      <c r="C17" s="34">
        <v>959</v>
      </c>
      <c r="D17" s="34">
        <v>11</v>
      </c>
      <c r="E17" s="42">
        <v>1.76</v>
      </c>
      <c r="F17" s="36">
        <f t="shared" si="3"/>
        <v>1.1470281543274244E-2</v>
      </c>
      <c r="G17" s="37">
        <v>42.3</v>
      </c>
      <c r="H17" s="12">
        <v>82</v>
      </c>
      <c r="I17" s="43">
        <v>51</v>
      </c>
      <c r="J17" s="43">
        <v>143.80000000000001</v>
      </c>
      <c r="K17" s="39">
        <f t="shared" si="4"/>
        <v>28.977272727272727</v>
      </c>
      <c r="L17" s="39">
        <f t="shared" si="5"/>
        <v>81.704545454545467</v>
      </c>
      <c r="M17" s="9">
        <f t="shared" si="6"/>
        <v>29.385342789598113</v>
      </c>
      <c r="N17" s="9">
        <f t="shared" si="7"/>
        <v>1.7355591311343521</v>
      </c>
      <c r="O17" s="9">
        <f t="shared" si="8"/>
        <v>4.8935961383748996</v>
      </c>
      <c r="Q17" s="44"/>
      <c r="W17" s="41"/>
      <c r="X17" s="41"/>
      <c r="Y17" s="41"/>
      <c r="AA17" s="44"/>
      <c r="AB17" s="41"/>
      <c r="AC17" s="41"/>
      <c r="AD17" s="41"/>
      <c r="AE17" s="2"/>
      <c r="AF17" s="2"/>
      <c r="AG17" s="28"/>
      <c r="AH17" s="28"/>
      <c r="AI17" s="28"/>
    </row>
    <row r="18" spans="1:35" ht="15.6" x14ac:dyDescent="0.25">
      <c r="A18" s="40"/>
      <c r="B18" s="33" t="s">
        <v>73</v>
      </c>
      <c r="C18" s="34">
        <v>1135</v>
      </c>
      <c r="D18" s="34">
        <v>25</v>
      </c>
      <c r="E18" s="42">
        <v>6</v>
      </c>
      <c r="F18" s="36">
        <f t="shared" si="3"/>
        <v>2.2026431718061675E-2</v>
      </c>
      <c r="G18" s="37">
        <v>42.3</v>
      </c>
      <c r="H18" s="12">
        <v>95</v>
      </c>
      <c r="I18" s="43">
        <v>83</v>
      </c>
      <c r="J18" s="43">
        <v>276</v>
      </c>
      <c r="K18" s="39">
        <f t="shared" si="4"/>
        <v>13.833333333333334</v>
      </c>
      <c r="L18" s="39">
        <f t="shared" si="5"/>
        <v>46</v>
      </c>
      <c r="M18" s="9">
        <f t="shared" si="6"/>
        <v>32.45862884160757</v>
      </c>
      <c r="N18" s="9">
        <f t="shared" si="7"/>
        <v>2.5571012381646026</v>
      </c>
      <c r="O18" s="9">
        <f t="shared" si="8"/>
        <v>8.5031318281136183</v>
      </c>
      <c r="Q18" s="44"/>
      <c r="W18" s="44"/>
      <c r="X18" s="41"/>
      <c r="Y18" s="41"/>
      <c r="AA18" s="44"/>
      <c r="AC18" s="41"/>
      <c r="AD18" s="41"/>
      <c r="AE18" s="2"/>
      <c r="AF18" s="2"/>
      <c r="AG18" s="28"/>
      <c r="AH18" s="28"/>
      <c r="AI18" s="28"/>
    </row>
    <row r="19" spans="1:35" ht="15.6" x14ac:dyDescent="0.25">
      <c r="A19" s="40"/>
      <c r="B19" s="33" t="s">
        <v>74</v>
      </c>
      <c r="C19" s="34">
        <v>1482</v>
      </c>
      <c r="D19" s="34">
        <v>74</v>
      </c>
      <c r="E19" s="45">
        <v>17</v>
      </c>
      <c r="F19" s="36">
        <f t="shared" si="3"/>
        <v>4.9932523616734142E-2</v>
      </c>
      <c r="G19" s="37">
        <v>42.3</v>
      </c>
      <c r="H19" s="12">
        <v>150</v>
      </c>
      <c r="I19" s="43">
        <v>218</v>
      </c>
      <c r="J19" s="43">
        <v>895</v>
      </c>
      <c r="K19" s="39">
        <f t="shared" si="4"/>
        <v>12.823529411764707</v>
      </c>
      <c r="L19" s="39">
        <f t="shared" si="5"/>
        <v>52.647058823529413</v>
      </c>
      <c r="M19" s="9">
        <f t="shared" si="6"/>
        <v>45.460992907801426</v>
      </c>
      <c r="N19" s="9">
        <f t="shared" si="7"/>
        <v>4.7953198127925107</v>
      </c>
      <c r="O19" s="9">
        <f t="shared" si="8"/>
        <v>19.687207488299528</v>
      </c>
      <c r="Q19" s="44"/>
      <c r="W19" s="2"/>
      <c r="X19" s="46"/>
      <c r="Y19" s="46"/>
      <c r="AA19" s="44"/>
      <c r="AB19" s="2"/>
      <c r="AC19" s="46"/>
      <c r="AD19" s="46"/>
      <c r="AE19" s="2"/>
      <c r="AF19" s="2"/>
      <c r="AG19" s="28"/>
      <c r="AH19" s="28"/>
      <c r="AI19" s="28"/>
    </row>
    <row r="20" spans="1:35" ht="15.6" x14ac:dyDescent="0.25">
      <c r="A20" s="32" t="s">
        <v>75</v>
      </c>
      <c r="B20" s="33" t="s">
        <v>76</v>
      </c>
      <c r="C20" s="34">
        <v>2137</v>
      </c>
      <c r="D20" s="34">
        <v>94</v>
      </c>
      <c r="E20" s="45">
        <v>21</v>
      </c>
      <c r="F20" s="36">
        <f t="shared" si="3"/>
        <v>4.3986897519887692E-2</v>
      </c>
      <c r="G20" s="37">
        <v>42.3</v>
      </c>
      <c r="H20" s="12">
        <v>283</v>
      </c>
      <c r="I20" s="43">
        <v>486.2</v>
      </c>
      <c r="J20" s="43">
        <v>1053</v>
      </c>
      <c r="K20" s="39">
        <f t="shared" si="4"/>
        <v>23.152380952380952</v>
      </c>
      <c r="L20" s="39">
        <f t="shared" si="5"/>
        <v>50.142857142857146</v>
      </c>
      <c r="M20" s="9">
        <f t="shared" si="6"/>
        <v>76.90307328605202</v>
      </c>
      <c r="N20" s="9">
        <f t="shared" si="7"/>
        <v>6.3222440823854891</v>
      </c>
      <c r="O20" s="9">
        <f t="shared" si="8"/>
        <v>13.692560713187826</v>
      </c>
      <c r="Q20" s="44"/>
      <c r="W20" s="2"/>
      <c r="X20" s="44"/>
      <c r="Y20" s="44"/>
      <c r="AA20" s="44"/>
      <c r="AB20" s="2"/>
      <c r="AC20" s="44"/>
      <c r="AD20" s="44"/>
      <c r="AE20" s="2"/>
      <c r="AF20" s="2"/>
      <c r="AG20" s="28"/>
      <c r="AH20" s="28"/>
      <c r="AI20" s="28"/>
    </row>
    <row r="21" spans="1:35" ht="15.6" x14ac:dyDescent="0.25">
      <c r="A21" s="40"/>
      <c r="B21" s="33" t="s">
        <v>77</v>
      </c>
      <c r="C21" s="47">
        <v>3041</v>
      </c>
      <c r="D21" s="47">
        <v>150</v>
      </c>
      <c r="E21" s="45">
        <v>33.24</v>
      </c>
      <c r="F21" s="36">
        <f t="shared" si="3"/>
        <v>4.9325879644853667E-2</v>
      </c>
      <c r="G21" s="37">
        <v>44.4</v>
      </c>
      <c r="H21" s="12">
        <v>391</v>
      </c>
      <c r="I21" s="43">
        <v>808</v>
      </c>
      <c r="J21" s="43">
        <v>1795</v>
      </c>
      <c r="K21" s="39">
        <f t="shared" si="4"/>
        <v>24.308062575210588</v>
      </c>
      <c r="L21" s="39">
        <f t="shared" si="5"/>
        <v>54.001203369434414</v>
      </c>
      <c r="M21" s="9">
        <f t="shared" si="6"/>
        <v>98.063063063063069</v>
      </c>
      <c r="N21" s="9">
        <f t="shared" si="7"/>
        <v>8.239595774000918</v>
      </c>
      <c r="O21" s="9">
        <f t="shared" si="8"/>
        <v>18.304547542489665</v>
      </c>
      <c r="Q21" s="44"/>
      <c r="X21" s="46"/>
      <c r="Y21" s="46"/>
      <c r="AA21" s="44"/>
      <c r="AB21" s="2"/>
      <c r="AC21" s="46"/>
      <c r="AD21" s="46"/>
      <c r="AE21" s="2"/>
      <c r="AF21" s="2"/>
      <c r="AG21" s="28"/>
      <c r="AH21" s="28"/>
      <c r="AI21" s="28"/>
    </row>
    <row r="22" spans="1:35" ht="15.6" x14ac:dyDescent="0.25">
      <c r="A22" s="40"/>
      <c r="B22" s="33" t="s">
        <v>78</v>
      </c>
      <c r="C22" s="47">
        <v>3804</v>
      </c>
      <c r="D22" s="47">
        <v>159</v>
      </c>
      <c r="E22" s="45">
        <v>36</v>
      </c>
      <c r="F22" s="36">
        <f t="shared" si="3"/>
        <v>4.1798107255520502E-2</v>
      </c>
      <c r="G22" s="37">
        <v>44.4</v>
      </c>
      <c r="H22" s="12">
        <v>506</v>
      </c>
      <c r="I22" s="43">
        <v>710</v>
      </c>
      <c r="J22" s="43">
        <v>1347</v>
      </c>
      <c r="K22" s="39">
        <f t="shared" si="4"/>
        <v>19.722222222222221</v>
      </c>
      <c r="L22" s="39">
        <f t="shared" si="5"/>
        <v>37.416666666666664</v>
      </c>
      <c r="M22" s="9">
        <f t="shared" si="6"/>
        <v>123.96396396396398</v>
      </c>
      <c r="N22" s="9">
        <f t="shared" si="7"/>
        <v>5.7274709302325579</v>
      </c>
      <c r="O22" s="9">
        <f t="shared" si="8"/>
        <v>10.866061046511627</v>
      </c>
      <c r="AE22" s="28"/>
      <c r="AF22" s="28"/>
      <c r="AG22" s="28"/>
      <c r="AH22" s="28"/>
      <c r="AI22" s="28"/>
    </row>
    <row r="23" spans="1:35" ht="15.6" x14ac:dyDescent="0.25">
      <c r="A23" s="40"/>
      <c r="B23" s="33" t="s">
        <v>79</v>
      </c>
      <c r="C23" s="47">
        <v>4675</v>
      </c>
      <c r="D23" s="47">
        <v>250</v>
      </c>
      <c r="E23" s="45">
        <v>57</v>
      </c>
      <c r="F23" s="36">
        <f t="shared" si="3"/>
        <v>5.3475935828877004E-2</v>
      </c>
      <c r="G23" s="37">
        <v>44.4</v>
      </c>
      <c r="H23" s="12">
        <v>680</v>
      </c>
      <c r="I23" s="43">
        <v>719</v>
      </c>
      <c r="J23" s="43">
        <v>1905</v>
      </c>
      <c r="K23" s="39">
        <f t="shared" si="4"/>
        <v>12.614035087719298</v>
      </c>
      <c r="L23" s="39">
        <f t="shared" si="5"/>
        <v>33.421052631578945</v>
      </c>
      <c r="M23" s="9">
        <f t="shared" si="6"/>
        <v>163.15315315315317</v>
      </c>
      <c r="N23" s="9">
        <f t="shared" si="7"/>
        <v>4.4069022639425723</v>
      </c>
      <c r="O23" s="9">
        <f t="shared" si="8"/>
        <v>11.676145775814465</v>
      </c>
      <c r="AE23" s="28"/>
      <c r="AF23" s="28"/>
      <c r="AG23" s="28"/>
      <c r="AH23" s="28"/>
      <c r="AI23" s="28"/>
    </row>
    <row r="24" spans="1:35" ht="15.6" x14ac:dyDescent="0.25">
      <c r="A24" s="32" t="s">
        <v>80</v>
      </c>
      <c r="B24" s="33" t="s">
        <v>81</v>
      </c>
      <c r="C24" s="48">
        <v>6255</v>
      </c>
      <c r="D24" s="48">
        <v>430</v>
      </c>
      <c r="E24" s="45">
        <v>98</v>
      </c>
      <c r="F24" s="36">
        <f t="shared" si="3"/>
        <v>6.8745003996802556E-2</v>
      </c>
      <c r="G24" s="37">
        <v>44.4</v>
      </c>
      <c r="H24" s="12">
        <v>980</v>
      </c>
      <c r="I24" s="43">
        <v>1836</v>
      </c>
      <c r="J24" s="43">
        <v>4244</v>
      </c>
      <c r="K24" s="39">
        <f t="shared" si="4"/>
        <v>18.73469387755102</v>
      </c>
      <c r="L24" s="39">
        <f t="shared" si="5"/>
        <v>43.306122448979593</v>
      </c>
      <c r="M24" s="9">
        <f t="shared" si="6"/>
        <v>230.72072072072078</v>
      </c>
      <c r="N24" s="9">
        <f t="shared" si="7"/>
        <v>7.9576727840687216</v>
      </c>
      <c r="O24" s="9">
        <f t="shared" si="8"/>
        <v>18.394533385396326</v>
      </c>
      <c r="AE24" s="28"/>
      <c r="AF24" s="28"/>
      <c r="AG24" s="28"/>
      <c r="AH24" s="28"/>
      <c r="AI24" s="28"/>
    </row>
    <row r="25" spans="1:35" ht="15.6" x14ac:dyDescent="0.25">
      <c r="A25" s="40" t="s">
        <v>82</v>
      </c>
      <c r="B25" s="33" t="s">
        <v>83</v>
      </c>
      <c r="C25" s="48">
        <v>8840</v>
      </c>
      <c r="D25" s="48">
        <v>600</v>
      </c>
      <c r="E25" s="45">
        <v>7</v>
      </c>
      <c r="F25" s="36">
        <f t="shared" si="3"/>
        <v>6.7873303167420809E-2</v>
      </c>
      <c r="G25" s="12">
        <v>89</v>
      </c>
      <c r="H25" s="12">
        <v>1361</v>
      </c>
      <c r="I25" s="43">
        <v>154.4</v>
      </c>
      <c r="J25" s="43">
        <v>238</v>
      </c>
      <c r="K25" s="39">
        <f t="shared" si="4"/>
        <v>22.057142857142857</v>
      </c>
      <c r="L25" s="39">
        <f t="shared" si="5"/>
        <v>34</v>
      </c>
      <c r="M25" s="9">
        <f t="shared" ref="M25:M39" si="9">(G25+H25)/(G25/1)</f>
        <v>16.292134831460675</v>
      </c>
      <c r="N25" s="9">
        <f t="shared" si="7"/>
        <v>9.4769655172413785</v>
      </c>
      <c r="O25" s="9">
        <f t="shared" si="8"/>
        <v>14.608275862068965</v>
      </c>
      <c r="AE25" s="28"/>
      <c r="AF25" s="28"/>
      <c r="AG25" s="28"/>
      <c r="AH25" s="28"/>
      <c r="AI25" s="28"/>
    </row>
    <row r="26" spans="1:35" ht="15.6" x14ac:dyDescent="0.25">
      <c r="A26" s="32" t="s">
        <v>84</v>
      </c>
      <c r="B26" s="33" t="s">
        <v>85</v>
      </c>
      <c r="C26" s="48">
        <v>10113</v>
      </c>
      <c r="D26" s="48">
        <v>725</v>
      </c>
      <c r="E26" s="45">
        <v>8</v>
      </c>
      <c r="F26" s="36">
        <f t="shared" si="3"/>
        <v>7.1689904083852465E-2</v>
      </c>
      <c r="G26" s="12">
        <v>89</v>
      </c>
      <c r="H26" s="12">
        <v>1860</v>
      </c>
      <c r="I26" s="43">
        <v>204</v>
      </c>
      <c r="J26" s="43">
        <v>313.60000000000002</v>
      </c>
      <c r="K26" s="39">
        <f t="shared" si="4"/>
        <v>25.5</v>
      </c>
      <c r="L26" s="39">
        <f t="shared" si="5"/>
        <v>39.200000000000003</v>
      </c>
      <c r="M26" s="9">
        <f t="shared" si="9"/>
        <v>21.898876404494381</v>
      </c>
      <c r="N26" s="9">
        <f t="shared" si="7"/>
        <v>9.3155464340687537</v>
      </c>
      <c r="O26" s="9">
        <f t="shared" si="8"/>
        <v>14.320369420215497</v>
      </c>
      <c r="R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</row>
    <row r="27" spans="1:35" ht="15.6" x14ac:dyDescent="0.25">
      <c r="A27" s="40"/>
      <c r="B27" s="33" t="s">
        <v>86</v>
      </c>
      <c r="C27" s="34">
        <v>10916</v>
      </c>
      <c r="D27" s="34">
        <v>741</v>
      </c>
      <c r="E27" s="45">
        <v>8</v>
      </c>
      <c r="F27" s="36">
        <f t="shared" si="3"/>
        <v>6.7882008061561014E-2</v>
      </c>
      <c r="G27" s="12">
        <v>89</v>
      </c>
      <c r="H27" s="12">
        <v>2434</v>
      </c>
      <c r="I27" s="43">
        <v>200</v>
      </c>
      <c r="J27" s="43">
        <v>302</v>
      </c>
      <c r="K27" s="39">
        <f t="shared" si="4"/>
        <v>25</v>
      </c>
      <c r="L27" s="39">
        <f t="shared" si="5"/>
        <v>37.75</v>
      </c>
      <c r="M27" s="9">
        <f t="shared" si="9"/>
        <v>28.348314606741575</v>
      </c>
      <c r="N27" s="9">
        <f t="shared" si="7"/>
        <v>7.0550931430836306</v>
      </c>
      <c r="O27" s="9">
        <f t="shared" si="8"/>
        <v>10.653190646056281</v>
      </c>
      <c r="R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</row>
    <row r="28" spans="1:35" ht="15.6" x14ac:dyDescent="0.25">
      <c r="A28" s="40" t="s">
        <v>87</v>
      </c>
      <c r="B28" s="33" t="s">
        <v>88</v>
      </c>
      <c r="C28" s="34">
        <v>11903</v>
      </c>
      <c r="D28" s="34">
        <v>823</v>
      </c>
      <c r="E28" s="45">
        <v>9.27</v>
      </c>
      <c r="F28" s="36">
        <f t="shared" si="3"/>
        <v>6.914223305049147E-2</v>
      </c>
      <c r="G28" s="12">
        <v>89</v>
      </c>
      <c r="H28" s="12">
        <v>2995</v>
      </c>
      <c r="I28" s="43">
        <v>252</v>
      </c>
      <c r="J28" s="43">
        <v>448</v>
      </c>
      <c r="K28" s="39">
        <f t="shared" si="4"/>
        <v>27.184466019417478</v>
      </c>
      <c r="L28" s="39">
        <f t="shared" si="5"/>
        <v>48.327939590075516</v>
      </c>
      <c r="M28" s="9">
        <f t="shared" si="9"/>
        <v>34.651685393258425</v>
      </c>
      <c r="N28" s="9">
        <f t="shared" si="7"/>
        <v>7.272373540856031</v>
      </c>
      <c r="O28" s="9">
        <f t="shared" si="8"/>
        <v>12.928664072632944</v>
      </c>
      <c r="R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</row>
    <row r="29" spans="1:35" ht="15.6" x14ac:dyDescent="0.25">
      <c r="A29" s="40" t="s">
        <v>89</v>
      </c>
      <c r="B29" s="33" t="s">
        <v>90</v>
      </c>
      <c r="C29" s="48">
        <v>11278</v>
      </c>
      <c r="D29" s="48">
        <v>690</v>
      </c>
      <c r="E29" s="45">
        <v>7.95</v>
      </c>
      <c r="F29" s="36">
        <f t="shared" si="3"/>
        <v>6.1181060471714843E-2</v>
      </c>
      <c r="G29" s="12">
        <v>89</v>
      </c>
      <c r="H29" s="12">
        <v>3418</v>
      </c>
      <c r="I29" s="43">
        <v>303</v>
      </c>
      <c r="J29" s="43">
        <v>422</v>
      </c>
      <c r="K29" s="39">
        <f t="shared" si="4"/>
        <v>38.113207547169807</v>
      </c>
      <c r="L29" s="39">
        <f t="shared" si="5"/>
        <v>53.081761006289305</v>
      </c>
      <c r="M29" s="9">
        <f t="shared" si="9"/>
        <v>39.40449438202247</v>
      </c>
      <c r="N29" s="9">
        <f t="shared" si="7"/>
        <v>7.689478186484175</v>
      </c>
      <c r="O29" s="9">
        <f t="shared" si="8"/>
        <v>10.709438266324494</v>
      </c>
      <c r="R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</row>
    <row r="30" spans="1:35" ht="15.6" x14ac:dyDescent="0.25">
      <c r="A30" s="40" t="s">
        <v>91</v>
      </c>
      <c r="B30" s="33" t="s">
        <v>92</v>
      </c>
      <c r="C30" s="47">
        <v>13100</v>
      </c>
      <c r="D30" s="34">
        <v>699</v>
      </c>
      <c r="E30" s="45">
        <v>8.58</v>
      </c>
      <c r="F30" s="36">
        <f t="shared" si="3"/>
        <v>5.3358778625954201E-2</v>
      </c>
      <c r="G30" s="12">
        <v>89</v>
      </c>
      <c r="H30" s="12">
        <v>4144</v>
      </c>
      <c r="I30" s="43">
        <v>296</v>
      </c>
      <c r="J30" s="43">
        <v>471</v>
      </c>
      <c r="K30" s="39">
        <f t="shared" si="4"/>
        <v>34.498834498834498</v>
      </c>
      <c r="L30" s="39">
        <f t="shared" si="5"/>
        <v>54.895104895104893</v>
      </c>
      <c r="M30" s="9">
        <f t="shared" si="9"/>
        <v>47.561797752808985</v>
      </c>
      <c r="N30" s="9">
        <f t="shared" si="7"/>
        <v>6.2234821639499174</v>
      </c>
      <c r="O30" s="9">
        <f t="shared" si="8"/>
        <v>9.9029057406094978</v>
      </c>
      <c r="R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</row>
    <row r="31" spans="1:35" ht="15.6" x14ac:dyDescent="0.25">
      <c r="A31" s="28"/>
      <c r="B31" s="33" t="s">
        <v>93</v>
      </c>
      <c r="C31" s="34">
        <v>16156</v>
      </c>
      <c r="D31" s="34">
        <v>1102</v>
      </c>
      <c r="E31" s="45">
        <v>13.1</v>
      </c>
      <c r="F31" s="36">
        <f t="shared" si="3"/>
        <v>6.8209952958653133E-2</v>
      </c>
      <c r="G31" s="12">
        <v>89</v>
      </c>
      <c r="H31" s="12">
        <v>5001</v>
      </c>
      <c r="I31" s="43">
        <v>456</v>
      </c>
      <c r="J31" s="43">
        <v>963</v>
      </c>
      <c r="K31" s="39">
        <f t="shared" si="4"/>
        <v>34.809160305343511</v>
      </c>
      <c r="L31" s="39">
        <f t="shared" si="5"/>
        <v>73.511450381679396</v>
      </c>
      <c r="M31" s="9">
        <f t="shared" si="9"/>
        <v>57.19101123595506</v>
      </c>
      <c r="N31" s="9">
        <f t="shared" si="7"/>
        <v>7.9732809430255402</v>
      </c>
      <c r="O31" s="9">
        <f t="shared" si="8"/>
        <v>16.838310412573673</v>
      </c>
      <c r="R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</row>
    <row r="32" spans="1:35" ht="15.6" x14ac:dyDescent="0.25">
      <c r="A32" s="28"/>
      <c r="B32" s="33" t="s">
        <v>94</v>
      </c>
      <c r="C32" s="34">
        <v>19779</v>
      </c>
      <c r="D32" s="34">
        <v>1389</v>
      </c>
      <c r="E32" s="45">
        <v>15.82</v>
      </c>
      <c r="F32" s="36">
        <f t="shared" si="3"/>
        <v>7.0225997269831641E-2</v>
      </c>
      <c r="G32" s="12">
        <v>89</v>
      </c>
      <c r="H32" s="12">
        <v>5981</v>
      </c>
      <c r="I32" s="45">
        <v>732</v>
      </c>
      <c r="J32" s="45">
        <v>1007</v>
      </c>
      <c r="K32" s="39">
        <f t="shared" si="4"/>
        <v>46.27054361567636</v>
      </c>
      <c r="L32" s="39">
        <f t="shared" si="5"/>
        <v>63.653603034134008</v>
      </c>
      <c r="M32" s="9">
        <f t="shared" si="9"/>
        <v>68.202247191011239</v>
      </c>
      <c r="N32" s="9">
        <f t="shared" si="7"/>
        <v>10.732784184514003</v>
      </c>
      <c r="O32" s="9">
        <f t="shared" si="8"/>
        <v>14.76490939044481</v>
      </c>
      <c r="R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</row>
    <row r="33" spans="1:35" ht="15.6" x14ac:dyDescent="0.25">
      <c r="A33" s="49"/>
      <c r="B33" s="33" t="s">
        <v>95</v>
      </c>
      <c r="C33" s="34">
        <v>21205</v>
      </c>
      <c r="D33" s="34">
        <v>1493</v>
      </c>
      <c r="E33" s="50">
        <v>16.899999999999999</v>
      </c>
      <c r="F33" s="36">
        <f t="shared" si="3"/>
        <v>7.0407922659750058E-2</v>
      </c>
      <c r="G33" s="12">
        <v>89</v>
      </c>
      <c r="H33" s="12">
        <v>6580</v>
      </c>
      <c r="I33" s="50">
        <v>999</v>
      </c>
      <c r="J33" s="50">
        <v>1390</v>
      </c>
      <c r="K33" s="39">
        <f t="shared" si="4"/>
        <v>59.112426035502963</v>
      </c>
      <c r="L33" s="39">
        <f t="shared" si="5"/>
        <v>82.248520710059182</v>
      </c>
      <c r="M33" s="9">
        <f t="shared" si="9"/>
        <v>74.932584269662925</v>
      </c>
      <c r="N33" s="9">
        <f t="shared" si="7"/>
        <v>13.331983805668015</v>
      </c>
      <c r="O33" s="9">
        <f t="shared" si="8"/>
        <v>18.550007497375919</v>
      </c>
      <c r="R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</row>
    <row r="34" spans="1:35" ht="15.6" x14ac:dyDescent="0.3">
      <c r="A34" s="51"/>
      <c r="B34" s="33" t="s">
        <v>96</v>
      </c>
      <c r="C34" s="34">
        <v>21830</v>
      </c>
      <c r="D34" s="34">
        <v>974</v>
      </c>
      <c r="E34" s="50">
        <v>11</v>
      </c>
      <c r="F34" s="36">
        <f t="shared" si="3"/>
        <v>4.461749885478699E-2</v>
      </c>
      <c r="G34" s="12">
        <v>89</v>
      </c>
      <c r="H34" s="12">
        <v>7408</v>
      </c>
      <c r="I34" s="50">
        <v>810</v>
      </c>
      <c r="J34" s="50">
        <v>1621</v>
      </c>
      <c r="K34" s="39">
        <f t="shared" si="4"/>
        <v>73.63636363636364</v>
      </c>
      <c r="L34" s="39">
        <f t="shared" si="5"/>
        <v>147.36363636363637</v>
      </c>
      <c r="M34" s="9">
        <f t="shared" si="9"/>
        <v>84.235955056179776</v>
      </c>
      <c r="N34" s="9">
        <f t="shared" si="7"/>
        <v>9.6158463385354143</v>
      </c>
      <c r="O34" s="9">
        <f t="shared" si="8"/>
        <v>19.243564092303586</v>
      </c>
      <c r="R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</row>
    <row r="35" spans="1:35" ht="15.6" x14ac:dyDescent="0.25">
      <c r="B35" s="33" t="s">
        <v>97</v>
      </c>
      <c r="C35" s="34">
        <v>29033</v>
      </c>
      <c r="D35" s="34">
        <v>2198</v>
      </c>
      <c r="E35" s="50">
        <v>24.48</v>
      </c>
      <c r="F35" s="36">
        <f t="shared" si="3"/>
        <v>7.5706954155616027E-2</v>
      </c>
      <c r="G35" s="12">
        <v>89</v>
      </c>
      <c r="H35" s="12">
        <v>9214</v>
      </c>
      <c r="I35" s="50">
        <v>1400</v>
      </c>
      <c r="J35" s="50">
        <v>2768</v>
      </c>
      <c r="K35" s="39">
        <f t="shared" si="4"/>
        <v>57.189542483660126</v>
      </c>
      <c r="L35" s="39">
        <f t="shared" si="5"/>
        <v>113.0718954248366</v>
      </c>
      <c r="M35" s="9">
        <f t="shared" si="9"/>
        <v>104.52808988764045</v>
      </c>
      <c r="N35" s="9">
        <f t="shared" si="7"/>
        <v>13.393528969149736</v>
      </c>
      <c r="O35" s="9">
        <f t="shared" si="8"/>
        <v>26.480920133290336</v>
      </c>
      <c r="R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</row>
    <row r="36" spans="1:35" ht="15.6" x14ac:dyDescent="0.3">
      <c r="A36" s="51"/>
      <c r="B36" s="33" t="s">
        <v>98</v>
      </c>
      <c r="C36" s="52">
        <v>37924</v>
      </c>
      <c r="D36" s="52">
        <v>3274</v>
      </c>
      <c r="E36" s="53">
        <v>36.6</v>
      </c>
      <c r="F36" s="36">
        <f t="shared" si="3"/>
        <v>8.6330555848539187E-2</v>
      </c>
      <c r="G36" s="12">
        <v>89</v>
      </c>
      <c r="H36" s="12">
        <v>11762</v>
      </c>
      <c r="I36" s="54">
        <v>1825</v>
      </c>
      <c r="J36" s="54">
        <v>2791</v>
      </c>
      <c r="K36" s="39">
        <f t="shared" si="4"/>
        <v>49.863387978142072</v>
      </c>
      <c r="L36" s="39">
        <f t="shared" si="5"/>
        <v>76.256830601092886</v>
      </c>
      <c r="M36" s="9">
        <f t="shared" si="9"/>
        <v>133.15730337078651</v>
      </c>
      <c r="N36" s="9">
        <f t="shared" si="7"/>
        <v>13.705594464602145</v>
      </c>
      <c r="O36" s="9">
        <f t="shared" si="8"/>
        <v>20.960172137372375</v>
      </c>
      <c r="R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</row>
    <row r="37" spans="1:35" ht="15.6" x14ac:dyDescent="0.3">
      <c r="B37" s="33" t="s">
        <v>99</v>
      </c>
      <c r="C37" s="52">
        <v>46751</v>
      </c>
      <c r="D37" s="52">
        <v>3496</v>
      </c>
      <c r="E37" s="53">
        <v>39.4</v>
      </c>
      <c r="F37" s="36">
        <f t="shared" si="3"/>
        <v>7.477914910910996E-2</v>
      </c>
      <c r="G37" s="12">
        <v>89</v>
      </c>
      <c r="H37" s="12">
        <v>9304</v>
      </c>
      <c r="I37" s="54">
        <v>2513</v>
      </c>
      <c r="J37" s="54">
        <v>3884</v>
      </c>
      <c r="K37" s="39">
        <f t="shared" si="4"/>
        <v>63.781725888324878</v>
      </c>
      <c r="L37" s="39">
        <f t="shared" si="5"/>
        <v>98.578680203045693</v>
      </c>
      <c r="M37" s="9">
        <f t="shared" si="9"/>
        <v>105.53932584269663</v>
      </c>
      <c r="N37" s="9">
        <f t="shared" si="7"/>
        <v>23.81102949004578</v>
      </c>
      <c r="O37" s="9">
        <f t="shared" si="8"/>
        <v>36.801447886724155</v>
      </c>
      <c r="R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</row>
    <row r="38" spans="1:35" ht="15.6" x14ac:dyDescent="0.3">
      <c r="B38" s="33" t="s">
        <v>100</v>
      </c>
      <c r="C38" s="52">
        <v>57143</v>
      </c>
      <c r="D38" s="52">
        <v>3337</v>
      </c>
      <c r="E38" s="55">
        <v>37.619999999999997</v>
      </c>
      <c r="F38" s="36">
        <f t="shared" si="3"/>
        <v>5.8397354006614985E-2</v>
      </c>
      <c r="G38" s="12">
        <v>89</v>
      </c>
      <c r="H38" s="12">
        <v>11535</v>
      </c>
      <c r="I38" s="54">
        <v>2985</v>
      </c>
      <c r="J38" s="54">
        <v>3838</v>
      </c>
      <c r="K38" s="39">
        <f t="shared" si="4"/>
        <v>79.346092503987251</v>
      </c>
      <c r="L38" s="39">
        <f t="shared" si="5"/>
        <v>102.02020202020202</v>
      </c>
      <c r="M38" s="9">
        <f t="shared" si="9"/>
        <v>130.6067415730337</v>
      </c>
      <c r="N38" s="9">
        <f t="shared" si="7"/>
        <v>22.854869236063319</v>
      </c>
      <c r="O38" s="9">
        <f t="shared" si="8"/>
        <v>29.385925671025465</v>
      </c>
      <c r="R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</row>
    <row r="39" spans="1:35" ht="15.6" x14ac:dyDescent="0.3">
      <c r="B39" s="33" t="s">
        <v>101</v>
      </c>
      <c r="C39" s="52">
        <f>C38+C53-D53</f>
        <v>59734</v>
      </c>
      <c r="D39" s="52">
        <f>D38+C56-D56</f>
        <v>3713</v>
      </c>
      <c r="E39" s="55">
        <f>N48</f>
        <v>33.92</v>
      </c>
      <c r="F39" s="36">
        <f t="shared" si="3"/>
        <v>6.2158904476512539E-2</v>
      </c>
      <c r="G39" s="12">
        <v>89</v>
      </c>
      <c r="H39" s="12">
        <v>11535</v>
      </c>
      <c r="I39" s="54">
        <v>2925</v>
      </c>
      <c r="J39" s="54">
        <v>3709</v>
      </c>
      <c r="K39" s="39">
        <f t="shared" si="4"/>
        <v>86.232311320754718</v>
      </c>
      <c r="L39" s="39">
        <f t="shared" si="5"/>
        <v>109.34551886792453</v>
      </c>
      <c r="M39" s="9">
        <f t="shared" si="9"/>
        <v>130.6067415730337</v>
      </c>
      <c r="N39" s="9">
        <f t="shared" si="7"/>
        <v>22.395474879559533</v>
      </c>
      <c r="O39" s="9">
        <f t="shared" si="8"/>
        <v>28.398227804542326</v>
      </c>
      <c r="R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</row>
    <row r="40" spans="1:35" ht="13.8" x14ac:dyDescent="0.25">
      <c r="E40" s="56"/>
      <c r="AB40" s="28"/>
      <c r="AC40" s="28"/>
      <c r="AD40" s="28"/>
      <c r="AE40" s="28"/>
      <c r="AF40" s="28"/>
      <c r="AG40" s="28"/>
      <c r="AH40" s="28"/>
      <c r="AI40" s="28"/>
    </row>
    <row r="41" spans="1:35" ht="15" x14ac:dyDescent="0.25">
      <c r="A41" s="57" t="s">
        <v>102</v>
      </c>
      <c r="B41" s="58" t="s">
        <v>52</v>
      </c>
      <c r="C41" s="58" t="s">
        <v>53</v>
      </c>
      <c r="D41" s="58" t="s">
        <v>54</v>
      </c>
      <c r="E41" s="58" t="s">
        <v>55</v>
      </c>
      <c r="F41" s="59" t="s">
        <v>56</v>
      </c>
      <c r="G41" s="59" t="s">
        <v>14</v>
      </c>
      <c r="H41" s="59" t="s">
        <v>57</v>
      </c>
      <c r="I41" s="58" t="s">
        <v>58</v>
      </c>
      <c r="J41" s="58" t="s">
        <v>59</v>
      </c>
      <c r="K41" s="59" t="s">
        <v>60</v>
      </c>
      <c r="L41" s="59" t="s">
        <v>61</v>
      </c>
      <c r="M41" s="59" t="s">
        <v>62</v>
      </c>
      <c r="N41" s="59" t="s">
        <v>63</v>
      </c>
      <c r="O41" s="59" t="s">
        <v>64</v>
      </c>
      <c r="AB41" s="28"/>
      <c r="AC41" s="28"/>
      <c r="AD41" s="28"/>
      <c r="AE41" s="28"/>
      <c r="AF41" s="28"/>
      <c r="AG41" s="28"/>
      <c r="AH41" s="28"/>
      <c r="AI41" s="28"/>
    </row>
    <row r="42" spans="1:35" ht="15.6" x14ac:dyDescent="0.3">
      <c r="B42" s="60" t="s">
        <v>103</v>
      </c>
      <c r="C42" s="61">
        <f t="shared" ref="C42:D42" si="10">(C38/C13)^(1/25)-1</f>
        <v>0.1975810064332546</v>
      </c>
      <c r="D42" s="61">
        <f t="shared" si="10"/>
        <v>0.22965733357754448</v>
      </c>
      <c r="E42" s="61">
        <f>((E38*20)/E13)^(1/25)-1</f>
        <v>0.2382429142490412</v>
      </c>
      <c r="F42" s="62">
        <f>MEDIAN(F13:F38)</f>
        <v>5.5936644917745998E-2</v>
      </c>
      <c r="G42" s="61">
        <f t="shared" ref="G42:H42" si="11">(G38/G13)^(1/25)-1</f>
        <v>3.0201043796952431E-2</v>
      </c>
      <c r="H42" s="61">
        <f t="shared" si="11"/>
        <v>0.20117261862012592</v>
      </c>
      <c r="I42" s="61">
        <f t="shared" ref="I42:J42" si="12">((I38*20)/I13)^(1/25)-1</f>
        <v>0.31887881648538707</v>
      </c>
      <c r="J42" s="61">
        <f t="shared" si="12"/>
        <v>0.27464309762505312</v>
      </c>
      <c r="K42" s="63">
        <f t="shared" ref="K42:L42" si="13">MEDIAN(K13:K38)</f>
        <v>26.342233009708739</v>
      </c>
      <c r="L42" s="63">
        <f t="shared" si="13"/>
        <v>52.864409914909359</v>
      </c>
      <c r="M42" s="61">
        <f>((M38*20)/M13)^(1/25)-1</f>
        <v>0.1845028156592059</v>
      </c>
      <c r="N42" s="64">
        <f t="shared" ref="N42:O42" si="14">MEDIAN(N13:N38)</f>
        <v>7.4809258636701035</v>
      </c>
      <c r="O42" s="64">
        <f t="shared" si="14"/>
        <v>14.006465066701661</v>
      </c>
      <c r="AB42" s="28"/>
      <c r="AC42" s="28"/>
      <c r="AD42" s="28"/>
      <c r="AE42" s="28"/>
      <c r="AF42" s="28"/>
      <c r="AG42" s="28"/>
      <c r="AH42" s="28"/>
      <c r="AI42" s="28"/>
    </row>
    <row r="43" spans="1:35" ht="15.6" x14ac:dyDescent="0.3">
      <c r="B43" s="60" t="s">
        <v>104</v>
      </c>
      <c r="C43" s="61">
        <f t="shared" ref="C43:D43" si="15">(C38/C23)^(1/15)-1</f>
        <v>0.18162252558985803</v>
      </c>
      <c r="D43" s="61">
        <f t="shared" si="15"/>
        <v>0.18857816178600117</v>
      </c>
      <c r="E43" s="61">
        <f>(E38*20/E23)^(1/15)-1</f>
        <v>0.18769500158468522</v>
      </c>
      <c r="F43" s="62">
        <f>MEDIAN(F23:F38)</f>
        <v>6.8477478477727838E-2</v>
      </c>
      <c r="G43" s="61">
        <f t="shared" ref="G43:H43" si="16">(G38/G23)^(1/15)-1</f>
        <v>4.7451209150701334E-2</v>
      </c>
      <c r="H43" s="61">
        <f t="shared" si="16"/>
        <v>0.20772274587092832</v>
      </c>
      <c r="I43" s="61">
        <f t="shared" ref="I43:J43" si="17">(I38*20/I23)^(1/15)-1</f>
        <v>0.34260943885326745</v>
      </c>
      <c r="J43" s="61">
        <f t="shared" si="17"/>
        <v>0.27942843643546511</v>
      </c>
      <c r="K43" s="65">
        <f t="shared" ref="K43:L43" si="18">MEDIAN(K23:K38)</f>
        <v>36.461183926256659</v>
      </c>
      <c r="L43" s="65">
        <f t="shared" si="18"/>
        <v>59.274353964619451</v>
      </c>
      <c r="M43" s="61">
        <f>(M38*20/M23)^(1/15)-1</f>
        <v>0.2030767702598899</v>
      </c>
      <c r="N43" s="64">
        <f t="shared" ref="N43:O43" si="19">MEDIAN(N23:N38)</f>
        <v>9.3962559756550661</v>
      </c>
      <c r="O43" s="64">
        <f t="shared" si="19"/>
        <v>15.801609901509241</v>
      </c>
      <c r="AB43" s="28"/>
      <c r="AC43" s="28"/>
      <c r="AD43" s="28"/>
      <c r="AE43" s="28"/>
      <c r="AF43" s="28"/>
      <c r="AG43" s="28"/>
      <c r="AH43" s="28"/>
      <c r="AI43" s="28"/>
    </row>
    <row r="44" spans="1:35" ht="15.6" x14ac:dyDescent="0.3">
      <c r="A44" s="66"/>
      <c r="B44" s="60" t="s">
        <v>105</v>
      </c>
      <c r="C44" s="67">
        <f t="shared" ref="C44:E44" si="20">(C38/C33)^(1/5)-1</f>
        <v>0.21928421680077448</v>
      </c>
      <c r="D44" s="67">
        <f t="shared" si="20"/>
        <v>0.17451692598898561</v>
      </c>
      <c r="E44" s="67">
        <f t="shared" si="20"/>
        <v>0.17356302342997321</v>
      </c>
      <c r="F44" s="68">
        <f>MEDIAN(F33:F38)</f>
        <v>7.2593535884430016E-2</v>
      </c>
      <c r="G44" s="67">
        <f t="shared" ref="G44:J44" si="21">(G38/G33)^(1/5)-1</f>
        <v>0</v>
      </c>
      <c r="H44" s="67">
        <f t="shared" si="21"/>
        <v>0.11881515638784079</v>
      </c>
      <c r="I44" s="67">
        <f t="shared" si="21"/>
        <v>0.24473175570284678</v>
      </c>
      <c r="J44" s="67">
        <f t="shared" si="21"/>
        <v>0.22523116227043372</v>
      </c>
      <c r="K44" s="69">
        <f t="shared" ref="K44:L44" si="22">MEDIAN(K33:K38)</f>
        <v>61.447075961913924</v>
      </c>
      <c r="L44" s="69">
        <f t="shared" si="22"/>
        <v>100.29944111162385</v>
      </c>
      <c r="M44" s="67">
        <f>(M38/M33)^(1/5)-1</f>
        <v>0.11752944988563274</v>
      </c>
      <c r="N44" s="70">
        <f t="shared" ref="N44:O44" si="23">MEDIAN(N33:N38)</f>
        <v>13.549561716875941</v>
      </c>
      <c r="O44" s="70">
        <f t="shared" si="23"/>
        <v>23.720546135331354</v>
      </c>
      <c r="AB44" s="28"/>
      <c r="AC44" s="28"/>
      <c r="AD44" s="28"/>
      <c r="AE44" s="28"/>
      <c r="AF44" s="28"/>
      <c r="AG44" s="28"/>
      <c r="AH44" s="28"/>
      <c r="AI44" s="28"/>
    </row>
    <row r="45" spans="1:35" ht="15.6" x14ac:dyDescent="0.3">
      <c r="B45" s="71" t="s">
        <v>29</v>
      </c>
      <c r="C45" s="67">
        <f t="shared" ref="C45:E45" si="24">(C38/C37)-1</f>
        <v>0.22228401531518038</v>
      </c>
      <c r="D45" s="67">
        <f t="shared" si="24"/>
        <v>-4.5480549199084619E-2</v>
      </c>
      <c r="E45" s="67">
        <f t="shared" si="24"/>
        <v>-4.517766497461928E-2</v>
      </c>
      <c r="F45" s="68">
        <f>F38</f>
        <v>5.8397354006614985E-2</v>
      </c>
      <c r="G45" s="67">
        <f t="shared" ref="G45:J45" si="25">(G38/G37)-1</f>
        <v>0</v>
      </c>
      <c r="H45" s="67">
        <f t="shared" si="25"/>
        <v>0.23978933791917445</v>
      </c>
      <c r="I45" s="67">
        <f t="shared" si="25"/>
        <v>0.18782331874253888</v>
      </c>
      <c r="J45" s="67">
        <f t="shared" si="25"/>
        <v>-1.1843460350154489E-2</v>
      </c>
      <c r="K45" s="69">
        <f t="shared" ref="K45:L45" si="26">K38</f>
        <v>79.346092503987251</v>
      </c>
      <c r="L45" s="69">
        <f t="shared" si="26"/>
        <v>102.02020202020202</v>
      </c>
      <c r="M45" s="67">
        <f>(M38/M37)-1</f>
        <v>0.23751730011710848</v>
      </c>
      <c r="N45" s="70">
        <f t="shared" ref="N45:O45" si="27">N38</f>
        <v>22.854869236063319</v>
      </c>
      <c r="O45" s="70">
        <f t="shared" si="27"/>
        <v>29.385925671025465</v>
      </c>
      <c r="AB45" s="28"/>
      <c r="AC45" s="28"/>
      <c r="AD45" s="28"/>
      <c r="AE45" s="28"/>
      <c r="AF45" s="28"/>
      <c r="AG45" s="28"/>
      <c r="AH45" s="28"/>
      <c r="AI45" s="28"/>
    </row>
    <row r="46" spans="1:35" ht="13.8" x14ac:dyDescent="0.25">
      <c r="AE46" s="28"/>
      <c r="AF46" s="28"/>
      <c r="AG46" s="28"/>
      <c r="AH46" s="28"/>
      <c r="AI46" s="28"/>
    </row>
    <row r="47" spans="1:35" ht="15" x14ac:dyDescent="0.25">
      <c r="A47" s="57" t="s">
        <v>106</v>
      </c>
      <c r="B47" s="72" t="s">
        <v>107</v>
      </c>
      <c r="C47" s="72" t="s">
        <v>108</v>
      </c>
      <c r="D47" s="72" t="s">
        <v>109</v>
      </c>
      <c r="E47" s="72" t="s">
        <v>110</v>
      </c>
      <c r="F47" s="72" t="s">
        <v>111</v>
      </c>
      <c r="G47" s="72" t="s">
        <v>112</v>
      </c>
      <c r="H47" s="2"/>
      <c r="I47" s="72" t="s">
        <v>113</v>
      </c>
      <c r="J47" s="72" t="s">
        <v>114</v>
      </c>
      <c r="K47" s="72" t="s">
        <v>115</v>
      </c>
      <c r="L47" s="72" t="s">
        <v>116</v>
      </c>
      <c r="M47" s="72" t="s">
        <v>111</v>
      </c>
      <c r="N47" s="72" t="s">
        <v>117</v>
      </c>
      <c r="P47" s="73" t="s">
        <v>118</v>
      </c>
      <c r="Q47" s="73" t="s">
        <v>119</v>
      </c>
      <c r="R47" s="73" t="s">
        <v>120</v>
      </c>
      <c r="S47" s="73" t="s">
        <v>121</v>
      </c>
      <c r="AE47" s="28"/>
      <c r="AF47" s="28"/>
      <c r="AG47" s="28"/>
      <c r="AH47" s="28"/>
      <c r="AI47" s="28"/>
    </row>
    <row r="48" spans="1:35" ht="16.8" x14ac:dyDescent="0.3">
      <c r="A48" s="2" t="s">
        <v>122</v>
      </c>
      <c r="B48" s="74" t="s">
        <v>123</v>
      </c>
      <c r="C48" s="75">
        <v>0.14000000000000001</v>
      </c>
      <c r="D48" s="75">
        <v>0.18</v>
      </c>
      <c r="E48" s="75">
        <v>0.22</v>
      </c>
      <c r="F48" s="75">
        <v>0.21</v>
      </c>
      <c r="G48" s="75">
        <v>0.2</v>
      </c>
      <c r="I48" s="74" t="s">
        <v>117</v>
      </c>
      <c r="J48" s="76" t="s">
        <v>124</v>
      </c>
      <c r="K48" s="76">
        <v>11.8</v>
      </c>
      <c r="L48" s="76">
        <v>9.82</v>
      </c>
      <c r="M48" s="76">
        <v>12.3</v>
      </c>
      <c r="N48" s="77">
        <f>SUM(J48:M48)</f>
        <v>33.92</v>
      </c>
      <c r="P48" s="78">
        <v>37.619999999999997</v>
      </c>
      <c r="Q48" s="76">
        <f>N48</f>
        <v>33.92</v>
      </c>
      <c r="R48" s="79">
        <f>E66</f>
        <v>56.053799999999995</v>
      </c>
      <c r="S48" s="80"/>
      <c r="AH48" s="28"/>
      <c r="AI48" s="28"/>
    </row>
    <row r="49" spans="1:35" ht="16.8" x14ac:dyDescent="0.3">
      <c r="B49" s="74" t="s">
        <v>125</v>
      </c>
      <c r="C49" s="81">
        <v>5.0999999999999997E-2</v>
      </c>
      <c r="D49" s="81">
        <v>5.3999999999999999E-2</v>
      </c>
      <c r="E49" s="81">
        <v>5.8000000000000003E-2</v>
      </c>
      <c r="F49" s="81">
        <v>7.3999999999999996E-2</v>
      </c>
      <c r="G49" s="82">
        <v>7.2499999999999995E-2</v>
      </c>
      <c r="P49" s="73" t="s">
        <v>126</v>
      </c>
      <c r="Q49" s="73" t="s">
        <v>127</v>
      </c>
      <c r="R49" s="73" t="s">
        <v>128</v>
      </c>
      <c r="S49" s="83">
        <f ca="1">R50/35</f>
        <v>1.8322703239693705</v>
      </c>
      <c r="AH49" s="28"/>
      <c r="AI49" s="28"/>
    </row>
    <row r="50" spans="1:35" ht="16.8" x14ac:dyDescent="0.3">
      <c r="B50" s="74" t="s">
        <v>129</v>
      </c>
      <c r="C50" s="75">
        <v>-0.15</v>
      </c>
      <c r="D50" s="75">
        <v>-0.1</v>
      </c>
      <c r="E50" s="75">
        <v>-0.05</v>
      </c>
      <c r="F50" s="75">
        <v>0.53</v>
      </c>
      <c r="G50" s="75">
        <v>0.49</v>
      </c>
      <c r="P50" s="84">
        <f>C4/P48</f>
        <v>81.419457735247221</v>
      </c>
      <c r="Q50" s="84">
        <f ca="1">C3/Q48</f>
        <v>105.9758254716981</v>
      </c>
      <c r="R50" s="84">
        <f ca="1">C3/R48</f>
        <v>64.129461338927968</v>
      </c>
      <c r="S50" s="80"/>
      <c r="AH50" s="28"/>
      <c r="AI50" s="28"/>
    </row>
    <row r="51" spans="1:35" ht="13.8" x14ac:dyDescent="0.25">
      <c r="G51" s="2"/>
      <c r="AH51" s="28"/>
      <c r="AI51" s="28"/>
    </row>
    <row r="52" spans="1:35" ht="15" x14ac:dyDescent="0.25">
      <c r="A52" s="57" t="s">
        <v>130</v>
      </c>
      <c r="B52" s="72" t="s">
        <v>131</v>
      </c>
      <c r="C52" s="72" t="s">
        <v>111</v>
      </c>
      <c r="D52" s="72" t="s">
        <v>132</v>
      </c>
      <c r="E52" s="85" t="s">
        <v>30</v>
      </c>
      <c r="G52" s="72" t="s">
        <v>131</v>
      </c>
      <c r="H52" s="72" t="s">
        <v>116</v>
      </c>
      <c r="I52" s="72" t="s">
        <v>133</v>
      </c>
      <c r="J52" s="85" t="s">
        <v>30</v>
      </c>
      <c r="L52" s="72" t="s">
        <v>131</v>
      </c>
      <c r="M52" s="72" t="s">
        <v>110</v>
      </c>
      <c r="N52" s="72" t="s">
        <v>134</v>
      </c>
      <c r="O52" s="85" t="s">
        <v>30</v>
      </c>
      <c r="P52" s="28"/>
      <c r="Q52" s="72" t="s">
        <v>135</v>
      </c>
      <c r="R52" s="72" t="s">
        <v>111</v>
      </c>
      <c r="S52" s="72" t="s">
        <v>132</v>
      </c>
      <c r="T52" s="72" t="s">
        <v>136</v>
      </c>
      <c r="U52" s="72" t="s">
        <v>30</v>
      </c>
      <c r="W52" s="72" t="s">
        <v>137</v>
      </c>
      <c r="X52" s="72" t="s">
        <v>111</v>
      </c>
      <c r="Y52" s="72" t="s">
        <v>132</v>
      </c>
      <c r="Z52" s="72" t="s">
        <v>136</v>
      </c>
      <c r="AA52" s="72" t="s">
        <v>30</v>
      </c>
      <c r="AH52" s="28"/>
      <c r="AI52" s="28"/>
    </row>
    <row r="53" spans="1:35" ht="15.6" x14ac:dyDescent="0.3">
      <c r="B53" s="86" t="s">
        <v>53</v>
      </c>
      <c r="C53" s="87">
        <v>14814</v>
      </c>
      <c r="D53" s="87">
        <v>12223</v>
      </c>
      <c r="E53" s="88">
        <f t="shared" ref="E53:E57" si="28">(C53/D53)-1</f>
        <v>0.21197741961875161</v>
      </c>
      <c r="G53" s="86" t="s">
        <v>53</v>
      </c>
      <c r="H53" s="87">
        <v>13897</v>
      </c>
      <c r="I53" s="87">
        <v>11229</v>
      </c>
      <c r="J53" s="88">
        <f t="shared" ref="J53:J57" si="29">(H53/I53)-1</f>
        <v>0.23759907382669865</v>
      </c>
      <c r="K53" s="28"/>
      <c r="L53" s="86" t="s">
        <v>53</v>
      </c>
      <c r="M53" s="87">
        <v>57143</v>
      </c>
      <c r="N53" s="87">
        <v>46751</v>
      </c>
      <c r="O53" s="88">
        <f t="shared" ref="O53:O57" si="30">(M53/N53)-1</f>
        <v>0.22228401531518038</v>
      </c>
      <c r="P53" s="28"/>
      <c r="Q53" s="74" t="s">
        <v>138</v>
      </c>
      <c r="R53" s="74">
        <v>14647</v>
      </c>
      <c r="S53" s="74">
        <v>11808</v>
      </c>
      <c r="T53" s="89">
        <f t="shared" ref="T53:T57" si="31">R53/$R$59</f>
        <v>0.88086360356025983</v>
      </c>
      <c r="U53" s="89">
        <f t="shared" ref="U53:U57" si="32">(R53/S53)-1</f>
        <v>0.24043021680216792</v>
      </c>
      <c r="W53" s="74" t="s">
        <v>139</v>
      </c>
      <c r="X53" s="74">
        <v>11122</v>
      </c>
      <c r="Y53" s="74">
        <v>10155</v>
      </c>
      <c r="Z53" s="89">
        <f t="shared" ref="Z53:Z60" si="33">X53/$X$62</f>
        <v>0.73422233958278316</v>
      </c>
      <c r="AA53" s="89">
        <f t="shared" ref="AA53:AA60" si="34">(X53/Y53)-1</f>
        <v>9.5224027572624381E-2</v>
      </c>
      <c r="AH53" s="28"/>
      <c r="AI53" s="28"/>
    </row>
    <row r="54" spans="1:35" ht="15.6" x14ac:dyDescent="0.3">
      <c r="B54" s="90" t="s">
        <v>140</v>
      </c>
      <c r="C54" s="87">
        <v>15148</v>
      </c>
      <c r="D54" s="87">
        <v>12413</v>
      </c>
      <c r="E54" s="88">
        <f t="shared" si="28"/>
        <v>0.22033352130830575</v>
      </c>
      <c r="G54" s="90" t="s">
        <v>140</v>
      </c>
      <c r="H54" s="87">
        <v>13814</v>
      </c>
      <c r="I54" s="87">
        <v>11662</v>
      </c>
      <c r="J54" s="88">
        <f t="shared" si="29"/>
        <v>0.18453095523923846</v>
      </c>
      <c r="K54" s="28"/>
      <c r="L54" s="90" t="s">
        <v>140</v>
      </c>
      <c r="M54" s="87">
        <v>56408</v>
      </c>
      <c r="N54" s="87">
        <v>46995</v>
      </c>
      <c r="O54" s="88">
        <f t="shared" si="30"/>
        <v>0.20029790403234382</v>
      </c>
      <c r="P54" s="28"/>
      <c r="Q54" s="74" t="s">
        <v>141</v>
      </c>
      <c r="R54" s="74">
        <v>1273</v>
      </c>
      <c r="S54" s="74">
        <v>1023</v>
      </c>
      <c r="T54" s="89">
        <f t="shared" si="31"/>
        <v>7.6557613663699786E-2</v>
      </c>
      <c r="U54" s="89">
        <f t="shared" si="32"/>
        <v>0.24437927663734116</v>
      </c>
      <c r="W54" s="74" t="s">
        <v>142</v>
      </c>
      <c r="X54" s="74">
        <v>2051</v>
      </c>
      <c r="Y54" s="74">
        <v>1708</v>
      </c>
      <c r="Z54" s="89">
        <f t="shared" si="33"/>
        <v>0.13539741219963031</v>
      </c>
      <c r="AA54" s="89">
        <f t="shared" si="34"/>
        <v>0.20081967213114749</v>
      </c>
      <c r="AH54" s="28"/>
      <c r="AI54" s="28"/>
    </row>
    <row r="55" spans="1:35" ht="15.6" x14ac:dyDescent="0.3">
      <c r="B55" s="90" t="s">
        <v>143</v>
      </c>
      <c r="C55" s="87">
        <v>271</v>
      </c>
      <c r="D55" s="87">
        <v>230</v>
      </c>
      <c r="E55" s="88">
        <f t="shared" si="28"/>
        <v>0.17826086956521747</v>
      </c>
      <c r="F55" s="28"/>
      <c r="G55" s="90" t="s">
        <v>143</v>
      </c>
      <c r="H55" s="87">
        <v>252</v>
      </c>
      <c r="I55" s="87">
        <v>201</v>
      </c>
      <c r="J55" s="88">
        <f t="shared" si="29"/>
        <v>0.25373134328358216</v>
      </c>
      <c r="K55" s="28"/>
      <c r="L55" s="90" t="s">
        <v>143</v>
      </c>
      <c r="M55" s="87">
        <v>953</v>
      </c>
      <c r="N55" s="87">
        <v>619</v>
      </c>
      <c r="O55" s="88">
        <f t="shared" si="30"/>
        <v>0.5395799676898223</v>
      </c>
      <c r="P55" s="28"/>
      <c r="Q55" s="74" t="s">
        <v>144</v>
      </c>
      <c r="R55" s="74">
        <v>238</v>
      </c>
      <c r="S55" s="74">
        <v>210</v>
      </c>
      <c r="T55" s="89">
        <f t="shared" si="31"/>
        <v>1.4313206639403416E-2</v>
      </c>
      <c r="U55" s="89">
        <f t="shared" si="32"/>
        <v>0.1333333333333333</v>
      </c>
      <c r="W55" s="74" t="s">
        <v>145</v>
      </c>
      <c r="X55" s="74">
        <v>-362</v>
      </c>
      <c r="Y55" s="74">
        <v>-1527</v>
      </c>
      <c r="Z55" s="89">
        <f t="shared" si="33"/>
        <v>-2.3897544230261421E-2</v>
      </c>
      <c r="AA55" s="89">
        <f t="shared" si="34"/>
        <v>-0.76293385723641127</v>
      </c>
      <c r="AH55" s="28"/>
      <c r="AI55" s="28"/>
    </row>
    <row r="56" spans="1:35" ht="15.6" x14ac:dyDescent="0.3">
      <c r="A56" s="2"/>
      <c r="B56" s="91" t="s">
        <v>54</v>
      </c>
      <c r="C56" s="92">
        <v>1091</v>
      </c>
      <c r="D56" s="92">
        <v>715</v>
      </c>
      <c r="E56" s="88">
        <f t="shared" si="28"/>
        <v>0.52587412587412596</v>
      </c>
      <c r="F56" s="28"/>
      <c r="G56" s="91" t="s">
        <v>54</v>
      </c>
      <c r="H56" s="92">
        <v>871</v>
      </c>
      <c r="I56" s="92">
        <v>771</v>
      </c>
      <c r="J56" s="88">
        <f t="shared" si="29"/>
        <v>0.12970168612191957</v>
      </c>
      <c r="K56" s="28"/>
      <c r="L56" s="91" t="s">
        <v>54</v>
      </c>
      <c r="M56" s="92">
        <v>3337</v>
      </c>
      <c r="N56" s="92">
        <v>3496</v>
      </c>
      <c r="O56" s="88">
        <f t="shared" si="30"/>
        <v>-4.5480549199084619E-2</v>
      </c>
      <c r="P56" s="28"/>
      <c r="Q56" s="74" t="s">
        <v>146</v>
      </c>
      <c r="R56" s="74">
        <v>415</v>
      </c>
      <c r="S56" s="74">
        <v>277</v>
      </c>
      <c r="T56" s="89">
        <f t="shared" si="31"/>
        <v>2.495790233341352E-2</v>
      </c>
      <c r="U56" s="89">
        <f t="shared" si="32"/>
        <v>0.49819494584837543</v>
      </c>
      <c r="W56" s="74" t="s">
        <v>147</v>
      </c>
      <c r="X56" s="74">
        <v>591</v>
      </c>
      <c r="Y56" s="74">
        <v>523</v>
      </c>
      <c r="Z56" s="89">
        <f t="shared" si="33"/>
        <v>3.9015051491946132E-2</v>
      </c>
      <c r="AA56" s="89">
        <f t="shared" si="34"/>
        <v>0.13001912045889097</v>
      </c>
    </row>
    <row r="57" spans="1:35" ht="14.4" x14ac:dyDescent="0.3">
      <c r="A57" s="28"/>
      <c r="B57" s="86" t="s">
        <v>55</v>
      </c>
      <c r="C57" s="93">
        <v>12.3</v>
      </c>
      <c r="D57" s="93">
        <v>8.06</v>
      </c>
      <c r="E57" s="88">
        <f t="shared" si="28"/>
        <v>0.52605459057071968</v>
      </c>
      <c r="G57" s="86" t="s">
        <v>55</v>
      </c>
      <c r="H57" s="93">
        <v>9.82</v>
      </c>
      <c r="I57" s="93">
        <v>8.6999999999999993</v>
      </c>
      <c r="J57" s="88">
        <f t="shared" si="29"/>
        <v>0.12873563218390816</v>
      </c>
      <c r="K57" s="28"/>
      <c r="L57" s="86" t="s">
        <v>55</v>
      </c>
      <c r="M57" s="93">
        <v>37.619999999999997</v>
      </c>
      <c r="N57" s="93">
        <v>39.4</v>
      </c>
      <c r="O57" s="88">
        <f t="shared" si="30"/>
        <v>-4.517766497461928E-2</v>
      </c>
      <c r="P57" s="28"/>
      <c r="Q57" s="74" t="s">
        <v>148</v>
      </c>
      <c r="R57" s="74">
        <v>55</v>
      </c>
      <c r="S57" s="74">
        <v>68</v>
      </c>
      <c r="T57" s="89">
        <f t="shared" si="31"/>
        <v>3.3076738032234783E-3</v>
      </c>
      <c r="U57" s="89">
        <f t="shared" si="32"/>
        <v>-0.19117647058823528</v>
      </c>
      <c r="W57" s="74" t="s">
        <v>149</v>
      </c>
      <c r="X57" s="74">
        <v>184</v>
      </c>
      <c r="Y57" s="74">
        <v>164</v>
      </c>
      <c r="Z57" s="89">
        <f t="shared" si="33"/>
        <v>1.2146818061790335E-2</v>
      </c>
      <c r="AA57" s="89">
        <f t="shared" si="34"/>
        <v>0.12195121951219523</v>
      </c>
      <c r="AD57" s="28"/>
      <c r="AE57" s="28"/>
      <c r="AF57" s="28"/>
      <c r="AG57" s="28"/>
    </row>
    <row r="58" spans="1:35" ht="14.4" x14ac:dyDescent="0.3">
      <c r="A58" s="28"/>
      <c r="B58" s="86" t="s">
        <v>56</v>
      </c>
      <c r="C58" s="94">
        <f t="shared" ref="C58:D58" si="35">C56/C53</f>
        <v>7.3646550560280813E-2</v>
      </c>
      <c r="D58" s="94">
        <f t="shared" si="35"/>
        <v>5.8496277509613025E-2</v>
      </c>
      <c r="E58" s="95">
        <f>C58-D58</f>
        <v>1.5150273050667788E-2</v>
      </c>
      <c r="G58" s="86" t="s">
        <v>56</v>
      </c>
      <c r="H58" s="94">
        <f t="shared" ref="H58:I58" si="36">H56/H53</f>
        <v>6.2675397567820396E-2</v>
      </c>
      <c r="I58" s="94">
        <f t="shared" si="36"/>
        <v>6.8661501469409567E-2</v>
      </c>
      <c r="J58" s="95">
        <f>H58-I58</f>
        <v>-5.9861039015891709E-3</v>
      </c>
      <c r="K58" s="28"/>
      <c r="L58" s="86" t="s">
        <v>56</v>
      </c>
      <c r="M58" s="94">
        <f t="shared" ref="M58:N58" si="37">M56/M53</f>
        <v>5.8397354006614985E-2</v>
      </c>
      <c r="N58" s="94">
        <f t="shared" si="37"/>
        <v>7.477914910910996E-2</v>
      </c>
      <c r="O58" s="95">
        <f>M58-N58</f>
        <v>-1.6381795102494975E-2</v>
      </c>
      <c r="P58" s="28"/>
      <c r="Q58" s="28"/>
      <c r="R58" s="28"/>
      <c r="S58" s="28"/>
      <c r="T58" s="28"/>
      <c r="U58" s="28"/>
      <c r="W58" s="74" t="s">
        <v>150</v>
      </c>
      <c r="X58" s="74">
        <v>328</v>
      </c>
      <c r="Y58" s="74">
        <v>290</v>
      </c>
      <c r="Z58" s="89">
        <f t="shared" si="33"/>
        <v>2.1653023501452338E-2</v>
      </c>
      <c r="AA58" s="89">
        <f t="shared" si="34"/>
        <v>0.13103448275862073</v>
      </c>
      <c r="AD58" s="28"/>
      <c r="AE58" s="28"/>
      <c r="AF58" s="28"/>
      <c r="AG58" s="28"/>
    </row>
    <row r="59" spans="1:35" ht="15.6" x14ac:dyDescent="0.3">
      <c r="B59" s="86" t="s">
        <v>41</v>
      </c>
      <c r="C59" s="96">
        <f t="shared" ref="C59:D59" si="38">(C53-C54+C55)/C55</f>
        <v>-0.23247232472324722</v>
      </c>
      <c r="D59" s="96">
        <f t="shared" si="38"/>
        <v>0.17391304347826086</v>
      </c>
      <c r="E59" s="88">
        <f>(C59/D59)-1</f>
        <v>-2.3367158671586719</v>
      </c>
      <c r="G59" s="86" t="s">
        <v>41</v>
      </c>
      <c r="H59" s="96">
        <f t="shared" ref="H59:I59" si="39">(H53-H54+H55)/H55</f>
        <v>1.3293650793650793</v>
      </c>
      <c r="I59" s="96">
        <f t="shared" si="39"/>
        <v>-1.1542288557213931</v>
      </c>
      <c r="J59" s="88">
        <f>(H59/I59)-1</f>
        <v>-2.1517344006568146</v>
      </c>
      <c r="K59" s="28"/>
      <c r="L59" s="86" t="s">
        <v>41</v>
      </c>
      <c r="M59" s="96">
        <f t="shared" ref="M59:N59" si="40">(M53-M54+M55)/M55</f>
        <v>1.7712486883525709</v>
      </c>
      <c r="N59" s="96">
        <f t="shared" si="40"/>
        <v>0.60581583198707589</v>
      </c>
      <c r="O59" s="88">
        <f>(M59/N59)-1</f>
        <v>1.9237411682406438</v>
      </c>
      <c r="P59" s="28"/>
      <c r="Q59" s="97" t="s">
        <v>151</v>
      </c>
      <c r="R59" s="97">
        <f t="shared" ref="R59:S59" si="41">SUM(R53:R57)</f>
        <v>16628</v>
      </c>
      <c r="S59" s="97">
        <f t="shared" si="41"/>
        <v>13386</v>
      </c>
      <c r="T59" s="89">
        <f>R59/$R$59</f>
        <v>1</v>
      </c>
      <c r="U59" s="98">
        <f>(R59/S59)-1</f>
        <v>0.24219333632153006</v>
      </c>
      <c r="W59" s="74" t="s">
        <v>143</v>
      </c>
      <c r="X59" s="87">
        <v>271</v>
      </c>
      <c r="Y59" s="87">
        <v>230</v>
      </c>
      <c r="Z59" s="89">
        <f t="shared" si="33"/>
        <v>1.7890150514919462E-2</v>
      </c>
      <c r="AA59" s="89">
        <f t="shared" si="34"/>
        <v>0.17826086956521747</v>
      </c>
      <c r="AD59" s="28"/>
      <c r="AE59" s="28"/>
      <c r="AF59" s="28"/>
      <c r="AG59" s="28"/>
    </row>
    <row r="60" spans="1:35" ht="14.4" x14ac:dyDescent="0.3">
      <c r="W60" s="74" t="s">
        <v>152</v>
      </c>
      <c r="X60" s="74">
        <v>963</v>
      </c>
      <c r="Y60" s="74">
        <v>870</v>
      </c>
      <c r="Z60" s="89">
        <f t="shared" si="33"/>
        <v>6.3572748877739629E-2</v>
      </c>
      <c r="AA60" s="89">
        <f t="shared" si="34"/>
        <v>0.10689655172413803</v>
      </c>
      <c r="AD60" s="28"/>
      <c r="AE60" s="28"/>
      <c r="AF60" s="28"/>
      <c r="AG60" s="28"/>
    </row>
    <row r="61" spans="1:35" ht="15" x14ac:dyDescent="0.25">
      <c r="A61" s="99" t="s">
        <v>153</v>
      </c>
      <c r="B61" s="100" t="s">
        <v>52</v>
      </c>
      <c r="C61" s="100" t="s">
        <v>53</v>
      </c>
      <c r="D61" s="101" t="s">
        <v>129</v>
      </c>
      <c r="E61" s="100" t="s">
        <v>55</v>
      </c>
      <c r="F61" s="101" t="s">
        <v>125</v>
      </c>
      <c r="Q61" s="101" t="s">
        <v>154</v>
      </c>
      <c r="R61" s="101" t="s">
        <v>90</v>
      </c>
      <c r="S61" s="101" t="s">
        <v>155</v>
      </c>
      <c r="W61" s="28"/>
      <c r="X61" s="28"/>
      <c r="Y61" s="28"/>
      <c r="Z61" s="28"/>
      <c r="AA61" s="28"/>
      <c r="AD61" s="28"/>
      <c r="AE61" s="28"/>
      <c r="AF61" s="28"/>
      <c r="AG61" s="28"/>
    </row>
    <row r="62" spans="1:35" ht="15.6" x14ac:dyDescent="0.3">
      <c r="A62" s="28"/>
      <c r="B62" s="102" t="s">
        <v>156</v>
      </c>
      <c r="C62" s="103">
        <v>0.15</v>
      </c>
      <c r="D62" s="103">
        <v>0.15</v>
      </c>
      <c r="E62" s="103">
        <v>0.15</v>
      </c>
      <c r="F62" s="104">
        <f>AVERAGE(F42:F45)</f>
        <v>6.3851253321629706E-2</v>
      </c>
      <c r="Q62" s="12" t="s">
        <v>157</v>
      </c>
      <c r="R62" s="105">
        <v>0.53</v>
      </c>
      <c r="S62" s="106">
        <v>0.53</v>
      </c>
      <c r="W62" s="107" t="s">
        <v>151</v>
      </c>
      <c r="X62" s="107">
        <f t="shared" ref="X62:Y62" si="42">SUM(X53:X60)</f>
        <v>15148</v>
      </c>
      <c r="Y62" s="107">
        <f t="shared" si="42"/>
        <v>12413</v>
      </c>
      <c r="Z62" s="108">
        <f>X62/$X$62</f>
        <v>1</v>
      </c>
      <c r="AA62" s="109">
        <f>(X62/Y62)-1</f>
        <v>0.22033352130830575</v>
      </c>
      <c r="AD62" s="28"/>
      <c r="AE62" s="28"/>
      <c r="AF62" s="28"/>
      <c r="AG62" s="28"/>
    </row>
    <row r="63" spans="1:35" ht="15.6" x14ac:dyDescent="0.3">
      <c r="A63" s="28"/>
      <c r="B63" s="102" t="s">
        <v>158</v>
      </c>
      <c r="C63" s="103">
        <v>0.2</v>
      </c>
      <c r="D63" s="103">
        <f>(D66/D38)-1</f>
        <v>0.48979352712016744</v>
      </c>
      <c r="E63" s="103">
        <v>0.49</v>
      </c>
      <c r="F63" s="104">
        <f>G49</f>
        <v>7.2499999999999995E-2</v>
      </c>
      <c r="Q63" s="12" t="s">
        <v>159</v>
      </c>
      <c r="R63" s="105">
        <f>1.91%+3.41%</f>
        <v>5.3199999999999997E-2</v>
      </c>
      <c r="S63" s="106">
        <v>0.113</v>
      </c>
      <c r="AA63" s="44"/>
      <c r="AD63" s="28"/>
      <c r="AE63" s="28"/>
      <c r="AF63" s="28"/>
      <c r="AG63" s="28"/>
    </row>
    <row r="64" spans="1:35" ht="13.8" x14ac:dyDescent="0.25">
      <c r="Q64" s="12" t="s">
        <v>160</v>
      </c>
      <c r="R64" s="105">
        <v>0.19719999999999999</v>
      </c>
      <c r="S64" s="106">
        <v>0.17530000000000001</v>
      </c>
      <c r="AA64" s="44"/>
      <c r="AD64" s="28"/>
      <c r="AE64" s="28"/>
      <c r="AF64" s="28"/>
      <c r="AG64" s="28"/>
    </row>
    <row r="65" spans="1:30" ht="15" x14ac:dyDescent="0.25">
      <c r="A65" s="99" t="s">
        <v>161</v>
      </c>
      <c r="B65" s="99" t="s">
        <v>52</v>
      </c>
      <c r="C65" s="99" t="s">
        <v>53</v>
      </c>
      <c r="D65" s="99" t="s">
        <v>54</v>
      </c>
      <c r="E65" s="99" t="s">
        <v>55</v>
      </c>
      <c r="F65" s="99" t="s">
        <v>62</v>
      </c>
      <c r="G65" s="99" t="s">
        <v>162</v>
      </c>
      <c r="H65" s="99" t="s">
        <v>163</v>
      </c>
      <c r="I65" s="99" t="s">
        <v>164</v>
      </c>
      <c r="J65" s="99" t="s">
        <v>162</v>
      </c>
      <c r="K65" s="99" t="s">
        <v>165</v>
      </c>
      <c r="L65" s="99" t="s">
        <v>164</v>
      </c>
      <c r="M65" s="99" t="s">
        <v>166</v>
      </c>
      <c r="Q65" s="12" t="s">
        <v>167</v>
      </c>
      <c r="R65" s="105">
        <v>9.9599999999999994E-2</v>
      </c>
      <c r="S65" s="106">
        <v>9.6699999999999994E-2</v>
      </c>
      <c r="U65" s="28"/>
      <c r="AB65" s="28"/>
      <c r="AC65" s="28"/>
      <c r="AD65" s="28"/>
    </row>
    <row r="66" spans="1:30" ht="15.6" x14ac:dyDescent="0.3">
      <c r="A66" s="28"/>
      <c r="B66" s="110" t="s">
        <v>168</v>
      </c>
      <c r="C66" s="111">
        <f>FV(C63,1,0,-C38,0)</f>
        <v>68571.599999999991</v>
      </c>
      <c r="D66" s="111">
        <f>C66*F63</f>
        <v>4971.4409999999989</v>
      </c>
      <c r="E66" s="111">
        <f>FV(E63,1,0,-E38,0)</f>
        <v>56.053799999999995</v>
      </c>
      <c r="F66" s="112">
        <f>(75%*E66)+M38</f>
        <v>172.64709157303369</v>
      </c>
      <c r="G66" s="113">
        <f t="shared" ref="G66:G68" si="43">E66*40</f>
        <v>2242.152</v>
      </c>
      <c r="H66" s="113">
        <f t="shared" ref="H66:H68" si="44">AVERAGE(G66,I66)</f>
        <v>3223.0934999999999</v>
      </c>
      <c r="I66" s="113">
        <f t="shared" ref="I66:I68" si="45">E66*75</f>
        <v>4204.0349999999999</v>
      </c>
      <c r="J66" s="112">
        <f t="shared" ref="J66:J68" si="46">F66*10</f>
        <v>1726.4709157303369</v>
      </c>
      <c r="K66" s="113">
        <f t="shared" ref="K66:K68" si="47">AVERAGE(J66,L66)</f>
        <v>2417.059282022472</v>
      </c>
      <c r="L66" s="112">
        <f t="shared" ref="L66:L68" si="48">F66*18</f>
        <v>3107.6476483146066</v>
      </c>
      <c r="M66" s="113">
        <f t="shared" ref="M66:M68" si="49">H66*60%+K66*40%</f>
        <v>2900.6798128089886</v>
      </c>
      <c r="Q66" s="114" t="s">
        <v>169</v>
      </c>
      <c r="R66" s="105">
        <v>8.5999999999999993E-2</v>
      </c>
      <c r="S66" s="106">
        <v>5.1700000000000003E-2</v>
      </c>
      <c r="AB66" s="28"/>
      <c r="AC66" s="28"/>
      <c r="AD66" s="28"/>
    </row>
    <row r="67" spans="1:30" ht="15.6" x14ac:dyDescent="0.3">
      <c r="A67" s="28"/>
      <c r="B67" s="110" t="s">
        <v>170</v>
      </c>
      <c r="C67" s="111">
        <f>FV(C62,4,0,-C66,0)</f>
        <v>119932.15697249994</v>
      </c>
      <c r="D67" s="111">
        <f>C67*F62</f>
        <v>7657.8185362605518</v>
      </c>
      <c r="E67" s="111">
        <f>(D67*E66)/D66</f>
        <v>86.343140483381333</v>
      </c>
      <c r="F67" s="115">
        <f>FV(11%,4,0,-F66,0)</f>
        <v>262.0904410895829</v>
      </c>
      <c r="G67" s="113">
        <f t="shared" si="43"/>
        <v>3453.7256193352532</v>
      </c>
      <c r="H67" s="113">
        <f t="shared" si="44"/>
        <v>4964.7305777944266</v>
      </c>
      <c r="I67" s="113">
        <f t="shared" si="45"/>
        <v>6475.7355362536</v>
      </c>
      <c r="J67" s="112">
        <f t="shared" si="46"/>
        <v>2620.9044108958287</v>
      </c>
      <c r="K67" s="113">
        <f t="shared" si="47"/>
        <v>3669.2661752541603</v>
      </c>
      <c r="L67" s="112">
        <f t="shared" si="48"/>
        <v>4717.6279396124919</v>
      </c>
      <c r="M67" s="113">
        <f t="shared" si="49"/>
        <v>4446.5448167783197</v>
      </c>
      <c r="Q67" s="12" t="s">
        <v>146</v>
      </c>
      <c r="R67" s="105">
        <v>0.03</v>
      </c>
      <c r="S67" s="106">
        <v>0.03</v>
      </c>
    </row>
    <row r="68" spans="1:30" ht="15.6" x14ac:dyDescent="0.3">
      <c r="A68" s="28"/>
      <c r="B68" s="110" t="s">
        <v>171</v>
      </c>
      <c r="C68" s="111">
        <f t="shared" ref="C68:E68" si="50">FV(12%,5,0,-C67,0)</f>
        <v>211361.43938872224</v>
      </c>
      <c r="D68" s="111">
        <f t="shared" si="50"/>
        <v>13495.692808833584</v>
      </c>
      <c r="E68" s="111">
        <f t="shared" si="50"/>
        <v>152.16611553225636</v>
      </c>
      <c r="F68" s="115">
        <f>FV(9%,5,0,-F67,0)</f>
        <v>403.25863101073963</v>
      </c>
      <c r="G68" s="113">
        <f t="shared" si="43"/>
        <v>6086.6446212902538</v>
      </c>
      <c r="H68" s="113">
        <f t="shared" si="44"/>
        <v>8749.5516431047399</v>
      </c>
      <c r="I68" s="113">
        <f t="shared" si="45"/>
        <v>11412.458664919226</v>
      </c>
      <c r="J68" s="112">
        <f t="shared" si="46"/>
        <v>4032.5863101073965</v>
      </c>
      <c r="K68" s="113">
        <f t="shared" si="47"/>
        <v>5645.6208341503552</v>
      </c>
      <c r="L68" s="112">
        <f t="shared" si="48"/>
        <v>7258.6553581933131</v>
      </c>
      <c r="M68" s="113">
        <f t="shared" si="49"/>
        <v>7507.9793195229868</v>
      </c>
    </row>
    <row r="69" spans="1:30" ht="13.8" x14ac:dyDescent="0.25">
      <c r="A69" s="28"/>
      <c r="Q69" s="116" t="s">
        <v>151</v>
      </c>
      <c r="R69" s="117">
        <f t="shared" ref="R69:S69" si="51">SUM(R62:R67)</f>
        <v>0.996</v>
      </c>
      <c r="S69" s="118">
        <f t="shared" si="51"/>
        <v>0.99670000000000003</v>
      </c>
    </row>
    <row r="70" spans="1:30" ht="14.4" x14ac:dyDescent="0.3">
      <c r="A70" s="28"/>
      <c r="B70" s="119" t="s">
        <v>5</v>
      </c>
      <c r="C70" s="119" t="s">
        <v>6</v>
      </c>
      <c r="D70" s="119" t="s">
        <v>172</v>
      </c>
      <c r="E70" s="119" t="s">
        <v>173</v>
      </c>
      <c r="F70" s="119" t="s">
        <v>174</v>
      </c>
    </row>
    <row r="71" spans="1:30" ht="14.4" x14ac:dyDescent="0.3">
      <c r="B71" s="7" t="s">
        <v>28</v>
      </c>
      <c r="C71" s="120">
        <f ca="1">IFERROR(__xludf.DUMMYFUNCTION("GOOGLEFINANCE(""NSE:""&amp;B71,""price"")"),3594.7)</f>
        <v>3594.7</v>
      </c>
      <c r="D71" s="121">
        <v>3.6999999999999998E-2</v>
      </c>
      <c r="E71" s="122">
        <f ca="1">IFERROR(MAX(0.5, MIN(1,0.75 - 0.3*((C71/M66)-1))),"")</f>
        <v>0.67822163437760519</v>
      </c>
      <c r="F71" s="123">
        <f ca="1">D71*E71</f>
        <v>2.509420047197139E-2</v>
      </c>
    </row>
    <row r="72" spans="1:30" ht="13.2" x14ac:dyDescent="0.25"/>
    <row r="73" spans="1:30" ht="13.2" x14ac:dyDescent="0.25"/>
    <row r="74" spans="1:30" ht="13.2" x14ac:dyDescent="0.25"/>
    <row r="75" spans="1:30" ht="13.2" x14ac:dyDescent="0.25"/>
    <row r="76" spans="1:30" ht="13.2" x14ac:dyDescent="0.25"/>
    <row r="77" spans="1:30" ht="13.2" x14ac:dyDescent="0.25"/>
    <row r="78" spans="1:30" ht="13.2" x14ac:dyDescent="0.25"/>
    <row r="79" spans="1:30" ht="13.2" x14ac:dyDescent="0.25"/>
    <row r="80" spans="1:30" ht="13.2" x14ac:dyDescent="0.25"/>
    <row r="81" spans="13:17" ht="13.2" x14ac:dyDescent="0.25"/>
    <row r="82" spans="13:17" ht="13.2" x14ac:dyDescent="0.25"/>
    <row r="83" spans="13:17" ht="13.2" x14ac:dyDescent="0.25"/>
    <row r="84" spans="13:17" ht="13.2" x14ac:dyDescent="0.25"/>
    <row r="85" spans="13:17" ht="13.2" x14ac:dyDescent="0.25">
      <c r="N85" s="2"/>
    </row>
    <row r="86" spans="13:17" ht="13.2" x14ac:dyDescent="0.25"/>
    <row r="87" spans="13:17" ht="13.2" x14ac:dyDescent="0.25">
      <c r="M87" s="2"/>
    </row>
    <row r="88" spans="13:17" ht="13.2" x14ac:dyDescent="0.25"/>
    <row r="89" spans="13:17" ht="13.2" x14ac:dyDescent="0.25"/>
    <row r="90" spans="13:17" ht="13.2" x14ac:dyDescent="0.25"/>
    <row r="91" spans="13:17" ht="13.2" x14ac:dyDescent="0.25"/>
    <row r="92" spans="13:17" ht="13.2" x14ac:dyDescent="0.25"/>
    <row r="93" spans="13:17" ht="13.2" x14ac:dyDescent="0.25"/>
    <row r="94" spans="13:17" ht="13.2" x14ac:dyDescent="0.25"/>
    <row r="95" spans="13:17" ht="13.2" x14ac:dyDescent="0.25"/>
    <row r="96" spans="13:17" ht="13.8" x14ac:dyDescent="0.25">
      <c r="O96" s="41"/>
      <c r="P96" s="46"/>
      <c r="Q96" s="28"/>
    </row>
    <row r="97" spans="2:26" ht="13.2" x14ac:dyDescent="0.25"/>
    <row r="98" spans="2:26" ht="13.2" x14ac:dyDescent="0.25"/>
    <row r="99" spans="2:26" ht="13.2" x14ac:dyDescent="0.25"/>
    <row r="100" spans="2:26" ht="13.2" x14ac:dyDescent="0.25"/>
    <row r="101" spans="2:26" ht="13.2" x14ac:dyDescent="0.25"/>
    <row r="102" spans="2:26" ht="13.2" x14ac:dyDescent="0.25"/>
    <row r="103" spans="2:26" ht="13.2" x14ac:dyDescent="0.25"/>
    <row r="104" spans="2:26" ht="13.2" x14ac:dyDescent="0.25"/>
    <row r="105" spans="2:26" ht="13.2" x14ac:dyDescent="0.25"/>
    <row r="106" spans="2:26" ht="13.2" x14ac:dyDescent="0.25"/>
    <row r="107" spans="2:26" ht="13.2" x14ac:dyDescent="0.25"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</row>
    <row r="108" spans="2:26" ht="13.2" x14ac:dyDescent="0.25"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124"/>
    </row>
    <row r="109" spans="2:26" ht="13.2" x14ac:dyDescent="0.25"/>
    <row r="110" spans="2:26" ht="13.2" x14ac:dyDescent="0.25"/>
    <row r="111" spans="2:26" ht="13.2" x14ac:dyDescent="0.25"/>
    <row r="112" spans="2:26" ht="13.2" x14ac:dyDescent="0.25"/>
    <row r="113" ht="13.2" x14ac:dyDescent="0.25"/>
    <row r="114" ht="13.2" x14ac:dyDescent="0.25"/>
    <row r="115" ht="13.2" x14ac:dyDescent="0.25"/>
    <row r="116" ht="13.2" x14ac:dyDescent="0.25"/>
    <row r="117" ht="13.2" x14ac:dyDescent="0.25"/>
    <row r="118" ht="13.2" x14ac:dyDescent="0.25"/>
    <row r="119" ht="13.2" x14ac:dyDescent="0.25"/>
    <row r="120" ht="13.2" x14ac:dyDescent="0.25"/>
    <row r="121" ht="13.2" x14ac:dyDescent="0.25"/>
    <row r="122" ht="13.2" x14ac:dyDescent="0.25"/>
    <row r="123" ht="13.2" x14ac:dyDescent="0.25"/>
    <row r="124" ht="13.2" x14ac:dyDescent="0.25"/>
    <row r="125" ht="13.2" x14ac:dyDescent="0.25"/>
    <row r="126" ht="13.2" x14ac:dyDescent="0.25"/>
    <row r="127" ht="13.2" x14ac:dyDescent="0.25"/>
    <row r="128" ht="13.2" x14ac:dyDescent="0.25"/>
    <row r="129" ht="13.2" x14ac:dyDescent="0.25"/>
    <row r="130" ht="13.2" x14ac:dyDescent="0.25"/>
    <row r="131" ht="13.2" x14ac:dyDescent="0.25"/>
    <row r="132" ht="13.2" x14ac:dyDescent="0.25"/>
    <row r="133" ht="13.2" x14ac:dyDescent="0.25"/>
    <row r="134" ht="13.2" x14ac:dyDescent="0.25"/>
    <row r="135" ht="13.2" x14ac:dyDescent="0.25"/>
    <row r="136" ht="13.2" x14ac:dyDescent="0.25"/>
    <row r="137" ht="13.2" x14ac:dyDescent="0.25"/>
    <row r="138" ht="13.2" x14ac:dyDescent="0.25"/>
    <row r="139" ht="13.2" x14ac:dyDescent="0.25"/>
    <row r="140" ht="13.2" x14ac:dyDescent="0.25"/>
    <row r="141" ht="13.2" x14ac:dyDescent="0.25"/>
    <row r="142" ht="13.2" x14ac:dyDescent="0.25"/>
    <row r="143" ht="13.2" x14ac:dyDescent="0.25"/>
    <row r="144" ht="13.2" x14ac:dyDescent="0.25"/>
    <row r="145" ht="13.2" x14ac:dyDescent="0.25"/>
    <row r="146" ht="13.2" x14ac:dyDescent="0.25"/>
    <row r="147" ht="13.2" x14ac:dyDescent="0.25"/>
    <row r="148" ht="13.2" x14ac:dyDescent="0.25"/>
    <row r="149" ht="13.2" x14ac:dyDescent="0.25"/>
    <row r="150" ht="13.2" x14ac:dyDescent="0.25"/>
    <row r="151" ht="13.2" x14ac:dyDescent="0.25"/>
    <row r="152" ht="13.2" x14ac:dyDescent="0.25"/>
    <row r="153" ht="13.2" x14ac:dyDescent="0.25"/>
    <row r="154" ht="13.2" x14ac:dyDescent="0.25"/>
    <row r="155" ht="13.2" x14ac:dyDescent="0.25"/>
    <row r="156" ht="13.2" x14ac:dyDescent="0.25"/>
    <row r="157" ht="13.2" x14ac:dyDescent="0.25"/>
    <row r="158" ht="13.2" x14ac:dyDescent="0.25"/>
    <row r="159" ht="13.2" x14ac:dyDescent="0.25"/>
    <row r="160" ht="13.2" x14ac:dyDescent="0.25"/>
    <row r="161" ht="13.2" x14ac:dyDescent="0.25"/>
    <row r="162" ht="13.2" x14ac:dyDescent="0.25"/>
    <row r="163" ht="13.2" x14ac:dyDescent="0.25"/>
    <row r="164" ht="13.2" x14ac:dyDescent="0.25"/>
    <row r="165" ht="13.2" x14ac:dyDescent="0.25"/>
    <row r="166" ht="13.2" x14ac:dyDescent="0.25"/>
    <row r="167" ht="13.2" x14ac:dyDescent="0.25"/>
    <row r="168" ht="13.2" x14ac:dyDescent="0.25"/>
    <row r="169" ht="13.2" x14ac:dyDescent="0.25"/>
    <row r="170" ht="13.2" x14ac:dyDescent="0.25"/>
    <row r="171" ht="13.2" x14ac:dyDescent="0.25"/>
    <row r="172" ht="13.2" x14ac:dyDescent="0.25"/>
    <row r="173" ht="13.2" x14ac:dyDescent="0.25"/>
    <row r="174" ht="13.2" x14ac:dyDescent="0.25"/>
    <row r="175" ht="13.2" x14ac:dyDescent="0.25"/>
    <row r="176" ht="13.2" x14ac:dyDescent="0.25"/>
    <row r="177" ht="13.2" x14ac:dyDescent="0.25"/>
    <row r="178" ht="13.2" x14ac:dyDescent="0.25"/>
    <row r="179" ht="13.2" x14ac:dyDescent="0.25"/>
    <row r="180" ht="13.2" x14ac:dyDescent="0.25"/>
    <row r="181" ht="13.2" x14ac:dyDescent="0.25"/>
    <row r="182" ht="13.2" x14ac:dyDescent="0.25"/>
    <row r="183" ht="13.2" x14ac:dyDescent="0.25"/>
    <row r="184" ht="13.2" x14ac:dyDescent="0.25"/>
    <row r="185" ht="13.2" x14ac:dyDescent="0.25"/>
    <row r="186" ht="13.2" x14ac:dyDescent="0.25"/>
    <row r="187" ht="13.2" x14ac:dyDescent="0.25"/>
    <row r="188" ht="13.2" x14ac:dyDescent="0.25"/>
    <row r="189" ht="13.2" x14ac:dyDescent="0.25"/>
    <row r="190" ht="13.2" x14ac:dyDescent="0.25"/>
    <row r="191" ht="13.2" x14ac:dyDescent="0.25"/>
    <row r="192" ht="13.2" x14ac:dyDescent="0.25"/>
    <row r="193" ht="13.2" x14ac:dyDescent="0.25"/>
    <row r="194" ht="13.2" x14ac:dyDescent="0.25"/>
    <row r="195" ht="13.2" x14ac:dyDescent="0.25"/>
    <row r="196" ht="13.2" x14ac:dyDescent="0.25"/>
    <row r="197" ht="13.2" x14ac:dyDescent="0.25"/>
    <row r="198" ht="13.2" x14ac:dyDescent="0.25"/>
    <row r="199" ht="13.2" x14ac:dyDescent="0.25"/>
    <row r="200" ht="13.2" x14ac:dyDescent="0.25"/>
    <row r="201" ht="13.2" x14ac:dyDescent="0.25"/>
    <row r="202" ht="13.2" x14ac:dyDescent="0.25"/>
    <row r="203" ht="13.2" x14ac:dyDescent="0.25"/>
    <row r="204" ht="13.2" x14ac:dyDescent="0.25"/>
    <row r="205" ht="13.2" x14ac:dyDescent="0.25"/>
    <row r="206" ht="13.2" x14ac:dyDescent="0.25"/>
    <row r="207" ht="13.2" x14ac:dyDescent="0.25"/>
    <row r="208" ht="13.2" x14ac:dyDescent="0.25"/>
    <row r="209" ht="13.2" x14ac:dyDescent="0.25"/>
    <row r="210" ht="13.2" x14ac:dyDescent="0.25"/>
    <row r="211" ht="13.2" x14ac:dyDescent="0.25"/>
    <row r="212" ht="13.2" x14ac:dyDescent="0.25"/>
    <row r="213" ht="13.2" x14ac:dyDescent="0.25"/>
    <row r="214" ht="13.2" x14ac:dyDescent="0.25"/>
    <row r="215" ht="13.2" x14ac:dyDescent="0.25"/>
    <row r="216" ht="13.2" x14ac:dyDescent="0.25"/>
    <row r="217" ht="13.2" x14ac:dyDescent="0.25"/>
    <row r="218" ht="13.2" x14ac:dyDescent="0.25"/>
    <row r="219" ht="13.2" x14ac:dyDescent="0.25"/>
    <row r="220" ht="13.2" x14ac:dyDescent="0.25"/>
    <row r="221" ht="13.2" x14ac:dyDescent="0.25"/>
    <row r="222" ht="13.2" x14ac:dyDescent="0.25"/>
    <row r="223" ht="13.2" x14ac:dyDescent="0.25"/>
    <row r="224" ht="13.2" x14ac:dyDescent="0.25"/>
    <row r="225" ht="13.2" x14ac:dyDescent="0.25"/>
    <row r="226" ht="13.2" x14ac:dyDescent="0.25"/>
    <row r="227" ht="13.2" x14ac:dyDescent="0.25"/>
    <row r="228" ht="13.2" x14ac:dyDescent="0.25"/>
    <row r="229" ht="13.2" x14ac:dyDescent="0.25"/>
    <row r="230" ht="13.2" x14ac:dyDescent="0.25"/>
    <row r="231" ht="13.2" x14ac:dyDescent="0.25"/>
    <row r="232" ht="13.2" x14ac:dyDescent="0.25"/>
    <row r="233" ht="13.2" x14ac:dyDescent="0.25"/>
    <row r="234" ht="13.2" x14ac:dyDescent="0.25"/>
    <row r="235" ht="13.2" x14ac:dyDescent="0.25"/>
    <row r="236" ht="13.2" x14ac:dyDescent="0.25"/>
    <row r="237" ht="13.2" x14ac:dyDescent="0.25"/>
    <row r="238" ht="13.2" x14ac:dyDescent="0.25"/>
    <row r="239" ht="13.2" x14ac:dyDescent="0.25"/>
    <row r="240" ht="13.2" x14ac:dyDescent="0.25"/>
    <row r="241" ht="13.2" x14ac:dyDescent="0.25"/>
    <row r="242" ht="13.2" x14ac:dyDescent="0.25"/>
    <row r="243" ht="13.2" x14ac:dyDescent="0.25"/>
    <row r="244" ht="13.2" x14ac:dyDescent="0.25"/>
    <row r="245" ht="13.2" x14ac:dyDescent="0.25"/>
    <row r="246" ht="13.2" x14ac:dyDescent="0.25"/>
    <row r="247" ht="13.2" x14ac:dyDescent="0.25"/>
    <row r="248" ht="13.2" x14ac:dyDescent="0.25"/>
    <row r="249" ht="13.2" x14ac:dyDescent="0.25"/>
    <row r="250" ht="13.2" x14ac:dyDescent="0.25"/>
    <row r="251" ht="13.2" x14ac:dyDescent="0.25"/>
    <row r="252" ht="13.2" x14ac:dyDescent="0.25"/>
    <row r="253" ht="13.2" x14ac:dyDescent="0.25"/>
    <row r="254" ht="13.2" x14ac:dyDescent="0.25"/>
    <row r="255" ht="13.2" x14ac:dyDescent="0.25"/>
    <row r="256" ht="13.2" x14ac:dyDescent="0.25"/>
    <row r="257" ht="13.2" x14ac:dyDescent="0.25"/>
    <row r="258" ht="13.2" x14ac:dyDescent="0.25"/>
    <row r="259" ht="13.2" x14ac:dyDescent="0.25"/>
    <row r="260" ht="13.2" x14ac:dyDescent="0.25"/>
    <row r="261" ht="13.2" x14ac:dyDescent="0.25"/>
    <row r="262" ht="13.2" x14ac:dyDescent="0.25"/>
    <row r="263" ht="13.2" x14ac:dyDescent="0.25"/>
    <row r="264" ht="13.2" x14ac:dyDescent="0.25"/>
    <row r="265" ht="13.2" x14ac:dyDescent="0.25"/>
    <row r="266" ht="13.2" x14ac:dyDescent="0.25"/>
    <row r="267" ht="13.2" x14ac:dyDescent="0.25"/>
    <row r="268" ht="13.2" x14ac:dyDescent="0.25"/>
    <row r="269" ht="13.2" x14ac:dyDescent="0.25"/>
    <row r="270" ht="13.2" x14ac:dyDescent="0.25"/>
    <row r="271" ht="13.2" x14ac:dyDescent="0.25"/>
    <row r="272" ht="13.2" x14ac:dyDescent="0.25"/>
    <row r="273" ht="13.2" x14ac:dyDescent="0.25"/>
    <row r="274" ht="13.2" x14ac:dyDescent="0.25"/>
    <row r="275" ht="13.2" x14ac:dyDescent="0.25"/>
    <row r="276" ht="13.2" x14ac:dyDescent="0.25"/>
    <row r="277" ht="13.2" x14ac:dyDescent="0.25"/>
    <row r="278" ht="13.2" x14ac:dyDescent="0.25"/>
    <row r="279" ht="13.2" x14ac:dyDescent="0.25"/>
    <row r="280" ht="13.2" x14ac:dyDescent="0.25"/>
    <row r="281" ht="13.2" x14ac:dyDescent="0.25"/>
    <row r="282" ht="13.2" x14ac:dyDescent="0.25"/>
    <row r="283" ht="13.2" x14ac:dyDescent="0.25"/>
    <row r="284" ht="13.2" x14ac:dyDescent="0.25"/>
    <row r="285" ht="13.2" x14ac:dyDescent="0.25"/>
    <row r="286" ht="13.2" x14ac:dyDescent="0.25"/>
    <row r="287" ht="13.2" x14ac:dyDescent="0.25"/>
    <row r="288" ht="13.2" x14ac:dyDescent="0.25"/>
    <row r="289" ht="13.2" x14ac:dyDescent="0.25"/>
    <row r="290" ht="13.2" x14ac:dyDescent="0.25"/>
    <row r="291" ht="13.2" x14ac:dyDescent="0.25"/>
    <row r="292" ht="13.2" x14ac:dyDescent="0.25"/>
    <row r="293" ht="13.2" x14ac:dyDescent="0.25"/>
    <row r="294" ht="13.2" x14ac:dyDescent="0.25"/>
    <row r="295" ht="13.2" x14ac:dyDescent="0.25"/>
    <row r="296" ht="13.2" x14ac:dyDescent="0.25"/>
    <row r="297" ht="13.2" x14ac:dyDescent="0.25"/>
    <row r="298" ht="13.2" x14ac:dyDescent="0.25"/>
    <row r="299" ht="13.2" x14ac:dyDescent="0.25"/>
    <row r="300" ht="13.2" x14ac:dyDescent="0.25"/>
    <row r="301" ht="13.2" x14ac:dyDescent="0.25"/>
    <row r="302" ht="13.2" x14ac:dyDescent="0.25"/>
    <row r="303" ht="13.2" x14ac:dyDescent="0.25"/>
    <row r="304" ht="13.2" x14ac:dyDescent="0.25"/>
    <row r="305" ht="13.2" x14ac:dyDescent="0.25"/>
    <row r="306" ht="13.2" x14ac:dyDescent="0.25"/>
    <row r="307" ht="13.2" x14ac:dyDescent="0.25"/>
    <row r="308" ht="13.2" x14ac:dyDescent="0.25"/>
    <row r="309" ht="13.2" x14ac:dyDescent="0.25"/>
    <row r="310" ht="13.2" x14ac:dyDescent="0.25"/>
    <row r="311" ht="13.2" x14ac:dyDescent="0.25"/>
    <row r="312" ht="13.2" x14ac:dyDescent="0.25"/>
    <row r="313" ht="13.2" x14ac:dyDescent="0.25"/>
    <row r="314" ht="13.2" x14ac:dyDescent="0.25"/>
    <row r="315" ht="13.2" x14ac:dyDescent="0.25"/>
    <row r="316" ht="13.2" x14ac:dyDescent="0.25"/>
    <row r="317" ht="13.2" x14ac:dyDescent="0.25"/>
    <row r="318" ht="13.2" x14ac:dyDescent="0.25"/>
    <row r="319" ht="13.2" x14ac:dyDescent="0.25"/>
    <row r="320" ht="13.2" x14ac:dyDescent="0.25"/>
    <row r="321" ht="13.2" x14ac:dyDescent="0.25"/>
    <row r="322" ht="13.2" x14ac:dyDescent="0.25"/>
    <row r="323" ht="13.2" x14ac:dyDescent="0.25"/>
    <row r="324" ht="13.2" x14ac:dyDescent="0.25"/>
    <row r="325" ht="13.2" x14ac:dyDescent="0.25"/>
    <row r="326" ht="13.2" x14ac:dyDescent="0.25"/>
    <row r="327" ht="13.2" x14ac:dyDescent="0.25"/>
    <row r="328" ht="13.2" x14ac:dyDescent="0.25"/>
    <row r="329" ht="13.2" x14ac:dyDescent="0.25"/>
    <row r="330" ht="13.2" x14ac:dyDescent="0.25"/>
    <row r="331" ht="13.2" x14ac:dyDescent="0.25"/>
    <row r="332" ht="13.2" x14ac:dyDescent="0.25"/>
    <row r="333" ht="13.2" x14ac:dyDescent="0.25"/>
    <row r="334" ht="13.2" x14ac:dyDescent="0.25"/>
    <row r="335" ht="13.2" x14ac:dyDescent="0.25"/>
    <row r="336" ht="13.2" x14ac:dyDescent="0.25"/>
    <row r="337" ht="13.2" x14ac:dyDescent="0.25"/>
    <row r="338" ht="13.2" x14ac:dyDescent="0.25"/>
    <row r="339" ht="13.2" x14ac:dyDescent="0.25"/>
    <row r="340" ht="13.2" x14ac:dyDescent="0.25"/>
    <row r="341" ht="13.2" x14ac:dyDescent="0.25"/>
    <row r="342" ht="13.2" x14ac:dyDescent="0.25"/>
    <row r="343" ht="13.2" x14ac:dyDescent="0.25"/>
    <row r="344" ht="13.2" x14ac:dyDescent="0.25"/>
    <row r="345" ht="13.2" x14ac:dyDescent="0.25"/>
    <row r="346" ht="13.2" x14ac:dyDescent="0.25"/>
    <row r="347" ht="13.2" x14ac:dyDescent="0.25"/>
    <row r="348" ht="13.2" x14ac:dyDescent="0.25"/>
    <row r="349" ht="13.2" x14ac:dyDescent="0.25"/>
    <row r="350" ht="13.2" x14ac:dyDescent="0.25"/>
    <row r="351" ht="13.2" x14ac:dyDescent="0.25"/>
    <row r="352" ht="13.2" x14ac:dyDescent="0.25"/>
    <row r="353" ht="13.2" x14ac:dyDescent="0.25"/>
    <row r="354" ht="13.2" x14ac:dyDescent="0.25"/>
    <row r="355" ht="13.2" x14ac:dyDescent="0.25"/>
    <row r="356" ht="13.2" x14ac:dyDescent="0.25"/>
    <row r="357" ht="13.2" x14ac:dyDescent="0.25"/>
    <row r="358" ht="13.2" x14ac:dyDescent="0.25"/>
    <row r="359" ht="13.2" x14ac:dyDescent="0.25"/>
    <row r="360" ht="13.2" x14ac:dyDescent="0.25"/>
    <row r="361" ht="13.2" x14ac:dyDescent="0.25"/>
    <row r="362" ht="13.2" x14ac:dyDescent="0.25"/>
    <row r="363" ht="13.2" x14ac:dyDescent="0.25"/>
    <row r="364" ht="13.2" x14ac:dyDescent="0.25"/>
    <row r="365" ht="13.2" x14ac:dyDescent="0.25"/>
    <row r="366" ht="13.2" x14ac:dyDescent="0.25"/>
    <row r="367" ht="13.2" x14ac:dyDescent="0.25"/>
    <row r="368" ht="13.2" x14ac:dyDescent="0.25"/>
    <row r="369" ht="13.2" x14ac:dyDescent="0.25"/>
    <row r="370" ht="13.2" x14ac:dyDescent="0.25"/>
    <row r="371" ht="13.2" x14ac:dyDescent="0.25"/>
    <row r="372" ht="13.2" x14ac:dyDescent="0.25"/>
    <row r="373" ht="13.2" x14ac:dyDescent="0.25"/>
    <row r="374" ht="13.2" x14ac:dyDescent="0.25"/>
    <row r="375" ht="13.2" x14ac:dyDescent="0.25"/>
    <row r="376" ht="13.2" x14ac:dyDescent="0.25"/>
    <row r="377" ht="13.2" x14ac:dyDescent="0.25"/>
    <row r="378" ht="13.2" x14ac:dyDescent="0.25"/>
    <row r="379" ht="13.2" x14ac:dyDescent="0.25"/>
    <row r="380" ht="13.2" x14ac:dyDescent="0.25"/>
    <row r="381" ht="13.2" x14ac:dyDescent="0.25"/>
    <row r="382" ht="13.2" x14ac:dyDescent="0.25"/>
    <row r="383" ht="13.2" x14ac:dyDescent="0.25"/>
    <row r="384" ht="13.2" x14ac:dyDescent="0.25"/>
    <row r="385" ht="13.2" x14ac:dyDescent="0.25"/>
    <row r="386" ht="13.2" x14ac:dyDescent="0.25"/>
    <row r="387" ht="13.2" x14ac:dyDescent="0.25"/>
    <row r="388" ht="13.2" x14ac:dyDescent="0.25"/>
    <row r="389" ht="13.2" x14ac:dyDescent="0.25"/>
    <row r="390" ht="13.2" x14ac:dyDescent="0.25"/>
    <row r="391" ht="13.2" x14ac:dyDescent="0.25"/>
    <row r="392" ht="13.2" x14ac:dyDescent="0.25"/>
    <row r="393" ht="13.2" x14ac:dyDescent="0.25"/>
    <row r="394" ht="13.2" x14ac:dyDescent="0.25"/>
    <row r="395" ht="13.2" x14ac:dyDescent="0.25"/>
    <row r="396" ht="13.2" x14ac:dyDescent="0.25"/>
    <row r="397" ht="13.2" x14ac:dyDescent="0.25"/>
    <row r="398" ht="13.2" x14ac:dyDescent="0.25"/>
    <row r="399" ht="13.2" x14ac:dyDescent="0.25"/>
    <row r="400" ht="13.2" x14ac:dyDescent="0.25"/>
    <row r="401" ht="13.2" x14ac:dyDescent="0.25"/>
    <row r="402" ht="13.2" x14ac:dyDescent="0.25"/>
    <row r="403" ht="13.2" x14ac:dyDescent="0.25"/>
    <row r="404" ht="13.2" x14ac:dyDescent="0.25"/>
    <row r="405" ht="13.2" x14ac:dyDescent="0.25"/>
    <row r="406" ht="13.2" x14ac:dyDescent="0.25"/>
    <row r="407" ht="13.2" x14ac:dyDescent="0.25"/>
    <row r="408" ht="13.2" x14ac:dyDescent="0.25"/>
    <row r="409" ht="13.2" x14ac:dyDescent="0.25"/>
    <row r="410" ht="13.2" x14ac:dyDescent="0.25"/>
    <row r="411" ht="13.2" x14ac:dyDescent="0.25"/>
    <row r="412" ht="13.2" x14ac:dyDescent="0.25"/>
    <row r="413" ht="13.2" x14ac:dyDescent="0.25"/>
    <row r="414" ht="13.2" x14ac:dyDescent="0.25"/>
    <row r="415" ht="13.2" x14ac:dyDescent="0.25"/>
    <row r="416" ht="13.2" x14ac:dyDescent="0.25"/>
    <row r="417" ht="13.2" x14ac:dyDescent="0.25"/>
    <row r="418" ht="13.2" x14ac:dyDescent="0.25"/>
    <row r="419" ht="13.2" x14ac:dyDescent="0.25"/>
    <row r="420" ht="13.2" x14ac:dyDescent="0.25"/>
    <row r="421" ht="13.2" x14ac:dyDescent="0.25"/>
    <row r="422" ht="13.2" x14ac:dyDescent="0.25"/>
    <row r="423" ht="13.2" x14ac:dyDescent="0.25"/>
    <row r="424" ht="13.2" x14ac:dyDescent="0.25"/>
    <row r="425" ht="13.2" x14ac:dyDescent="0.25"/>
    <row r="426" ht="13.2" x14ac:dyDescent="0.25"/>
    <row r="427" ht="13.2" x14ac:dyDescent="0.25"/>
    <row r="428" ht="13.2" x14ac:dyDescent="0.25"/>
    <row r="429" ht="13.2" x14ac:dyDescent="0.25"/>
    <row r="430" ht="13.2" x14ac:dyDescent="0.25"/>
    <row r="431" ht="13.2" x14ac:dyDescent="0.25"/>
    <row r="432" ht="13.2" x14ac:dyDescent="0.25"/>
    <row r="433" ht="13.2" x14ac:dyDescent="0.25"/>
    <row r="434" ht="13.2" x14ac:dyDescent="0.25"/>
    <row r="435" ht="13.2" x14ac:dyDescent="0.25"/>
    <row r="436" ht="13.2" x14ac:dyDescent="0.25"/>
    <row r="437" ht="13.2" x14ac:dyDescent="0.25"/>
    <row r="438" ht="13.2" x14ac:dyDescent="0.25"/>
    <row r="439" ht="13.2" x14ac:dyDescent="0.25"/>
    <row r="440" ht="13.2" x14ac:dyDescent="0.25"/>
    <row r="441" ht="13.2" x14ac:dyDescent="0.25"/>
    <row r="442" ht="13.2" x14ac:dyDescent="0.25"/>
    <row r="443" ht="13.2" x14ac:dyDescent="0.25"/>
    <row r="444" ht="13.2" x14ac:dyDescent="0.25"/>
    <row r="445" ht="13.2" x14ac:dyDescent="0.25"/>
    <row r="446" ht="13.2" x14ac:dyDescent="0.25"/>
    <row r="447" ht="13.2" x14ac:dyDescent="0.25"/>
    <row r="448" ht="13.2" x14ac:dyDescent="0.25"/>
    <row r="449" ht="13.2" x14ac:dyDescent="0.25"/>
    <row r="450" ht="13.2" x14ac:dyDescent="0.25"/>
    <row r="451" ht="13.2" x14ac:dyDescent="0.25"/>
    <row r="452" ht="13.2" x14ac:dyDescent="0.25"/>
    <row r="453" ht="13.2" x14ac:dyDescent="0.25"/>
    <row r="454" ht="13.2" x14ac:dyDescent="0.25"/>
    <row r="455" ht="13.2" x14ac:dyDescent="0.25"/>
    <row r="456" ht="13.2" x14ac:dyDescent="0.25"/>
    <row r="457" ht="13.2" x14ac:dyDescent="0.25"/>
    <row r="458" ht="13.2" x14ac:dyDescent="0.25"/>
    <row r="459" ht="13.2" x14ac:dyDescent="0.25"/>
    <row r="460" ht="13.2" x14ac:dyDescent="0.25"/>
    <row r="461" ht="13.2" x14ac:dyDescent="0.25"/>
    <row r="462" ht="13.2" x14ac:dyDescent="0.25"/>
    <row r="463" ht="13.2" x14ac:dyDescent="0.25"/>
    <row r="464" ht="13.2" x14ac:dyDescent="0.25"/>
    <row r="465" ht="13.2" x14ac:dyDescent="0.25"/>
    <row r="466" ht="13.2" x14ac:dyDescent="0.25"/>
    <row r="467" ht="13.2" x14ac:dyDescent="0.25"/>
    <row r="468" ht="13.2" x14ac:dyDescent="0.25"/>
    <row r="469" ht="13.2" x14ac:dyDescent="0.25"/>
    <row r="470" ht="13.2" x14ac:dyDescent="0.25"/>
    <row r="471" ht="13.2" x14ac:dyDescent="0.25"/>
    <row r="472" ht="13.2" x14ac:dyDescent="0.25"/>
    <row r="473" ht="13.2" x14ac:dyDescent="0.25"/>
    <row r="474" ht="13.2" x14ac:dyDescent="0.25"/>
    <row r="475" ht="13.2" x14ac:dyDescent="0.25"/>
    <row r="476" ht="13.2" x14ac:dyDescent="0.25"/>
    <row r="477" ht="13.2" x14ac:dyDescent="0.25"/>
    <row r="478" ht="13.2" x14ac:dyDescent="0.25"/>
    <row r="479" ht="13.2" x14ac:dyDescent="0.25"/>
    <row r="480" ht="13.2" x14ac:dyDescent="0.25"/>
    <row r="481" ht="13.2" x14ac:dyDescent="0.25"/>
    <row r="482" ht="13.2" x14ac:dyDescent="0.25"/>
    <row r="483" ht="13.2" x14ac:dyDescent="0.25"/>
    <row r="484" ht="13.2" x14ac:dyDescent="0.25"/>
    <row r="485" ht="13.2" x14ac:dyDescent="0.25"/>
    <row r="486" ht="13.2" x14ac:dyDescent="0.25"/>
    <row r="487" ht="13.2" x14ac:dyDescent="0.25"/>
    <row r="488" ht="13.2" x14ac:dyDescent="0.25"/>
    <row r="489" ht="13.2" x14ac:dyDescent="0.25"/>
    <row r="490" ht="13.2" x14ac:dyDescent="0.25"/>
    <row r="491" ht="13.2" x14ac:dyDescent="0.25"/>
    <row r="492" ht="13.2" x14ac:dyDescent="0.25"/>
    <row r="493" ht="13.2" x14ac:dyDescent="0.25"/>
    <row r="494" ht="13.2" x14ac:dyDescent="0.25"/>
    <row r="495" ht="13.2" x14ac:dyDescent="0.25"/>
    <row r="496" ht="13.2" x14ac:dyDescent="0.25"/>
    <row r="497" ht="13.2" x14ac:dyDescent="0.25"/>
    <row r="498" ht="13.2" x14ac:dyDescent="0.25"/>
    <row r="499" ht="13.2" x14ac:dyDescent="0.25"/>
    <row r="500" ht="13.2" x14ac:dyDescent="0.25"/>
    <row r="501" ht="13.2" x14ac:dyDescent="0.25"/>
    <row r="502" ht="13.2" x14ac:dyDescent="0.25"/>
    <row r="503" ht="13.2" x14ac:dyDescent="0.25"/>
    <row r="504" ht="13.2" x14ac:dyDescent="0.25"/>
    <row r="505" ht="13.2" x14ac:dyDescent="0.25"/>
    <row r="506" ht="13.2" x14ac:dyDescent="0.25"/>
    <row r="507" ht="13.2" x14ac:dyDescent="0.25"/>
    <row r="508" ht="13.2" x14ac:dyDescent="0.25"/>
    <row r="509" ht="13.2" x14ac:dyDescent="0.25"/>
    <row r="510" ht="13.2" x14ac:dyDescent="0.25"/>
    <row r="511" ht="13.2" x14ac:dyDescent="0.25"/>
    <row r="512" ht="13.2" x14ac:dyDescent="0.25"/>
    <row r="513" ht="13.2" x14ac:dyDescent="0.25"/>
    <row r="514" ht="13.2" x14ac:dyDescent="0.25"/>
    <row r="515" ht="13.2" x14ac:dyDescent="0.25"/>
    <row r="516" ht="13.2" x14ac:dyDescent="0.25"/>
    <row r="517" ht="13.2" x14ac:dyDescent="0.25"/>
    <row r="518" ht="13.2" x14ac:dyDescent="0.25"/>
    <row r="519" ht="13.2" x14ac:dyDescent="0.25"/>
    <row r="520" ht="13.2" x14ac:dyDescent="0.25"/>
    <row r="521" ht="13.2" x14ac:dyDescent="0.25"/>
    <row r="522" ht="13.2" x14ac:dyDescent="0.25"/>
    <row r="523" ht="13.2" x14ac:dyDescent="0.25"/>
    <row r="524" ht="13.2" x14ac:dyDescent="0.25"/>
    <row r="525" ht="13.2" x14ac:dyDescent="0.25"/>
    <row r="526" ht="13.2" x14ac:dyDescent="0.25"/>
    <row r="527" ht="13.2" x14ac:dyDescent="0.25"/>
    <row r="528" ht="13.2" x14ac:dyDescent="0.25"/>
    <row r="529" ht="13.2" x14ac:dyDescent="0.25"/>
    <row r="530" ht="13.2" x14ac:dyDescent="0.25"/>
    <row r="531" ht="13.2" x14ac:dyDescent="0.25"/>
    <row r="532" ht="13.2" x14ac:dyDescent="0.25"/>
    <row r="533" ht="13.2" x14ac:dyDescent="0.25"/>
    <row r="534" ht="13.2" x14ac:dyDescent="0.25"/>
    <row r="535" ht="13.2" x14ac:dyDescent="0.25"/>
    <row r="536" ht="13.2" x14ac:dyDescent="0.25"/>
    <row r="537" ht="13.2" x14ac:dyDescent="0.25"/>
    <row r="538" ht="13.2" x14ac:dyDescent="0.25"/>
    <row r="539" ht="13.2" x14ac:dyDescent="0.25"/>
    <row r="540" ht="13.2" x14ac:dyDescent="0.25"/>
    <row r="541" ht="13.2" x14ac:dyDescent="0.25"/>
    <row r="542" ht="13.2" x14ac:dyDescent="0.25"/>
    <row r="543" ht="13.2" x14ac:dyDescent="0.25"/>
    <row r="544" ht="13.2" x14ac:dyDescent="0.25"/>
    <row r="545" ht="13.2" x14ac:dyDescent="0.25"/>
    <row r="546" ht="13.2" x14ac:dyDescent="0.25"/>
    <row r="547" ht="13.2" x14ac:dyDescent="0.25"/>
    <row r="548" ht="13.2" x14ac:dyDescent="0.25"/>
    <row r="549" ht="13.2" x14ac:dyDescent="0.25"/>
    <row r="550" ht="13.2" x14ac:dyDescent="0.25"/>
    <row r="551" ht="13.2" x14ac:dyDescent="0.25"/>
    <row r="552" ht="13.2" x14ac:dyDescent="0.25"/>
    <row r="553" ht="13.2" x14ac:dyDescent="0.25"/>
    <row r="554" ht="13.2" x14ac:dyDescent="0.25"/>
    <row r="555" ht="13.2" x14ac:dyDescent="0.25"/>
    <row r="556" ht="13.2" x14ac:dyDescent="0.25"/>
    <row r="557" ht="13.2" x14ac:dyDescent="0.25"/>
    <row r="558" ht="13.2" x14ac:dyDescent="0.25"/>
    <row r="559" ht="13.2" x14ac:dyDescent="0.25"/>
    <row r="560" ht="13.2" x14ac:dyDescent="0.25"/>
    <row r="561" ht="13.2" x14ac:dyDescent="0.25"/>
    <row r="562" ht="13.2" x14ac:dyDescent="0.25"/>
    <row r="563" ht="13.2" x14ac:dyDescent="0.25"/>
    <row r="564" ht="13.2" x14ac:dyDescent="0.25"/>
    <row r="565" ht="13.2" x14ac:dyDescent="0.25"/>
    <row r="566" ht="13.2" x14ac:dyDescent="0.25"/>
    <row r="567" ht="13.2" x14ac:dyDescent="0.25"/>
    <row r="568" ht="13.2" x14ac:dyDescent="0.25"/>
    <row r="569" ht="13.2" x14ac:dyDescent="0.25"/>
    <row r="570" ht="13.2" x14ac:dyDescent="0.25"/>
    <row r="571" ht="13.2" x14ac:dyDescent="0.25"/>
    <row r="572" ht="13.2" x14ac:dyDescent="0.25"/>
    <row r="573" ht="13.2" x14ac:dyDescent="0.25"/>
    <row r="574" ht="13.2" x14ac:dyDescent="0.25"/>
    <row r="575" ht="13.2" x14ac:dyDescent="0.25"/>
    <row r="576" ht="13.2" x14ac:dyDescent="0.25"/>
    <row r="577" ht="13.2" x14ac:dyDescent="0.25"/>
    <row r="578" ht="13.2" x14ac:dyDescent="0.25"/>
    <row r="579" ht="13.2" x14ac:dyDescent="0.25"/>
    <row r="580" ht="13.2" x14ac:dyDescent="0.25"/>
    <row r="581" ht="13.2" x14ac:dyDescent="0.25"/>
    <row r="582" ht="13.2" x14ac:dyDescent="0.25"/>
    <row r="583" ht="13.2" x14ac:dyDescent="0.25"/>
    <row r="584" ht="13.2" x14ac:dyDescent="0.25"/>
    <row r="585" ht="13.2" x14ac:dyDescent="0.25"/>
    <row r="586" ht="13.2" x14ac:dyDescent="0.25"/>
    <row r="587" ht="13.2" x14ac:dyDescent="0.25"/>
    <row r="588" ht="13.2" x14ac:dyDescent="0.25"/>
    <row r="589" ht="13.2" x14ac:dyDescent="0.25"/>
    <row r="590" ht="13.2" x14ac:dyDescent="0.25"/>
    <row r="591" ht="13.2" x14ac:dyDescent="0.25"/>
    <row r="592" ht="13.2" x14ac:dyDescent="0.25"/>
    <row r="593" ht="13.2" x14ac:dyDescent="0.25"/>
    <row r="594" ht="13.2" x14ac:dyDescent="0.25"/>
    <row r="595" ht="13.2" x14ac:dyDescent="0.25"/>
    <row r="596" ht="13.2" x14ac:dyDescent="0.25"/>
    <row r="597" ht="13.2" x14ac:dyDescent="0.25"/>
    <row r="598" ht="13.2" x14ac:dyDescent="0.25"/>
    <row r="599" ht="13.2" x14ac:dyDescent="0.25"/>
    <row r="600" ht="13.2" x14ac:dyDescent="0.25"/>
    <row r="601" ht="13.2" x14ac:dyDescent="0.25"/>
    <row r="602" ht="13.2" x14ac:dyDescent="0.25"/>
    <row r="603" ht="13.2" x14ac:dyDescent="0.25"/>
    <row r="604" ht="13.2" x14ac:dyDescent="0.25"/>
    <row r="605" ht="13.2" x14ac:dyDescent="0.25"/>
    <row r="606" ht="13.2" x14ac:dyDescent="0.25"/>
    <row r="607" ht="13.2" x14ac:dyDescent="0.25"/>
    <row r="608" ht="13.2" x14ac:dyDescent="0.25"/>
    <row r="609" ht="13.2" x14ac:dyDescent="0.25"/>
    <row r="610" ht="13.2" x14ac:dyDescent="0.25"/>
    <row r="611" ht="13.2" x14ac:dyDescent="0.25"/>
    <row r="612" ht="13.2" x14ac:dyDescent="0.25"/>
    <row r="613" ht="13.2" x14ac:dyDescent="0.25"/>
    <row r="614" ht="13.2" x14ac:dyDescent="0.25"/>
    <row r="615" ht="13.2" x14ac:dyDescent="0.25"/>
    <row r="616" ht="13.2" x14ac:dyDescent="0.25"/>
    <row r="617" ht="13.2" x14ac:dyDescent="0.25"/>
    <row r="618" ht="13.2" x14ac:dyDescent="0.25"/>
    <row r="619" ht="13.2" x14ac:dyDescent="0.25"/>
    <row r="620" ht="13.2" x14ac:dyDescent="0.25"/>
    <row r="621" ht="13.2" x14ac:dyDescent="0.25"/>
    <row r="622" ht="13.2" x14ac:dyDescent="0.25"/>
    <row r="623" ht="13.2" x14ac:dyDescent="0.25"/>
    <row r="624" ht="13.2" x14ac:dyDescent="0.25"/>
    <row r="625" ht="13.2" x14ac:dyDescent="0.25"/>
    <row r="626" ht="13.2" x14ac:dyDescent="0.25"/>
    <row r="627" ht="13.2" x14ac:dyDescent="0.25"/>
    <row r="628" ht="13.2" x14ac:dyDescent="0.25"/>
    <row r="629" ht="13.2" x14ac:dyDescent="0.25"/>
    <row r="630" ht="13.2" x14ac:dyDescent="0.25"/>
    <row r="631" ht="13.2" x14ac:dyDescent="0.25"/>
    <row r="632" ht="13.2" x14ac:dyDescent="0.25"/>
    <row r="633" ht="13.2" x14ac:dyDescent="0.25"/>
    <row r="634" ht="13.2" x14ac:dyDescent="0.25"/>
    <row r="635" ht="13.2" x14ac:dyDescent="0.25"/>
    <row r="636" ht="13.2" x14ac:dyDescent="0.25"/>
    <row r="637" ht="13.2" x14ac:dyDescent="0.25"/>
    <row r="638" ht="13.2" x14ac:dyDescent="0.25"/>
    <row r="639" ht="13.2" x14ac:dyDescent="0.25"/>
    <row r="640" ht="13.2" x14ac:dyDescent="0.25"/>
    <row r="641" ht="13.2" x14ac:dyDescent="0.25"/>
    <row r="642" ht="13.2" x14ac:dyDescent="0.25"/>
    <row r="643" ht="13.2" x14ac:dyDescent="0.25"/>
    <row r="644" ht="13.2" x14ac:dyDescent="0.25"/>
    <row r="645" ht="13.2" x14ac:dyDescent="0.25"/>
    <row r="646" ht="13.2" x14ac:dyDescent="0.25"/>
    <row r="647" ht="13.2" x14ac:dyDescent="0.25"/>
    <row r="648" ht="13.2" x14ac:dyDescent="0.25"/>
    <row r="649" ht="13.2" x14ac:dyDescent="0.25"/>
    <row r="650" ht="13.2" x14ac:dyDescent="0.25"/>
    <row r="651" ht="13.2" x14ac:dyDescent="0.25"/>
    <row r="652" ht="13.2" x14ac:dyDescent="0.25"/>
    <row r="653" ht="13.2" x14ac:dyDescent="0.25"/>
    <row r="654" ht="13.2" x14ac:dyDescent="0.25"/>
    <row r="655" ht="13.2" x14ac:dyDescent="0.25"/>
    <row r="656" ht="13.2" x14ac:dyDescent="0.25"/>
    <row r="657" ht="13.2" x14ac:dyDescent="0.25"/>
    <row r="658" ht="13.2" x14ac:dyDescent="0.25"/>
    <row r="659" ht="13.2" x14ac:dyDescent="0.25"/>
    <row r="660" ht="13.2" x14ac:dyDescent="0.25"/>
    <row r="661" ht="13.2" x14ac:dyDescent="0.25"/>
    <row r="662" ht="13.2" x14ac:dyDescent="0.25"/>
    <row r="663" ht="13.2" x14ac:dyDescent="0.25"/>
    <row r="664" ht="13.2" x14ac:dyDescent="0.25"/>
    <row r="665" ht="13.2" x14ac:dyDescent="0.25"/>
    <row r="666" ht="13.2" x14ac:dyDescent="0.25"/>
    <row r="667" ht="13.2" x14ac:dyDescent="0.25"/>
    <row r="668" ht="13.2" x14ac:dyDescent="0.25"/>
    <row r="669" ht="13.2" x14ac:dyDescent="0.25"/>
    <row r="670" ht="13.2" x14ac:dyDescent="0.25"/>
    <row r="671" ht="13.2" x14ac:dyDescent="0.25"/>
    <row r="672" ht="13.2" x14ac:dyDescent="0.25"/>
    <row r="673" ht="13.2" x14ac:dyDescent="0.25"/>
    <row r="674" ht="13.2" x14ac:dyDescent="0.25"/>
    <row r="675" ht="13.2" x14ac:dyDescent="0.25"/>
    <row r="676" ht="13.2" x14ac:dyDescent="0.25"/>
    <row r="677" ht="13.2" x14ac:dyDescent="0.25"/>
    <row r="678" ht="13.2" x14ac:dyDescent="0.25"/>
    <row r="679" ht="13.2" x14ac:dyDescent="0.25"/>
    <row r="680" ht="13.2" x14ac:dyDescent="0.25"/>
    <row r="681" ht="13.2" x14ac:dyDescent="0.25"/>
    <row r="682" ht="13.2" x14ac:dyDescent="0.25"/>
    <row r="683" ht="13.2" x14ac:dyDescent="0.25"/>
    <row r="684" ht="13.2" x14ac:dyDescent="0.25"/>
    <row r="685" ht="13.2" x14ac:dyDescent="0.25"/>
    <row r="686" ht="13.2" x14ac:dyDescent="0.25"/>
    <row r="687" ht="13.2" x14ac:dyDescent="0.25"/>
    <row r="688" ht="13.2" x14ac:dyDescent="0.25"/>
    <row r="689" ht="13.2" x14ac:dyDescent="0.25"/>
    <row r="690" ht="13.2" x14ac:dyDescent="0.25"/>
    <row r="691" ht="13.2" x14ac:dyDescent="0.25"/>
    <row r="692" ht="13.2" x14ac:dyDescent="0.25"/>
    <row r="693" ht="13.2" x14ac:dyDescent="0.25"/>
    <row r="694" ht="13.2" x14ac:dyDescent="0.25"/>
    <row r="695" ht="13.2" x14ac:dyDescent="0.25"/>
    <row r="696" ht="13.2" x14ac:dyDescent="0.25"/>
    <row r="697" ht="13.2" x14ac:dyDescent="0.25"/>
    <row r="698" ht="13.2" x14ac:dyDescent="0.25"/>
    <row r="699" ht="13.2" x14ac:dyDescent="0.25"/>
    <row r="700" ht="13.2" x14ac:dyDescent="0.25"/>
    <row r="701" ht="13.2" x14ac:dyDescent="0.25"/>
    <row r="702" ht="13.2" x14ac:dyDescent="0.25"/>
    <row r="703" ht="13.2" x14ac:dyDescent="0.25"/>
    <row r="704" ht="13.2" x14ac:dyDescent="0.25"/>
    <row r="705" ht="13.2" x14ac:dyDescent="0.25"/>
    <row r="706" ht="13.2" x14ac:dyDescent="0.25"/>
    <row r="707" ht="13.2" x14ac:dyDescent="0.25"/>
    <row r="708" ht="13.2" x14ac:dyDescent="0.25"/>
    <row r="709" ht="13.2" x14ac:dyDescent="0.25"/>
    <row r="710" ht="13.2" x14ac:dyDescent="0.25"/>
    <row r="711" ht="13.2" x14ac:dyDescent="0.25"/>
    <row r="712" ht="13.2" x14ac:dyDescent="0.25"/>
    <row r="713" ht="13.2" x14ac:dyDescent="0.25"/>
    <row r="714" ht="13.2" x14ac:dyDescent="0.25"/>
    <row r="715" ht="13.2" x14ac:dyDescent="0.25"/>
    <row r="716" ht="13.2" x14ac:dyDescent="0.25"/>
    <row r="717" ht="13.2" x14ac:dyDescent="0.25"/>
    <row r="718" ht="13.2" x14ac:dyDescent="0.25"/>
    <row r="719" ht="13.2" x14ac:dyDescent="0.25"/>
    <row r="720" ht="13.2" x14ac:dyDescent="0.25"/>
    <row r="721" ht="13.2" x14ac:dyDescent="0.25"/>
    <row r="722" ht="13.2" x14ac:dyDescent="0.25"/>
    <row r="723" ht="13.2" x14ac:dyDescent="0.25"/>
    <row r="724" ht="13.2" x14ac:dyDescent="0.25"/>
    <row r="725" ht="13.2" x14ac:dyDescent="0.25"/>
    <row r="726" ht="13.2" x14ac:dyDescent="0.25"/>
    <row r="727" ht="13.2" x14ac:dyDescent="0.25"/>
    <row r="728" ht="13.2" x14ac:dyDescent="0.25"/>
    <row r="729" ht="13.2" x14ac:dyDescent="0.25"/>
    <row r="730" ht="13.2" x14ac:dyDescent="0.25"/>
    <row r="731" ht="13.2" x14ac:dyDescent="0.25"/>
    <row r="732" ht="13.2" x14ac:dyDescent="0.25"/>
    <row r="733" ht="13.2" x14ac:dyDescent="0.25"/>
    <row r="734" ht="13.2" x14ac:dyDescent="0.25"/>
    <row r="735" ht="13.2" x14ac:dyDescent="0.25"/>
    <row r="736" ht="13.2" x14ac:dyDescent="0.25"/>
    <row r="737" ht="13.2" x14ac:dyDescent="0.25"/>
    <row r="738" ht="13.2" x14ac:dyDescent="0.25"/>
    <row r="739" ht="13.2" x14ac:dyDescent="0.25"/>
    <row r="740" ht="13.2" x14ac:dyDescent="0.25"/>
    <row r="741" ht="13.2" x14ac:dyDescent="0.25"/>
    <row r="742" ht="13.2" x14ac:dyDescent="0.25"/>
    <row r="743" ht="13.2" x14ac:dyDescent="0.25"/>
    <row r="744" ht="13.2" x14ac:dyDescent="0.25"/>
    <row r="745" ht="13.2" x14ac:dyDescent="0.25"/>
    <row r="746" ht="13.2" x14ac:dyDescent="0.25"/>
    <row r="747" ht="13.2" x14ac:dyDescent="0.25"/>
    <row r="748" ht="13.2" x14ac:dyDescent="0.25"/>
    <row r="749" ht="13.2" x14ac:dyDescent="0.25"/>
    <row r="750" ht="13.2" x14ac:dyDescent="0.25"/>
    <row r="751" ht="13.2" x14ac:dyDescent="0.25"/>
    <row r="752" ht="13.2" x14ac:dyDescent="0.25"/>
    <row r="753" ht="13.2" x14ac:dyDescent="0.25"/>
    <row r="754" ht="13.2" x14ac:dyDescent="0.25"/>
    <row r="755" ht="13.2" x14ac:dyDescent="0.25"/>
    <row r="756" ht="13.2" x14ac:dyDescent="0.25"/>
    <row r="757" ht="13.2" x14ac:dyDescent="0.25"/>
    <row r="758" ht="13.2" x14ac:dyDescent="0.25"/>
    <row r="759" ht="13.2" x14ac:dyDescent="0.25"/>
    <row r="760" ht="13.2" x14ac:dyDescent="0.25"/>
    <row r="761" ht="13.2" x14ac:dyDescent="0.25"/>
    <row r="762" ht="13.2" x14ac:dyDescent="0.25"/>
    <row r="763" ht="13.2" x14ac:dyDescent="0.25"/>
    <row r="764" ht="13.2" x14ac:dyDescent="0.25"/>
    <row r="765" ht="13.2" x14ac:dyDescent="0.25"/>
    <row r="766" ht="13.2" x14ac:dyDescent="0.25"/>
    <row r="767" ht="13.2" x14ac:dyDescent="0.25"/>
    <row r="768" ht="13.2" x14ac:dyDescent="0.25"/>
    <row r="769" ht="13.2" x14ac:dyDescent="0.25"/>
    <row r="770" ht="13.2" x14ac:dyDescent="0.25"/>
    <row r="771" ht="13.2" x14ac:dyDescent="0.25"/>
    <row r="772" ht="13.2" x14ac:dyDescent="0.25"/>
    <row r="773" ht="13.2" x14ac:dyDescent="0.25"/>
    <row r="774" ht="13.2" x14ac:dyDescent="0.25"/>
    <row r="775" ht="13.2" x14ac:dyDescent="0.25"/>
    <row r="776" ht="13.2" x14ac:dyDescent="0.25"/>
    <row r="777" ht="13.2" x14ac:dyDescent="0.25"/>
    <row r="778" ht="13.2" x14ac:dyDescent="0.25"/>
    <row r="779" ht="13.2" x14ac:dyDescent="0.25"/>
    <row r="780" ht="13.2" x14ac:dyDescent="0.25"/>
    <row r="781" ht="13.2" x14ac:dyDescent="0.25"/>
    <row r="782" ht="13.2" x14ac:dyDescent="0.25"/>
    <row r="783" ht="13.2" x14ac:dyDescent="0.25"/>
    <row r="784" ht="13.2" x14ac:dyDescent="0.25"/>
    <row r="785" ht="13.2" x14ac:dyDescent="0.25"/>
    <row r="786" ht="13.2" x14ac:dyDescent="0.25"/>
    <row r="787" ht="13.2" x14ac:dyDescent="0.25"/>
    <row r="788" ht="13.2" x14ac:dyDescent="0.25"/>
    <row r="789" ht="13.2" x14ac:dyDescent="0.25"/>
    <row r="790" ht="13.2" x14ac:dyDescent="0.25"/>
    <row r="791" ht="13.2" x14ac:dyDescent="0.25"/>
    <row r="792" ht="13.2" x14ac:dyDescent="0.25"/>
    <row r="793" ht="13.2" x14ac:dyDescent="0.25"/>
    <row r="794" ht="13.2" x14ac:dyDescent="0.25"/>
    <row r="795" ht="13.2" x14ac:dyDescent="0.25"/>
    <row r="796" ht="13.2" x14ac:dyDescent="0.25"/>
    <row r="797" ht="13.2" x14ac:dyDescent="0.25"/>
    <row r="798" ht="13.2" x14ac:dyDescent="0.25"/>
    <row r="799" ht="13.2" x14ac:dyDescent="0.25"/>
    <row r="800" ht="13.2" x14ac:dyDescent="0.25"/>
    <row r="801" ht="13.2" x14ac:dyDescent="0.25"/>
    <row r="802" ht="13.2" x14ac:dyDescent="0.25"/>
    <row r="803" ht="13.2" x14ac:dyDescent="0.25"/>
    <row r="804" ht="13.2" x14ac:dyDescent="0.25"/>
    <row r="805" ht="13.2" x14ac:dyDescent="0.25"/>
    <row r="806" ht="13.2" x14ac:dyDescent="0.25"/>
    <row r="807" ht="13.2" x14ac:dyDescent="0.25"/>
    <row r="808" ht="13.2" x14ac:dyDescent="0.25"/>
    <row r="809" ht="13.2" x14ac:dyDescent="0.25"/>
    <row r="810" ht="13.2" x14ac:dyDescent="0.25"/>
    <row r="811" ht="13.2" x14ac:dyDescent="0.25"/>
    <row r="812" ht="13.2" x14ac:dyDescent="0.25"/>
    <row r="813" ht="13.2" x14ac:dyDescent="0.25"/>
    <row r="814" ht="13.2" x14ac:dyDescent="0.25"/>
    <row r="815" ht="13.2" x14ac:dyDescent="0.25"/>
    <row r="816" ht="13.2" x14ac:dyDescent="0.25"/>
    <row r="817" ht="13.2" x14ac:dyDescent="0.25"/>
    <row r="818" ht="13.2" x14ac:dyDescent="0.25"/>
    <row r="819" ht="13.2" x14ac:dyDescent="0.25"/>
    <row r="820" ht="13.2" x14ac:dyDescent="0.25"/>
    <row r="821" ht="13.2" x14ac:dyDescent="0.25"/>
    <row r="822" ht="13.2" x14ac:dyDescent="0.25"/>
    <row r="823" ht="13.2" x14ac:dyDescent="0.25"/>
    <row r="824" ht="13.2" x14ac:dyDescent="0.25"/>
    <row r="825" ht="13.2" x14ac:dyDescent="0.25"/>
    <row r="826" ht="13.2" x14ac:dyDescent="0.25"/>
    <row r="827" ht="13.2" x14ac:dyDescent="0.25"/>
    <row r="828" ht="13.2" x14ac:dyDescent="0.25"/>
    <row r="829" ht="13.2" x14ac:dyDescent="0.25"/>
    <row r="830" ht="13.2" x14ac:dyDescent="0.25"/>
    <row r="831" ht="13.2" x14ac:dyDescent="0.25"/>
    <row r="832" ht="13.2" x14ac:dyDescent="0.25"/>
    <row r="833" ht="13.2" x14ac:dyDescent="0.25"/>
    <row r="834" ht="13.2" x14ac:dyDescent="0.25"/>
    <row r="835" ht="13.2" x14ac:dyDescent="0.25"/>
    <row r="836" ht="13.2" x14ac:dyDescent="0.25"/>
    <row r="837" ht="13.2" x14ac:dyDescent="0.25"/>
    <row r="838" ht="13.2" x14ac:dyDescent="0.25"/>
    <row r="839" ht="13.2" x14ac:dyDescent="0.25"/>
    <row r="840" ht="13.2" x14ac:dyDescent="0.25"/>
    <row r="841" ht="13.2" x14ac:dyDescent="0.25"/>
    <row r="842" ht="13.2" x14ac:dyDescent="0.25"/>
    <row r="843" ht="13.2" x14ac:dyDescent="0.25"/>
    <row r="844" ht="13.2" x14ac:dyDescent="0.25"/>
    <row r="845" ht="13.2" x14ac:dyDescent="0.25"/>
    <row r="846" ht="13.2" x14ac:dyDescent="0.25"/>
    <row r="847" ht="13.2" x14ac:dyDescent="0.25"/>
    <row r="848" ht="13.2" x14ac:dyDescent="0.25"/>
    <row r="849" ht="13.2" x14ac:dyDescent="0.25"/>
    <row r="850" ht="13.2" x14ac:dyDescent="0.25"/>
    <row r="851" ht="13.2" x14ac:dyDescent="0.25"/>
    <row r="852" ht="13.2" x14ac:dyDescent="0.25"/>
    <row r="853" ht="13.2" x14ac:dyDescent="0.25"/>
    <row r="854" ht="13.2" x14ac:dyDescent="0.25"/>
    <row r="855" ht="13.2" x14ac:dyDescent="0.25"/>
    <row r="856" ht="13.2" x14ac:dyDescent="0.25"/>
    <row r="857" ht="13.2" x14ac:dyDescent="0.25"/>
    <row r="858" ht="13.2" x14ac:dyDescent="0.25"/>
    <row r="859" ht="13.2" x14ac:dyDescent="0.25"/>
    <row r="860" ht="13.2" x14ac:dyDescent="0.25"/>
    <row r="861" ht="13.2" x14ac:dyDescent="0.25"/>
    <row r="862" ht="13.2" x14ac:dyDescent="0.25"/>
    <row r="863" ht="13.2" x14ac:dyDescent="0.25"/>
    <row r="864" ht="13.2" x14ac:dyDescent="0.25"/>
    <row r="865" ht="13.2" x14ac:dyDescent="0.25"/>
    <row r="866" ht="13.2" x14ac:dyDescent="0.25"/>
    <row r="867" ht="13.2" x14ac:dyDescent="0.25"/>
    <row r="868" ht="13.2" x14ac:dyDescent="0.25"/>
    <row r="869" ht="13.2" x14ac:dyDescent="0.25"/>
    <row r="870" ht="13.2" x14ac:dyDescent="0.25"/>
    <row r="871" ht="13.2" x14ac:dyDescent="0.25"/>
    <row r="872" ht="13.2" x14ac:dyDescent="0.25"/>
    <row r="873" ht="13.2" x14ac:dyDescent="0.25"/>
    <row r="874" ht="13.2" x14ac:dyDescent="0.25"/>
    <row r="875" ht="13.2" x14ac:dyDescent="0.25"/>
    <row r="876" ht="13.2" x14ac:dyDescent="0.25"/>
    <row r="877" ht="13.2" x14ac:dyDescent="0.25"/>
    <row r="878" ht="13.2" x14ac:dyDescent="0.25"/>
    <row r="879" ht="13.2" x14ac:dyDescent="0.25"/>
    <row r="880" ht="13.2" x14ac:dyDescent="0.25"/>
    <row r="881" ht="13.2" x14ac:dyDescent="0.25"/>
    <row r="882" ht="13.2" x14ac:dyDescent="0.25"/>
    <row r="883" ht="13.2" x14ac:dyDescent="0.25"/>
    <row r="884" ht="13.2" x14ac:dyDescent="0.25"/>
    <row r="885" ht="13.2" x14ac:dyDescent="0.25"/>
    <row r="886" ht="13.2" x14ac:dyDescent="0.25"/>
    <row r="887" ht="13.2" x14ac:dyDescent="0.25"/>
    <row r="888" ht="13.2" x14ac:dyDescent="0.25"/>
    <row r="889" ht="13.2" x14ac:dyDescent="0.25"/>
    <row r="890" ht="13.2" x14ac:dyDescent="0.25"/>
    <row r="891" ht="13.2" x14ac:dyDescent="0.25"/>
    <row r="892" ht="13.2" x14ac:dyDescent="0.25"/>
    <row r="893" ht="13.2" x14ac:dyDescent="0.25"/>
    <row r="894" ht="13.2" x14ac:dyDescent="0.25"/>
    <row r="895" ht="13.2" x14ac:dyDescent="0.25"/>
    <row r="896" ht="13.2" x14ac:dyDescent="0.25"/>
    <row r="897" ht="13.2" x14ac:dyDescent="0.25"/>
    <row r="898" ht="13.2" x14ac:dyDescent="0.25"/>
    <row r="899" ht="13.2" x14ac:dyDescent="0.25"/>
    <row r="900" ht="13.2" x14ac:dyDescent="0.25"/>
    <row r="901" ht="13.2" x14ac:dyDescent="0.25"/>
    <row r="902" ht="13.2" x14ac:dyDescent="0.25"/>
    <row r="903" ht="13.2" x14ac:dyDescent="0.25"/>
    <row r="904" ht="13.2" x14ac:dyDescent="0.25"/>
    <row r="905" ht="13.2" x14ac:dyDescent="0.25"/>
    <row r="906" ht="13.2" x14ac:dyDescent="0.25"/>
    <row r="907" ht="13.2" x14ac:dyDescent="0.25"/>
    <row r="908" ht="13.2" x14ac:dyDescent="0.25"/>
    <row r="909" ht="13.2" x14ac:dyDescent="0.25"/>
    <row r="910" ht="13.2" x14ac:dyDescent="0.25"/>
    <row r="911" ht="13.2" x14ac:dyDescent="0.25"/>
    <row r="912" ht="13.2" x14ac:dyDescent="0.25"/>
    <row r="913" ht="13.2" x14ac:dyDescent="0.25"/>
    <row r="914" ht="13.2" x14ac:dyDescent="0.25"/>
    <row r="915" ht="13.2" x14ac:dyDescent="0.25"/>
    <row r="916" ht="13.2" x14ac:dyDescent="0.25"/>
    <row r="917" ht="13.2" x14ac:dyDescent="0.25"/>
    <row r="918" ht="13.2" x14ac:dyDescent="0.25"/>
    <row r="919" ht="13.2" x14ac:dyDescent="0.25"/>
    <row r="920" ht="13.2" x14ac:dyDescent="0.25"/>
    <row r="921" ht="13.2" x14ac:dyDescent="0.25"/>
    <row r="922" ht="13.2" x14ac:dyDescent="0.25"/>
    <row r="923" ht="13.2" x14ac:dyDescent="0.25"/>
    <row r="924" ht="13.2" x14ac:dyDescent="0.25"/>
    <row r="925" ht="13.2" x14ac:dyDescent="0.25"/>
    <row r="926" ht="13.2" x14ac:dyDescent="0.25"/>
    <row r="927" ht="13.2" x14ac:dyDescent="0.25"/>
    <row r="928" ht="13.2" x14ac:dyDescent="0.25"/>
    <row r="929" ht="13.2" x14ac:dyDescent="0.25"/>
    <row r="930" ht="13.2" x14ac:dyDescent="0.25"/>
    <row r="931" ht="13.2" x14ac:dyDescent="0.25"/>
    <row r="932" ht="13.2" x14ac:dyDescent="0.25"/>
    <row r="933" ht="13.2" x14ac:dyDescent="0.25"/>
    <row r="934" ht="13.2" x14ac:dyDescent="0.25"/>
    <row r="935" ht="13.2" x14ac:dyDescent="0.25"/>
    <row r="936" ht="13.2" x14ac:dyDescent="0.25"/>
    <row r="937" ht="13.2" x14ac:dyDescent="0.25"/>
    <row r="938" ht="13.2" x14ac:dyDescent="0.25"/>
    <row r="939" ht="13.2" x14ac:dyDescent="0.25"/>
    <row r="940" ht="13.2" x14ac:dyDescent="0.25"/>
    <row r="941" ht="13.2" x14ac:dyDescent="0.25"/>
    <row r="942" ht="13.2" x14ac:dyDescent="0.25"/>
    <row r="943" ht="13.2" x14ac:dyDescent="0.25"/>
    <row r="944" ht="13.2" x14ac:dyDescent="0.25"/>
    <row r="945" ht="13.2" x14ac:dyDescent="0.25"/>
    <row r="946" ht="13.2" x14ac:dyDescent="0.25"/>
    <row r="947" ht="13.2" x14ac:dyDescent="0.25"/>
    <row r="948" ht="13.2" x14ac:dyDescent="0.25"/>
    <row r="949" ht="13.2" x14ac:dyDescent="0.25"/>
    <row r="950" ht="13.2" x14ac:dyDescent="0.25"/>
    <row r="951" ht="13.2" x14ac:dyDescent="0.25"/>
    <row r="952" ht="13.2" x14ac:dyDescent="0.25"/>
    <row r="953" ht="13.2" x14ac:dyDescent="0.25"/>
    <row r="954" ht="13.2" x14ac:dyDescent="0.25"/>
    <row r="955" ht="13.2" x14ac:dyDescent="0.25"/>
    <row r="956" ht="13.2" x14ac:dyDescent="0.25"/>
    <row r="957" ht="13.2" x14ac:dyDescent="0.25"/>
    <row r="958" ht="13.2" x14ac:dyDescent="0.25"/>
    <row r="959" ht="13.2" x14ac:dyDescent="0.25"/>
    <row r="960" ht="13.2" x14ac:dyDescent="0.25"/>
  </sheetData>
  <conditionalFormatting sqref="C12:C39">
    <cfRule type="colorScale" priority="2">
      <colorScale>
        <cfvo type="min"/>
        <cfvo type="max"/>
        <color rgb="FFFFFFFF"/>
        <color rgb="FF57BB8A"/>
      </colorScale>
    </cfRule>
  </conditionalFormatting>
  <conditionalFormatting sqref="C42:E45 G42:J45 M42:M45">
    <cfRule type="colorScale" priority="2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62:E63">
    <cfRule type="colorScale" priority="1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48:F48">
    <cfRule type="colorScale" priority="1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49:F49">
    <cfRule type="colorScale" priority="1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50:F50">
    <cfRule type="colorScale" priority="1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D12:D39">
    <cfRule type="colorScale" priority="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E12:E39">
    <cfRule type="colorScale" priority="18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F12:F39">
    <cfRule type="colorScale" priority="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F42:F45">
    <cfRule type="colorScale" priority="2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F62:F63">
    <cfRule type="colorScale" priority="17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12:G39">
    <cfRule type="colorScale" priority="19">
      <colorScale>
        <cfvo type="min"/>
        <cfvo type="max"/>
        <color rgb="FFFFFFFF"/>
        <color rgb="FF57BB8A"/>
      </colorScale>
    </cfRule>
  </conditionalFormatting>
  <conditionalFormatting sqref="G12:J39">
    <cfRule type="colorScale" priority="20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I12:L39">
    <cfRule type="colorScale" priority="21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J52:J60 W47">
    <cfRule type="colorScale" priority="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J48:M48">
    <cfRule type="colorScale" priority="1">
      <colorScale>
        <cfvo type="min"/>
        <cfvo type="max"/>
        <color rgb="FFFFFFFF"/>
        <color rgb="FF57BB8A"/>
      </colorScale>
    </cfRule>
  </conditionalFormatting>
  <conditionalFormatting sqref="K52:K60 Z52:Z61 X65">
    <cfRule type="colorScale" priority="9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K42:L45">
    <cfRule type="colorScale" priority="26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L52:L60 AA52:AA61 Y65">
    <cfRule type="colorScale" priority="10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M12:M39">
    <cfRule type="colorScale" priority="2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N12:O39">
    <cfRule type="colorScale" priority="23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N42:O45">
    <cfRule type="colorScale" priority="27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P48:R48">
    <cfRule type="colorScale" priority="1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P50:R50">
    <cfRule type="colorScale" priority="15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T52:T58">
    <cfRule type="colorScale" priority="7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U52:U58">
    <cfRule type="colorScale" priority="8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AB46:AB47 R46 E52:E60 O52:O60 J58">
    <cfRule type="colorScale" priority="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TITAN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Piyush Patel</dc:creator>
  <cp:lastModifiedBy>Piyush Patel</cp:lastModifiedBy>
  <dcterms:created xsi:type="dcterms:W3CDTF">2025-08-26T10:00:45Z</dcterms:created>
  <dcterms:modified xsi:type="dcterms:W3CDTF">2025-08-26T10:01:00Z</dcterms:modified>
</cp:coreProperties>
</file>