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280218A4-4674-4AAD-B1A2-1B52D6FEC7A6}" xr6:coauthVersionLast="47" xr6:coauthVersionMax="47" xr10:uidLastSave="{00000000-0000-0000-0000-000000000000}"/>
  <bookViews>
    <workbookView xWindow="-108" yWindow="-108" windowWidth="23256" windowHeight="12456" xr2:uid="{99CD9A07-19F1-4C66-B9D6-D1540812146D}"/>
  </bookViews>
  <sheets>
    <sheet name="TITAN" sheetId="1" r:id="rId1"/>
    <sheet name="Copy of Gems,Jewellery And Watc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47" i="2" l="1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M247" i="2"/>
  <c r="L247" i="2"/>
  <c r="K247" i="2"/>
  <c r="J247" i="2"/>
  <c r="I247" i="2"/>
  <c r="H247" i="2"/>
  <c r="G247" i="2"/>
  <c r="F247" i="2"/>
  <c r="E247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AO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D198" i="2"/>
  <c r="C198" i="2"/>
  <c r="AP198" i="2" s="1"/>
  <c r="AO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O197" i="2"/>
  <c r="AN197" i="2" s="1"/>
  <c r="D197" i="2"/>
  <c r="C197" i="2"/>
  <c r="AO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O196" i="2"/>
  <c r="AN196" i="2" s="1"/>
  <c r="D196" i="2"/>
  <c r="C196" i="2"/>
  <c r="AP196" i="2" s="1"/>
  <c r="AO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O195" i="2"/>
  <c r="AN195" i="2" s="1"/>
  <c r="D195" i="2"/>
  <c r="C195" i="2"/>
  <c r="AP195" i="2" s="1"/>
  <c r="AO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O194" i="2"/>
  <c r="D194" i="2"/>
  <c r="C194" i="2"/>
  <c r="AM194" i="2" s="1"/>
  <c r="AO193" i="2"/>
  <c r="AN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D193" i="2"/>
  <c r="C193" i="2"/>
  <c r="AP193" i="2" s="1"/>
  <c r="AP192" i="2"/>
  <c r="AO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O192" i="2"/>
  <c r="AN192" i="2" s="1"/>
  <c r="D192" i="2"/>
  <c r="C192" i="2"/>
  <c r="AO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O191" i="2"/>
  <c r="AN191" i="2" s="1"/>
  <c r="D191" i="2"/>
  <c r="C191" i="2"/>
  <c r="AP191" i="2" s="1"/>
  <c r="AO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O190" i="2"/>
  <c r="AN190" i="2" s="1"/>
  <c r="D190" i="2"/>
  <c r="C190" i="2"/>
  <c r="AP190" i="2" s="1"/>
  <c r="AP189" i="2"/>
  <c r="AO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O189" i="2"/>
  <c r="AN189" i="2" s="1"/>
  <c r="D189" i="2"/>
  <c r="C189" i="2"/>
  <c r="AO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O188" i="2"/>
  <c r="D188" i="2"/>
  <c r="C188" i="2"/>
  <c r="AP188" i="2" s="1"/>
  <c r="K61" i="2"/>
  <c r="G61" i="2"/>
  <c r="C61" i="2"/>
  <c r="Q74" i="1"/>
  <c r="P68" i="1"/>
  <c r="P74" i="1" s="1"/>
  <c r="W65" i="1"/>
  <c r="V65" i="1"/>
  <c r="Y65" i="1" s="1"/>
  <c r="Y63" i="1"/>
  <c r="X63" i="1"/>
  <c r="Y62" i="1"/>
  <c r="X62" i="1"/>
  <c r="Q62" i="1"/>
  <c r="P62" i="1"/>
  <c r="S62" i="1" s="1"/>
  <c r="Y61" i="1"/>
  <c r="X61" i="1"/>
  <c r="Y60" i="1"/>
  <c r="X60" i="1"/>
  <c r="S60" i="1"/>
  <c r="Y59" i="1"/>
  <c r="X59" i="1"/>
  <c r="S59" i="1"/>
  <c r="R59" i="1"/>
  <c r="Y58" i="1"/>
  <c r="X58" i="1"/>
  <c r="S58" i="1"/>
  <c r="Y57" i="1"/>
  <c r="X57" i="1"/>
  <c r="S57" i="1"/>
  <c r="R57" i="1"/>
  <c r="J57" i="1"/>
  <c r="Y56" i="1"/>
  <c r="X56" i="1"/>
  <c r="S56" i="1"/>
  <c r="R56" i="1"/>
  <c r="AA53" i="1"/>
  <c r="AB53" i="1" s="1"/>
  <c r="Z53" i="1"/>
  <c r="V53" i="1"/>
  <c r="U53" i="1"/>
  <c r="W53" i="1" s="1"/>
  <c r="R53" i="1"/>
  <c r="Q53" i="1"/>
  <c r="P53" i="1"/>
  <c r="AA52" i="1"/>
  <c r="Z52" i="1"/>
  <c r="AB52" i="1" s="1"/>
  <c r="W52" i="1"/>
  <c r="V52" i="1"/>
  <c r="U52" i="1"/>
  <c r="Q52" i="1"/>
  <c r="P52" i="1"/>
  <c r="R52" i="1" s="1"/>
  <c r="M52" i="1"/>
  <c r="AB51" i="1"/>
  <c r="W51" i="1"/>
  <c r="R51" i="1"/>
  <c r="F51" i="1"/>
  <c r="E51" i="1"/>
  <c r="C51" i="1"/>
  <c r="D51" i="1" s="1"/>
  <c r="D48" i="1" s="1"/>
  <c r="AB50" i="1"/>
  <c r="W50" i="1"/>
  <c r="R50" i="1"/>
  <c r="AB49" i="1"/>
  <c r="W49" i="1"/>
  <c r="R49" i="1"/>
  <c r="AB48" i="1"/>
  <c r="W48" i="1"/>
  <c r="R48" i="1"/>
  <c r="AB47" i="1"/>
  <c r="W47" i="1"/>
  <c r="R47" i="1"/>
  <c r="K44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I38" i="1"/>
  <c r="H38" i="1"/>
  <c r="D38" i="1"/>
  <c r="J38" i="1" s="1"/>
  <c r="C38" i="1"/>
  <c r="J37" i="1"/>
  <c r="I37" i="1"/>
  <c r="I44" i="1" s="1"/>
  <c r="H37" i="1"/>
  <c r="H44" i="1" s="1"/>
  <c r="J44" i="1" s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K43" i="1" s="1"/>
  <c r="I32" i="1"/>
  <c r="I43" i="1" s="1"/>
  <c r="H32" i="1"/>
  <c r="H43" i="1" s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H42" i="1" s="1"/>
  <c r="J22" i="1"/>
  <c r="K42" i="1" s="1"/>
  <c r="I22" i="1"/>
  <c r="I42" i="1" s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K41" i="1" s="1"/>
  <c r="F47" i="1" s="1"/>
  <c r="I12" i="1"/>
  <c r="I41" i="1" s="1"/>
  <c r="H12" i="1"/>
  <c r="H41" i="1" s="1"/>
  <c r="N9" i="1"/>
  <c r="J9" i="1"/>
  <c r="H9" i="1"/>
  <c r="G9" i="1"/>
  <c r="D9" i="1"/>
  <c r="C9" i="1"/>
  <c r="B9" i="1"/>
  <c r="X5" i="1"/>
  <c r="W5" i="1"/>
  <c r="V5" i="1"/>
  <c r="U5" i="1"/>
  <c r="T5" i="1"/>
  <c r="S5" i="1"/>
  <c r="Q5" i="1"/>
  <c r="P5" i="1"/>
  <c r="O5" i="1"/>
  <c r="L5" i="1"/>
  <c r="K5" i="1"/>
  <c r="J5" i="1"/>
  <c r="I5" i="1"/>
  <c r="G5" i="1"/>
  <c r="F5" i="1"/>
  <c r="E5" i="1"/>
  <c r="W4" i="1"/>
  <c r="R4" i="1"/>
  <c r="N4" i="1"/>
  <c r="I4" i="1"/>
  <c r="H4" i="1"/>
  <c r="G4" i="1"/>
  <c r="W3" i="1"/>
  <c r="R3" i="1"/>
  <c r="R5" i="1" s="1"/>
  <c r="N3" i="1"/>
  <c r="N5" i="1" s="1"/>
  <c r="M3" i="1"/>
  <c r="F9" i="1" s="1"/>
  <c r="I3" i="1"/>
  <c r="H3" i="1"/>
  <c r="I9" i="1" s="1"/>
  <c r="G3" i="1"/>
  <c r="E9" i="1" s="1"/>
  <c r="D3" i="1"/>
  <c r="C3" i="1"/>
  <c r="L57" i="1" s="1"/>
  <c r="M56" i="1" s="1"/>
  <c r="P9" i="1" s="1"/>
  <c r="P226" i="2" l="1"/>
  <c r="P242" i="2"/>
  <c r="P198" i="2"/>
  <c r="P219" i="2"/>
  <c r="AP194" i="2"/>
  <c r="P235" i="2"/>
  <c r="AN188" i="2"/>
  <c r="AN194" i="2"/>
  <c r="P204" i="2"/>
  <c r="P212" i="2"/>
  <c r="P193" i="2"/>
  <c r="P195" i="2"/>
  <c r="P211" i="2"/>
  <c r="P190" i="2"/>
  <c r="AM197" i="2"/>
  <c r="P209" i="2"/>
  <c r="P217" i="2"/>
  <c r="P221" i="2"/>
  <c r="P225" i="2"/>
  <c r="P241" i="2"/>
  <c r="P227" i="2"/>
  <c r="AM192" i="2"/>
  <c r="AP197" i="2"/>
  <c r="AP247" i="2" s="1"/>
  <c r="AN198" i="2"/>
  <c r="D247" i="2"/>
  <c r="P239" i="2" s="1"/>
  <c r="AN247" i="2"/>
  <c r="AM191" i="2"/>
  <c r="P194" i="2"/>
  <c r="AM196" i="2"/>
  <c r="AM188" i="2"/>
  <c r="AM193" i="2"/>
  <c r="AM198" i="2"/>
  <c r="AM190" i="2"/>
  <c r="AM195" i="2"/>
  <c r="P196" i="2"/>
  <c r="M9" i="1"/>
  <c r="P206" i="2"/>
  <c r="P214" i="2"/>
  <c r="P222" i="2"/>
  <c r="P238" i="2"/>
  <c r="O247" i="2"/>
  <c r="P200" i="2"/>
  <c r="P216" i="2"/>
  <c r="P224" i="2"/>
  <c r="P232" i="2"/>
  <c r="P191" i="2"/>
  <c r="P240" i="2"/>
  <c r="AM189" i="2"/>
  <c r="P220" i="2"/>
  <c r="P192" i="2"/>
  <c r="P197" i="2"/>
  <c r="P207" i="2"/>
  <c r="P215" i="2"/>
  <c r="P223" i="2"/>
  <c r="P231" i="2"/>
  <c r="J41" i="1"/>
  <c r="J45" i="1" s="1"/>
  <c r="J42" i="1"/>
  <c r="J43" i="1"/>
  <c r="K9" i="1"/>
  <c r="C5" i="1"/>
  <c r="L9" i="1"/>
  <c r="D4" i="1"/>
  <c r="D5" i="1" s="1"/>
  <c r="R58" i="1"/>
  <c r="R60" i="1"/>
  <c r="R62" i="1"/>
  <c r="X65" i="1"/>
  <c r="M5" i="1"/>
  <c r="C52" i="1"/>
  <c r="O9" i="1"/>
  <c r="K57" i="1"/>
  <c r="H5" i="1"/>
  <c r="P199" i="2" l="1"/>
  <c r="P247" i="2"/>
  <c r="P230" i="2"/>
  <c r="P189" i="2"/>
  <c r="P245" i="2"/>
  <c r="P213" i="2"/>
  <c r="P243" i="2"/>
  <c r="P234" i="2"/>
  <c r="P237" i="2"/>
  <c r="P205" i="2"/>
  <c r="P244" i="2"/>
  <c r="P203" i="2"/>
  <c r="P218" i="2"/>
  <c r="P233" i="2"/>
  <c r="P201" i="2"/>
  <c r="P236" i="2"/>
  <c r="P210" i="2"/>
  <c r="P208" i="2"/>
  <c r="P229" i="2"/>
  <c r="P228" i="2"/>
  <c r="P188" i="2"/>
  <c r="P202" i="2"/>
  <c r="AM247" i="2"/>
  <c r="D52" i="1"/>
  <c r="C53" i="1"/>
  <c r="E52" i="1" l="1"/>
  <c r="D53" i="1"/>
  <c r="F52" i="1" l="1"/>
  <c r="E53" i="1"/>
  <c r="F53" i="1" s="1"/>
</calcChain>
</file>

<file path=xl/sharedStrings.xml><?xml version="1.0" encoding="utf-8"?>
<sst xmlns="http://schemas.openxmlformats.org/spreadsheetml/2006/main" count="527" uniqueCount="255">
  <si>
    <t>MARKET</t>
  </si>
  <si>
    <t>INCOME</t>
  </si>
  <si>
    <t>BALANCE</t>
  </si>
  <si>
    <t>CASHFLOW</t>
  </si>
  <si>
    <t>DATA</t>
  </si>
  <si>
    <t>Company</t>
  </si>
  <si>
    <t>Price</t>
  </si>
  <si>
    <t>Marketcap in Cr</t>
  </si>
  <si>
    <t>STORES</t>
  </si>
  <si>
    <t>AREA MLNSQFT</t>
  </si>
  <si>
    <t>Sales in Cr</t>
  </si>
  <si>
    <t>Profit in Cr</t>
  </si>
  <si>
    <t>TRAIL_EPS</t>
  </si>
  <si>
    <t>FV</t>
  </si>
  <si>
    <t>Equity</t>
  </si>
  <si>
    <t>TOTAL EQ</t>
  </si>
  <si>
    <t>DEBT</t>
  </si>
  <si>
    <t>LEASE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</si>
  <si>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</si>
  <si>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</si>
  <si>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</si>
  <si>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</si>
  <si>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</si>
  <si>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</si>
  <si>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</si>
  <si>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</si>
  <si>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NET</t>
  </si>
  <si>
    <t>PPE</t>
  </si>
  <si>
    <t>TITAN</t>
  </si>
  <si>
    <t>LAST YEAR</t>
  </si>
  <si>
    <t>GROWTH</t>
  </si>
  <si>
    <t>LIQUIDITY</t>
  </si>
  <si>
    <t>SOLVENCY</t>
  </si>
  <si>
    <t>PROFITABILITY</t>
  </si>
  <si>
    <t>RATIO</t>
  </si>
  <si>
    <t>SALES GR</t>
  </si>
  <si>
    <t>PR.MARGIN</t>
  </si>
  <si>
    <t>CUR.RATIO</t>
  </si>
  <si>
    <t>TRADE REC Days</t>
  </si>
  <si>
    <t>DEBT2EQUITY</t>
  </si>
  <si>
    <t>DEBTRATIO</t>
  </si>
  <si>
    <t>ICR</t>
  </si>
  <si>
    <t>ROE</t>
  </si>
  <si>
    <t>ROPE</t>
  </si>
  <si>
    <t>ROA</t>
  </si>
  <si>
    <t>F_PE</t>
  </si>
  <si>
    <t>YIELD_23</t>
  </si>
  <si>
    <t>BOOKVALUE</t>
  </si>
  <si>
    <t>PBV</t>
  </si>
  <si>
    <t>PEG</t>
  </si>
  <si>
    <t>MARKET SHARE</t>
  </si>
  <si>
    <t>Actual</t>
  </si>
  <si>
    <t>Year</t>
  </si>
  <si>
    <t>Revenue</t>
  </si>
  <si>
    <t>Profit</t>
  </si>
  <si>
    <t>EPS</t>
  </si>
  <si>
    <t>High</t>
  </si>
  <si>
    <t>Low</t>
  </si>
  <si>
    <t>HPE</t>
  </si>
  <si>
    <t>LPE</t>
  </si>
  <si>
    <t>Margin</t>
  </si>
  <si>
    <t>Sonata</t>
  </si>
  <si>
    <t>FY_1999</t>
  </si>
  <si>
    <t>FY_2000</t>
  </si>
  <si>
    <t>FY_2001</t>
  </si>
  <si>
    <t>FY_2002</t>
  </si>
  <si>
    <t>Fasttrack</t>
  </si>
  <si>
    <t>FY_2003</t>
  </si>
  <si>
    <t>FY_2004</t>
  </si>
  <si>
    <t>FY_2005</t>
  </si>
  <si>
    <t>FY_2006</t>
  </si>
  <si>
    <t>EyePlus</t>
  </si>
  <si>
    <t>FY_2007</t>
  </si>
  <si>
    <t>FY_2008</t>
  </si>
  <si>
    <t>FY_2009</t>
  </si>
  <si>
    <t>FY_2010</t>
  </si>
  <si>
    <t>Accesories</t>
  </si>
  <si>
    <t>FY_2011</t>
  </si>
  <si>
    <t>FY_2012</t>
  </si>
  <si>
    <t>Perfumes</t>
  </si>
  <si>
    <t>FY_2013</t>
  </si>
  <si>
    <t>FY_2014</t>
  </si>
  <si>
    <t>FAVRELEUBA</t>
  </si>
  <si>
    <t>FY_2015</t>
  </si>
  <si>
    <t>CARATLINE</t>
  </si>
  <si>
    <t>FY_2016</t>
  </si>
  <si>
    <t>TANEIRA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</si>
  <si>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</si>
  <si>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</si>
  <si>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</si>
  <si>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</si>
  <si>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</si>
  <si>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</si>
  <si>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</si>
  <si>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</si>
  <si>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TR_FY25</t>
  </si>
  <si>
    <t>Growth</t>
  </si>
  <si>
    <t>FAIRPE</t>
  </si>
  <si>
    <t>25 Year</t>
  </si>
  <si>
    <t>15 Year</t>
  </si>
  <si>
    <t>5 Year</t>
  </si>
  <si>
    <t>Estimate</t>
  </si>
  <si>
    <t>PROFIT</t>
  </si>
  <si>
    <t>MARGIN</t>
  </si>
  <si>
    <t>C Trend</t>
  </si>
  <si>
    <t>H1_FY_24</t>
  </si>
  <si>
    <t>9M_FY_24</t>
  </si>
  <si>
    <t>FY_24</t>
  </si>
  <si>
    <t>Q1_FY_25</t>
  </si>
  <si>
    <t>E_FY_2025</t>
  </si>
  <si>
    <t>RESULT</t>
  </si>
  <si>
    <t>Q1_FY_24</t>
  </si>
  <si>
    <t>Q4_FY24</t>
  </si>
  <si>
    <t>Q4_FY23</t>
  </si>
  <si>
    <t>FY_23</t>
  </si>
  <si>
    <t>LongTerm</t>
  </si>
  <si>
    <t>Sales</t>
  </si>
  <si>
    <t>FY_25</t>
  </si>
  <si>
    <t>Cost</t>
  </si>
  <si>
    <t>Finance</t>
  </si>
  <si>
    <t>FairValue</t>
  </si>
  <si>
    <t>EST_2025</t>
  </si>
  <si>
    <t>QUARTER</t>
  </si>
  <si>
    <t>Q2_FY24</t>
  </si>
  <si>
    <t>Q3_FY24</t>
  </si>
  <si>
    <t>Q1_FY25</t>
  </si>
  <si>
    <t>TRAILEPS</t>
  </si>
  <si>
    <t>EST_2030</t>
  </si>
  <si>
    <t>EST_2035</t>
  </si>
  <si>
    <t>EPS_24</t>
  </si>
  <si>
    <t>T_EPS_25</t>
  </si>
  <si>
    <t>EPS_25</t>
  </si>
  <si>
    <t>F_PEG</t>
  </si>
  <si>
    <t>SEGMENT</t>
  </si>
  <si>
    <t>SHARE</t>
  </si>
  <si>
    <t>MAJORCOST</t>
  </si>
  <si>
    <t>PE_24</t>
  </si>
  <si>
    <t>TRAIL_PE</t>
  </si>
  <si>
    <t>PE_25</t>
  </si>
  <si>
    <t>Jwellery</t>
  </si>
  <si>
    <t>Material</t>
  </si>
  <si>
    <t>Watches</t>
  </si>
  <si>
    <t>stockintrade</t>
  </si>
  <si>
    <t>EYEWEAR</t>
  </si>
  <si>
    <t>INVENTORY</t>
  </si>
  <si>
    <t>OTHERS</t>
  </si>
  <si>
    <t>Employee</t>
  </si>
  <si>
    <t>CORPORATE</t>
  </si>
  <si>
    <t>Depreciation</t>
  </si>
  <si>
    <t>Advertise</t>
  </si>
  <si>
    <t>TOTAL</t>
  </si>
  <si>
    <t>OTHER</t>
  </si>
  <si>
    <t>SHP</t>
  </si>
  <si>
    <t>PROMOTER</t>
  </si>
  <si>
    <t>MF, AIF, INS</t>
  </si>
  <si>
    <t>FPI</t>
  </si>
  <si>
    <t>RETAIL</t>
  </si>
  <si>
    <t>RAKESH JH</t>
  </si>
  <si>
    <t xml:space="preserve">Gems,Jewellery &amp; Watches </t>
  </si>
  <si>
    <t>INDUSTRY</t>
  </si>
  <si>
    <t>Indian retail sector composition</t>
  </si>
  <si>
    <t>Overview of Organized Indian Retail Market</t>
  </si>
  <si>
    <t>Revenue trend of Indian organized retail market</t>
  </si>
  <si>
    <t>Indian domestic jewellery market size</t>
  </si>
  <si>
    <t>Retail Gold Jewellery Market Landscape in India by Market Share</t>
  </si>
  <si>
    <t>LISTEDSPACE</t>
  </si>
  <si>
    <t>Security Name</t>
  </si>
  <si>
    <t>Market cap</t>
  </si>
  <si>
    <t>SALES_23</t>
  </si>
  <si>
    <t>PROFIT_23</t>
  </si>
  <si>
    <t>KALYANKJIL</t>
  </si>
  <si>
    <t>RAJESHEXPO</t>
  </si>
  <si>
    <t>VAIBHAVGBL</t>
  </si>
  <si>
    <t>ETHOSLTD</t>
  </si>
  <si>
    <t>SENCO</t>
  </si>
  <si>
    <t>THANGAMAYL</t>
  </si>
  <si>
    <t>KDDL</t>
  </si>
  <si>
    <t>OTHER_37</t>
  </si>
  <si>
    <t>PCJEWELLER</t>
  </si>
  <si>
    <t>GOLDIAM</t>
  </si>
  <si>
    <t>MOTISONS</t>
  </si>
  <si>
    <t>SKYGOLD</t>
  </si>
  <si>
    <t>TIMEX</t>
  </si>
  <si>
    <t>ASTAR</t>
  </si>
  <si>
    <t>RGL</t>
  </si>
  <si>
    <t>MVGJL</t>
  </si>
  <si>
    <t>TBZ</t>
  </si>
  <si>
    <t>KHAZANCHI</t>
  </si>
  <si>
    <t>RADHIKAJWE</t>
  </si>
  <si>
    <t>RBZJEWEL</t>
  </si>
  <si>
    <t>GARGI</t>
  </si>
  <si>
    <t>SALES_5Y_GR</t>
  </si>
  <si>
    <t>CY_SALES GR</t>
  </si>
  <si>
    <t>MARGIN_23</t>
  </si>
  <si>
    <t>CY_MARGIN</t>
  </si>
  <si>
    <t>CUR. RATIO</t>
  </si>
  <si>
    <t>TR.DAYS</t>
  </si>
  <si>
    <t>VALUATIONS</t>
  </si>
  <si>
    <t>YIELD</t>
  </si>
  <si>
    <t>Security Code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</si>
  <si>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</si>
  <si>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</si>
  <si>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</si>
  <si>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</si>
  <si>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</si>
  <si>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</si>
  <si>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</si>
  <si>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</si>
  <si>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NPA in % (For banks only)</t>
  </si>
  <si>
    <t>Companies weightage</t>
  </si>
  <si>
    <t>SALES_18</t>
  </si>
  <si>
    <t>SALES_9M_24</t>
  </si>
  <si>
    <t>SALES_9M_23</t>
  </si>
  <si>
    <t>PROFIT_9M_24</t>
  </si>
  <si>
    <t>PROFIT_9M_23</t>
  </si>
  <si>
    <t>FINANCE</t>
  </si>
  <si>
    <t>EXPENSE</t>
  </si>
  <si>
    <t>CY_PRPFIT_GR</t>
  </si>
  <si>
    <t>UDAYJEW</t>
  </si>
  <si>
    <t>AGOL</t>
  </si>
  <si>
    <t>AKI</t>
  </si>
  <si>
    <t>SHEETAL</t>
  </si>
  <si>
    <t>KANANIIND</t>
  </si>
  <si>
    <t>EY</t>
  </si>
  <si>
    <t>GOLKUNDIA</t>
  </si>
  <si>
    <t>NARBADA</t>
  </si>
  <si>
    <t>PJL</t>
  </si>
  <si>
    <t>GOBLIN</t>
  </si>
  <si>
    <t>DEVLAB</t>
  </si>
  <si>
    <t>KENVI</t>
  </si>
  <si>
    <t>SWARNSAR</t>
  </si>
  <si>
    <t>BANARBEADS</t>
  </si>
  <si>
    <t>VSL</t>
  </si>
  <si>
    <t>SAGAR</t>
  </si>
  <si>
    <t>CEENIK</t>
  </si>
  <si>
    <t>GGL</t>
  </si>
  <si>
    <t>EIGHTY</t>
  </si>
  <si>
    <t>MISHKA</t>
  </si>
  <si>
    <t>UHZAVERI</t>
  </si>
  <si>
    <t>ZODJRDMKJ</t>
  </si>
  <si>
    <t>DDIL</t>
  </si>
  <si>
    <t>BGJL</t>
  </si>
  <si>
    <t>GOENKA</t>
  </si>
  <si>
    <t>ROJL</t>
  </si>
  <si>
    <t>MANBRO</t>
  </si>
  <si>
    <t>VEERKRUPA</t>
  </si>
  <si>
    <t>CITYMAN</t>
  </si>
  <si>
    <t>SMGOLD</t>
  </si>
  <si>
    <t>LYPSAGEMS</t>
  </si>
  <si>
    <t>OROSMITHS</t>
  </si>
  <si>
    <t>DARSHANORNA</t>
  </si>
  <si>
    <t>SKL</t>
  </si>
  <si>
    <t>YORKEXP</t>
  </si>
  <si>
    <t>BINDALEXPO</t>
  </si>
  <si>
    <t>KARANWO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</si>
</sst>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1" x14ac:knownFonts="1">
    <font>
      <sz val="10"/>
      <color rgb="FF000000"/>
      <name val="Calibri"/>
      <scheme val="minor"/>
    </font>
    <font>
      <b/>
      <sz val="11"/>
      <color rgb="FFFFFFFF"/>
      <name val="Calibri"/>
    </font>
    <font>
      <sz val="10"/>
      <color theme="1"/>
      <name val="Calibri"/>
      <scheme val="minor"/>
    </font>
    <font>
      <sz val="9"/>
      <color rgb="FF000000"/>
      <name val="Arial"/>
    </font>
    <font>
      <sz val="11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rgb="FFFFFFFF"/>
      <name val="Arial"/>
    </font>
    <font>
      <sz val="12"/>
      <color theme="0"/>
      <name val="Arial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i/>
      <sz val="12"/>
      <color rgb="FF000000"/>
      <name val="Arial"/>
    </font>
    <font>
      <i/>
      <sz val="12"/>
      <color rgb="FF000000"/>
      <name val="Calibri"/>
      <scheme val="minor"/>
    </font>
    <font>
      <i/>
      <sz val="11"/>
      <color theme="1"/>
      <name val="Calibri"/>
      <scheme val="minor"/>
    </font>
    <font>
      <b/>
      <sz val="11"/>
      <color theme="0"/>
      <name val="Calibri"/>
      <scheme val="minor"/>
    </font>
    <font>
      <sz val="11"/>
      <color rgb="FF000000"/>
      <name val="Calibri"/>
    </font>
    <font>
      <sz val="13"/>
      <color theme="1"/>
      <name val="Calibri"/>
      <scheme val="minor"/>
    </font>
    <font>
      <b/>
      <i/>
      <u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i/>
      <sz val="10"/>
      <color theme="1"/>
      <name val="Calibri"/>
      <scheme val="minor"/>
    </font>
    <font>
      <sz val="27"/>
      <color rgb="FFFFFFFF"/>
      <name val="Calibri"/>
      <scheme val="minor"/>
    </font>
    <font>
      <sz val="10"/>
      <color rgb="FFFFFFFF"/>
      <name val="Calibri"/>
      <scheme val="minor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4C1130"/>
        <bgColor rgb="FF4C1130"/>
      </patternFill>
    </fill>
    <fill>
      <patternFill patternType="solid">
        <fgColor rgb="FFEAD1DC"/>
        <bgColor rgb="FFEAD1DC"/>
      </patternFill>
    </fill>
    <fill>
      <patternFill patternType="solid">
        <fgColor rgb="FF20124D"/>
        <bgColor rgb="FF20124D"/>
      </patternFill>
    </fill>
    <fill>
      <patternFill patternType="solid">
        <fgColor rgb="FFD9D2E9"/>
        <bgColor rgb="FFD9D2E9"/>
      </patternFill>
    </fill>
    <fill>
      <patternFill patternType="solid">
        <fgColor rgb="FF1C4587"/>
        <bgColor rgb="FF1C4587"/>
      </patternFill>
    </fill>
    <fill>
      <patternFill patternType="solid">
        <fgColor rgb="FF073763"/>
        <bgColor rgb="FF07376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0" xfId="0" applyFont="1" applyFill="1" applyAlignment="1">
      <alignment horizontal="right" wrapText="1"/>
    </xf>
    <xf numFmtId="1" fontId="1" fillId="2" borderId="0" xfId="0" applyNumberFormat="1" applyFont="1" applyFill="1"/>
    <xf numFmtId="0" fontId="1" fillId="2" borderId="1" xfId="0" applyFont="1" applyFill="1" applyBorder="1"/>
    <xf numFmtId="0" fontId="4" fillId="0" borderId="0" xfId="0" applyFont="1"/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3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/>
    <xf numFmtId="3" fontId="4" fillId="0" borderId="1" xfId="0" applyNumberFormat="1" applyFont="1" applyBorder="1"/>
    <xf numFmtId="0" fontId="5" fillId="5" borderId="1" xfId="0" applyFont="1" applyFill="1" applyBorder="1"/>
    <xf numFmtId="165" fontId="5" fillId="5" borderId="1" xfId="0" applyNumberFormat="1" applyFont="1" applyFill="1" applyBorder="1"/>
    <xf numFmtId="9" fontId="5" fillId="5" borderId="1" xfId="0" applyNumberFormat="1" applyFont="1" applyFill="1" applyBorder="1"/>
    <xf numFmtId="0" fontId="6" fillId="0" borderId="0" xfId="0" applyFont="1"/>
    <xf numFmtId="1" fontId="6" fillId="0" borderId="0" xfId="0" applyNumberFormat="1" applyFont="1"/>
    <xf numFmtId="1" fontId="4" fillId="0" borderId="0" xfId="0" applyNumberFormat="1" applyFont="1"/>
    <xf numFmtId="9" fontId="4" fillId="4" borderId="0" xfId="0" applyNumberFormat="1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  <xf numFmtId="1" fontId="4" fillId="4" borderId="0" xfId="0" applyNumberFormat="1" applyFont="1" applyFill="1"/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left" vertical="center"/>
    </xf>
    <xf numFmtId="1" fontId="10" fillId="6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12" fillId="7" borderId="1" xfId="0" applyNumberFormat="1" applyFont="1" applyFill="1" applyBorder="1" applyAlignment="1">
      <alignment horizontal="left" vertical="center"/>
    </xf>
    <xf numFmtId="1" fontId="13" fillId="7" borderId="1" xfId="0" applyNumberFormat="1" applyFont="1" applyFill="1" applyBorder="1" applyAlignment="1">
      <alignment horizontal="right"/>
    </xf>
    <xf numFmtId="1" fontId="13" fillId="3" borderId="1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/>
    </xf>
    <xf numFmtId="1" fontId="15" fillId="7" borderId="1" xfId="0" applyNumberFormat="1" applyFont="1" applyFill="1" applyBorder="1" applyAlignment="1">
      <alignment horizontal="right" vertical="center"/>
    </xf>
    <xf numFmtId="165" fontId="7" fillId="7" borderId="1" xfId="0" applyNumberFormat="1" applyFont="1" applyFill="1" applyBorder="1" applyAlignment="1">
      <alignment horizontal="right" vertical="center"/>
    </xf>
    <xf numFmtId="9" fontId="2" fillId="0" borderId="0" xfId="0" applyNumberFormat="1" applyFont="1"/>
    <xf numFmtId="1" fontId="2" fillId="0" borderId="0" xfId="0" applyNumberFormat="1" applyFont="1"/>
    <xf numFmtId="0" fontId="7" fillId="0" borderId="0" xfId="0" applyFont="1" applyAlignment="1">
      <alignment horizontal="left" vertical="center"/>
    </xf>
    <xf numFmtId="1" fontId="15" fillId="3" borderId="1" xfId="0" applyNumberFormat="1" applyFont="1" applyFill="1" applyBorder="1" applyAlignment="1">
      <alignment horizontal="right" vertical="center"/>
    </xf>
    <xf numFmtId="1" fontId="13" fillId="3" borderId="1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" fontId="15" fillId="7" borderId="1" xfId="0" applyNumberFormat="1" applyFont="1" applyFill="1" applyBorder="1" applyAlignment="1">
      <alignment horizontal="right" wrapText="1"/>
    </xf>
    <xf numFmtId="1" fontId="13" fillId="7" borderId="1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3" fontId="16" fillId="0" borderId="0" xfId="0" applyNumberFormat="1" applyFont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" fontId="17" fillId="3" borderId="1" xfId="0" applyNumberFormat="1" applyFont="1" applyFill="1" applyBorder="1" applyAlignment="1">
      <alignment horizontal="right"/>
    </xf>
    <xf numFmtId="1" fontId="9" fillId="8" borderId="2" xfId="0" applyNumberFormat="1" applyFont="1" applyFill="1" applyBorder="1" applyAlignment="1">
      <alignment horizontal="left" vertical="center"/>
    </xf>
    <xf numFmtId="1" fontId="10" fillId="8" borderId="1" xfId="0" applyNumberFormat="1" applyFont="1" applyFill="1" applyBorder="1" applyAlignment="1">
      <alignment horizontal="left" vertical="center"/>
    </xf>
    <xf numFmtId="1" fontId="9" fillId="8" borderId="1" xfId="0" applyNumberFormat="1" applyFont="1" applyFill="1" applyBorder="1" applyAlignment="1">
      <alignment horizontal="left" vertical="center"/>
    </xf>
    <xf numFmtId="1" fontId="13" fillId="9" borderId="1" xfId="0" applyNumberFormat="1" applyFont="1" applyFill="1" applyBorder="1" applyAlignment="1">
      <alignment horizontal="left" vertical="center"/>
    </xf>
    <xf numFmtId="9" fontId="17" fillId="9" borderId="1" xfId="0" applyNumberFormat="1" applyFont="1" applyFill="1" applyBorder="1" applyAlignment="1">
      <alignment horizontal="right"/>
    </xf>
    <xf numFmtId="1" fontId="17" fillId="9" borderId="1" xfId="0" applyNumberFormat="1" applyFont="1" applyFill="1" applyBorder="1" applyAlignment="1">
      <alignment horizontal="right" vertical="center"/>
    </xf>
    <xf numFmtId="1" fontId="18" fillId="9" borderId="1" xfId="0" applyNumberFormat="1" applyFont="1" applyFill="1" applyBorder="1" applyAlignment="1">
      <alignment horizontal="right" vertical="center"/>
    </xf>
    <xf numFmtId="165" fontId="17" fillId="9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9" fontId="18" fillId="9" borderId="1" xfId="0" applyNumberFormat="1" applyFont="1" applyFill="1" applyBorder="1" applyAlignment="1">
      <alignment horizontal="right" vertical="center"/>
    </xf>
    <xf numFmtId="1" fontId="18" fillId="9" borderId="1" xfId="0" applyNumberFormat="1" applyFont="1" applyFill="1" applyBorder="1" applyAlignment="1">
      <alignment horizontal="right"/>
    </xf>
    <xf numFmtId="165" fontId="18" fillId="9" borderId="1" xfId="0" applyNumberFormat="1" applyFont="1" applyFill="1" applyBorder="1" applyAlignment="1">
      <alignment horizontal="right"/>
    </xf>
    <xf numFmtId="0" fontId="19" fillId="9" borderId="1" xfId="0" applyFont="1" applyFill="1" applyBorder="1" applyAlignment="1">
      <alignment horizontal="left" vertical="center"/>
    </xf>
    <xf numFmtId="1" fontId="10" fillId="3" borderId="0" xfId="0" applyNumberFormat="1" applyFont="1" applyFill="1" applyAlignment="1">
      <alignment horizontal="right" vertical="center"/>
    </xf>
    <xf numFmtId="0" fontId="20" fillId="3" borderId="0" xfId="0" applyFont="1" applyFill="1"/>
    <xf numFmtId="1" fontId="9" fillId="10" borderId="2" xfId="0" applyNumberFormat="1" applyFont="1" applyFill="1" applyBorder="1" applyAlignment="1">
      <alignment horizontal="left" vertical="center"/>
    </xf>
    <xf numFmtId="1" fontId="10" fillId="10" borderId="1" xfId="0" applyNumberFormat="1" applyFont="1" applyFill="1" applyBorder="1" applyAlignment="1">
      <alignment horizontal="left" vertical="center"/>
    </xf>
    <xf numFmtId="1" fontId="9" fillId="10" borderId="1" xfId="0" applyNumberFormat="1" applyFont="1" applyFill="1" applyBorder="1" applyAlignment="1">
      <alignment horizontal="left" vertical="center"/>
    </xf>
    <xf numFmtId="1" fontId="9" fillId="11" borderId="2" xfId="0" applyNumberFormat="1" applyFont="1" applyFill="1" applyBorder="1" applyAlignment="1">
      <alignment horizontal="left" vertical="center"/>
    </xf>
    <xf numFmtId="1" fontId="9" fillId="11" borderId="2" xfId="0" applyNumberFormat="1" applyFont="1" applyFill="1" applyBorder="1" applyAlignment="1">
      <alignment horizontal="right" vertical="center"/>
    </xf>
    <xf numFmtId="1" fontId="13" fillId="12" borderId="1" xfId="0" applyNumberFormat="1" applyFont="1" applyFill="1" applyBorder="1" applyAlignment="1">
      <alignment horizontal="left" vertical="center"/>
    </xf>
    <xf numFmtId="9" fontId="17" fillId="12" borderId="1" xfId="0" applyNumberFormat="1" applyFont="1" applyFill="1" applyBorder="1" applyAlignment="1">
      <alignment horizontal="right"/>
    </xf>
    <xf numFmtId="165" fontId="17" fillId="12" borderId="1" xfId="0" applyNumberFormat="1" applyFont="1" applyFill="1" applyBorder="1" applyAlignment="1">
      <alignment horizontal="right"/>
    </xf>
    <xf numFmtId="0" fontId="21" fillId="13" borderId="3" xfId="0" applyFont="1" applyFill="1" applyBorder="1"/>
    <xf numFmtId="9" fontId="21" fillId="13" borderId="4" xfId="0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left"/>
    </xf>
    <xf numFmtId="1" fontId="13" fillId="13" borderId="1" xfId="0" applyNumberFormat="1" applyFont="1" applyFill="1" applyBorder="1" applyAlignment="1">
      <alignment horizontal="right"/>
    </xf>
    <xf numFmtId="9" fontId="2" fillId="13" borderId="1" xfId="0" applyNumberFormat="1" applyFont="1" applyFill="1" applyBorder="1"/>
    <xf numFmtId="165" fontId="21" fillId="13" borderId="4" xfId="0" applyNumberFormat="1" applyFont="1" applyFill="1" applyBorder="1" applyAlignment="1">
      <alignment horizontal="right"/>
    </xf>
    <xf numFmtId="1" fontId="13" fillId="13" borderId="1" xfId="0" applyNumberFormat="1" applyFont="1" applyFill="1" applyBorder="1" applyAlignment="1">
      <alignment horizontal="left"/>
    </xf>
    <xf numFmtId="10" fontId="15" fillId="3" borderId="0" xfId="0" applyNumberFormat="1" applyFont="1" applyFill="1" applyAlignment="1">
      <alignment horizontal="right" vertical="center"/>
    </xf>
    <xf numFmtId="0" fontId="15" fillId="13" borderId="1" xfId="0" applyFont="1" applyFill="1" applyBorder="1" applyAlignment="1">
      <alignment horizontal="left"/>
    </xf>
    <xf numFmtId="1" fontId="11" fillId="13" borderId="1" xfId="0" applyNumberFormat="1" applyFont="1" applyFill="1" applyBorder="1" applyAlignment="1">
      <alignment horizontal="right"/>
    </xf>
    <xf numFmtId="0" fontId="12" fillId="12" borderId="1" xfId="0" applyFont="1" applyFill="1" applyBorder="1" applyAlignment="1">
      <alignment horizontal="left"/>
    </xf>
    <xf numFmtId="1" fontId="15" fillId="12" borderId="1" xfId="0" applyNumberFormat="1" applyFont="1" applyFill="1" applyBorder="1" applyAlignment="1">
      <alignment horizontal="right"/>
    </xf>
    <xf numFmtId="1" fontId="8" fillId="12" borderId="1" xfId="0" applyNumberFormat="1" applyFont="1" applyFill="1" applyBorder="1" applyAlignment="1">
      <alignment horizontal="right"/>
    </xf>
    <xf numFmtId="3" fontId="2" fillId="0" borderId="0" xfId="0" applyNumberFormat="1" applyFont="1"/>
    <xf numFmtId="164" fontId="11" fillId="13" borderId="1" xfId="0" applyNumberFormat="1" applyFont="1" applyFill="1" applyBorder="1" applyAlignment="1">
      <alignment horizontal="right"/>
    </xf>
    <xf numFmtId="0" fontId="21" fillId="13" borderId="4" xfId="0" applyFont="1" applyFill="1" applyBorder="1" applyAlignment="1">
      <alignment horizontal="center"/>
    </xf>
    <xf numFmtId="0" fontId="21" fillId="13" borderId="4" xfId="0" applyFont="1" applyFill="1" applyBorder="1" applyAlignment="1">
      <alignment horizontal="right"/>
    </xf>
    <xf numFmtId="165" fontId="7" fillId="13" borderId="1" xfId="0" applyNumberFormat="1" applyFont="1" applyFill="1" applyBorder="1" applyAlignment="1">
      <alignment horizontal="right"/>
    </xf>
    <xf numFmtId="164" fontId="7" fillId="13" borderId="1" xfId="0" applyNumberFormat="1" applyFont="1" applyFill="1" applyBorder="1" applyAlignment="1">
      <alignment horizontal="right"/>
    </xf>
    <xf numFmtId="1" fontId="9" fillId="11" borderId="2" xfId="0" applyNumberFormat="1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/>
    </xf>
    <xf numFmtId="164" fontId="21" fillId="13" borderId="4" xfId="0" applyNumberFormat="1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1" fontId="22" fillId="5" borderId="0" xfId="0" applyNumberFormat="1" applyFont="1" applyFill="1" applyAlignment="1">
      <alignment horizontal="center"/>
    </xf>
    <xf numFmtId="9" fontId="21" fillId="13" borderId="3" xfId="0" applyNumberFormat="1" applyFont="1" applyFill="1" applyBorder="1"/>
    <xf numFmtId="1" fontId="21" fillId="13" borderId="4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right" vertical="center"/>
    </xf>
    <xf numFmtId="9" fontId="24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/>
    <xf numFmtId="165" fontId="2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25" fillId="0" borderId="5" xfId="0" applyFont="1" applyBorder="1"/>
    <xf numFmtId="9" fontId="25" fillId="0" borderId="5" xfId="0" applyNumberFormat="1" applyFont="1" applyBorder="1"/>
    <xf numFmtId="165" fontId="25" fillId="0" borderId="5" xfId="0" applyNumberFormat="1" applyFont="1" applyBorder="1"/>
    <xf numFmtId="0" fontId="26" fillId="11" borderId="0" xfId="0" applyFont="1" applyFill="1" applyAlignment="1">
      <alignment horizontal="center" vertical="center"/>
    </xf>
    <xf numFmtId="0" fontId="0" fillId="0" borderId="0" xfId="0"/>
    <xf numFmtId="0" fontId="27" fillId="11" borderId="0" xfId="0" applyFont="1" applyFill="1"/>
    <xf numFmtId="0" fontId="27" fillId="11" borderId="0" xfId="0" applyFont="1" applyFill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4" fillId="0" borderId="3" xfId="0" applyFont="1" applyBorder="1"/>
    <xf numFmtId="0" fontId="14" fillId="0" borderId="4" xfId="0" applyFont="1" applyBorder="1" applyAlignment="1">
      <alignment horizontal="right"/>
    </xf>
    <xf numFmtId="0" fontId="4" fillId="0" borderId="6" xfId="0" applyFont="1" applyBorder="1"/>
    <xf numFmtId="0" fontId="14" fillId="0" borderId="6" xfId="0" applyFont="1" applyBorder="1" applyAlignment="1">
      <alignment horizontal="right"/>
    </xf>
    <xf numFmtId="1" fontId="14" fillId="0" borderId="6" xfId="0" applyNumberFormat="1" applyFont="1" applyBorder="1" applyAlignment="1">
      <alignment horizontal="right"/>
    </xf>
    <xf numFmtId="0" fontId="2" fillId="0" borderId="7" xfId="0" applyFont="1" applyBorder="1"/>
    <xf numFmtId="1" fontId="2" fillId="0" borderId="7" xfId="0" applyNumberFormat="1" applyFont="1" applyBorder="1"/>
    <xf numFmtId="9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0" fontId="2" fillId="0" borderId="0" xfId="0" applyNumberFormat="1" applyFont="1"/>
    <xf numFmtId="9" fontId="14" fillId="0" borderId="6" xfId="0" applyNumberFormat="1" applyFont="1" applyBorder="1" applyAlignment="1">
      <alignment horizontal="right"/>
    </xf>
    <xf numFmtId="165" fontId="14" fillId="0" borderId="6" xfId="0" applyNumberFormat="1" applyFont="1" applyBorder="1" applyAlignment="1">
      <alignment horizontal="right"/>
    </xf>
    <xf numFmtId="10" fontId="2" fillId="0" borderId="7" xfId="0" applyNumberFormat="1" applyFont="1" applyBorder="1"/>
    <xf numFmtId="0" fontId="27" fillId="11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2" fontId="14" fillId="0" borderId="4" xfId="0" applyNumberFormat="1" applyFont="1" applyBorder="1" applyAlignment="1">
      <alignment horizontal="right"/>
    </xf>
    <xf numFmtId="2" fontId="14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right"/>
    </xf>
    <xf numFmtId="2" fontId="14" fillId="0" borderId="8" xfId="0" applyNumberFormat="1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165" fontId="2" fillId="0" borderId="0" xfId="0" applyNumberFormat="1" applyFont="1"/>
    <xf numFmtId="1" fontId="14" fillId="0" borderId="4" xfId="0" applyNumberFormat="1" applyFont="1" applyBorder="1" applyAlignment="1">
      <alignment horizontal="right"/>
    </xf>
    <xf numFmtId="0" fontId="2" fillId="0" borderId="6" xfId="0" applyFont="1" applyBorder="1"/>
    <xf numFmtId="165" fontId="2" fillId="0" borderId="6" xfId="0" applyNumberFormat="1" applyFont="1" applyBorder="1"/>
    <xf numFmtId="165" fontId="2" fillId="0" borderId="7" xfId="0" applyNumberFormat="1" applyFont="1" applyBorder="1"/>
    <xf numFmtId="0" fontId="21" fillId="14" borderId="1" xfId="0" applyFont="1" applyFill="1" applyBorder="1"/>
    <xf numFmtId="0" fontId="2" fillId="14" borderId="1" xfId="0" applyFont="1" applyFill="1" applyBorder="1"/>
    <xf numFmtId="0" fontId="28" fillId="14" borderId="1" xfId="0" applyFont="1" applyFill="1" applyBorder="1" applyAlignment="1">
      <alignment horizontal="center"/>
    </xf>
    <xf numFmtId="0" fontId="28" fillId="14" borderId="9" xfId="0" applyFont="1" applyFill="1" applyBorder="1" applyAlignment="1">
      <alignment horizontal="center"/>
    </xf>
    <xf numFmtId="0" fontId="28" fillId="14" borderId="9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/>
    </xf>
    <xf numFmtId="10" fontId="29" fillId="6" borderId="1" xfId="0" applyNumberFormat="1" applyFont="1" applyFill="1" applyBorder="1" applyAlignment="1">
      <alignment horizontal="center"/>
    </xf>
    <xf numFmtId="1" fontId="29" fillId="6" borderId="1" xfId="0" applyNumberFormat="1" applyFont="1" applyFill="1" applyBorder="1" applyAlignment="1">
      <alignment horizontal="center"/>
    </xf>
    <xf numFmtId="2" fontId="29" fillId="6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1" fillId="0" borderId="1" xfId="0" applyFont="1" applyBorder="1"/>
    <xf numFmtId="1" fontId="2" fillId="0" borderId="1" xfId="0" applyNumberFormat="1" applyFont="1" applyBorder="1"/>
    <xf numFmtId="0" fontId="14" fillId="0" borderId="1" xfId="0" applyFont="1" applyBorder="1" applyAlignment="1">
      <alignment horizontal="right"/>
    </xf>
    <xf numFmtId="10" fontId="2" fillId="0" borderId="1" xfId="0" applyNumberFormat="1" applyFont="1" applyBorder="1"/>
    <xf numFmtId="2" fontId="2" fillId="0" borderId="1" xfId="0" applyNumberFormat="1" applyFont="1" applyBorder="1"/>
    <xf numFmtId="0" fontId="30" fillId="0" borderId="1" xfId="0" applyFont="1" applyBorder="1"/>
    <xf numFmtId="0" fontId="30" fillId="0" borderId="0" xfId="0" applyFont="1"/>
    <xf numFmtId="10" fontId="30" fillId="0" borderId="0" xfId="0" applyNumberFormat="1" applyFont="1"/>
    <xf numFmtId="1" fontId="30" fillId="0" borderId="0" xfId="0" applyNumberFormat="1" applyFont="1"/>
    <xf numFmtId="2" fontId="30" fillId="0" borderId="0" xfId="0" applyNumberFormat="1" applyFont="1"/>
    <xf numFmtId="1" fontId="30" fillId="0" borderId="1" xfId="0" applyNumberFormat="1" applyFont="1" applyBorder="1"/>
    <xf numFmtId="10" fontId="30" fillId="0" borderId="1" xfId="0" applyNumberFormat="1" applyFont="1" applyBorder="1"/>
    <xf numFmtId="2" fontId="3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Gems,Jewellery And Watc'!$C$37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EC5-4EDA-B143-FEB94923092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EC5-4EDA-B143-FEB94923092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EC5-4EDA-B143-FEB94923092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5EC5-4EDA-B143-FEB94923092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5EC5-4EDA-B143-FEB94923092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5EC5-4EDA-B143-FEB94923092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5EC5-4EDA-B143-FEB94923092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5EC5-4EDA-B143-FEB94923092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5EC5-4EDA-B143-FEB94923092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5EC5-4EDA-B143-FEB94923092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5EC5-4EDA-B143-FEB949230922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5EC5-4EDA-B143-FEB949230922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5EC5-4EDA-B143-FEB949230922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5EC5-4EDA-B143-FEB949230922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5EC5-4EDA-B143-FEB949230922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5EC5-4EDA-B143-FEB949230922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5EC5-4EDA-B143-FEB949230922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5EC5-4EDA-B143-FEB949230922}"/>
              </c:ext>
            </c:extLst>
          </c:dPt>
          <c:dPt>
            <c:idx val="18"/>
            <c:bubble3D val="0"/>
            <c:spPr>
              <a:solidFill>
                <a:srgbClr val="ECF3FE"/>
              </a:solidFill>
            </c:spPr>
            <c:extLst>
              <c:ext xmlns:c16="http://schemas.microsoft.com/office/drawing/2014/chart" uri="{C3380CC4-5D6E-409C-BE32-E72D297353CC}">
                <c16:uniqueId val="{00000025-5EC5-4EDA-B143-FEB949230922}"/>
              </c:ext>
            </c:extLst>
          </c:dPt>
          <c:dPt>
            <c:idx val="19"/>
            <c:bubble3D val="0"/>
            <c:spPr>
              <a:solidFill>
                <a:srgbClr val="FDECEB"/>
              </a:solidFill>
            </c:spPr>
            <c:extLst>
              <c:ext xmlns:c16="http://schemas.microsoft.com/office/drawing/2014/chart" uri="{C3380CC4-5D6E-409C-BE32-E72D297353CC}">
                <c16:uniqueId val="{00000027-5EC5-4EDA-B143-FEB949230922}"/>
              </c:ext>
            </c:extLst>
          </c:dPt>
          <c:dPt>
            <c:idx val="20"/>
            <c:bubble3D val="0"/>
            <c:spPr>
              <a:solidFill>
                <a:srgbClr val="FFF8E6"/>
              </a:solidFill>
            </c:spPr>
            <c:extLst>
              <c:ext xmlns:c16="http://schemas.microsoft.com/office/drawing/2014/chart" uri="{C3380CC4-5D6E-409C-BE32-E72D297353CC}">
                <c16:uniqueId val="{00000029-5EC5-4EDA-B143-FEB949230922}"/>
              </c:ext>
            </c:extLst>
          </c:dPt>
          <c:dPt>
            <c:idx val="21"/>
            <c:bubble3D val="0"/>
            <c:spPr>
              <a:solidFill>
                <a:srgbClr val="EBF6EE"/>
              </a:solidFill>
            </c:spPr>
            <c:extLst>
              <c:ext xmlns:c16="http://schemas.microsoft.com/office/drawing/2014/chart" uri="{C3380CC4-5D6E-409C-BE32-E72D297353CC}">
                <c16:uniqueId val="{0000002B-5EC5-4EDA-B143-FEB9492309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Gems,Jewellery And Watc'!$B$38:$B$59</c:f>
              <c:strCache>
                <c:ptCount val="22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OTHER_37</c:v>
                </c:pt>
                <c:pt idx="9">
                  <c:v>PCJEWELLER</c:v>
                </c:pt>
                <c:pt idx="10">
                  <c:v>GOLDIAM</c:v>
                </c:pt>
                <c:pt idx="11">
                  <c:v>MOTISONS</c:v>
                </c:pt>
                <c:pt idx="12">
                  <c:v>SKYGOLD</c:v>
                </c:pt>
                <c:pt idx="13">
                  <c:v>TIMEX</c:v>
                </c:pt>
                <c:pt idx="14">
                  <c:v>ASTAR</c:v>
                </c:pt>
                <c:pt idx="15">
                  <c:v>RGL</c:v>
                </c:pt>
                <c:pt idx="16">
                  <c:v>MVGJL</c:v>
                </c:pt>
                <c:pt idx="17">
                  <c:v>TBZ</c:v>
                </c:pt>
                <c:pt idx="18">
                  <c:v>KHAZANCHI</c:v>
                </c:pt>
                <c:pt idx="19">
                  <c:v>RADHIKAJWE</c:v>
                </c:pt>
                <c:pt idx="20">
                  <c:v>RBZJEWEL</c:v>
                </c:pt>
                <c:pt idx="21">
                  <c:v>GARGI</c:v>
                </c:pt>
              </c:strCache>
            </c:strRef>
          </c:cat>
          <c:val>
            <c:numRef>
              <c:f>'Copy of Gems,Jewellery And Watc'!$C$38:$C$59</c:f>
              <c:numCache>
                <c:formatCode>0</c:formatCode>
                <c:ptCount val="22"/>
                <c:pt idx="0">
                  <c:v>332018.69327819999</c:v>
                </c:pt>
                <c:pt idx="1">
                  <c:v>41804.701633600002</c:v>
                </c:pt>
                <c:pt idx="2">
                  <c:v>9457.1742364999991</c:v>
                </c:pt>
                <c:pt idx="3">
                  <c:v>7041.2377149000004</c:v>
                </c:pt>
                <c:pt idx="4">
                  <c:v>6732.4879675000002</c:v>
                </c:pt>
                <c:pt idx="5">
                  <c:v>6525.74748</c:v>
                </c:pt>
                <c:pt idx="6">
                  <c:v>3639.2559246999999</c:v>
                </c:pt>
                <c:pt idx="7">
                  <c:v>3181.5423433999999</c:v>
                </c:pt>
                <c:pt idx="8" formatCode="General">
                  <c:v>2947</c:v>
                </c:pt>
                <c:pt idx="9">
                  <c:v>2897.1392774999999</c:v>
                </c:pt>
                <c:pt idx="10">
                  <c:v>2042.9902955</c:v>
                </c:pt>
                <c:pt idx="11">
                  <c:v>1564.7986631000001</c:v>
                </c:pt>
                <c:pt idx="12">
                  <c:v>1395.7170168</c:v>
                </c:pt>
                <c:pt idx="13">
                  <c:v>1393.10862</c:v>
                </c:pt>
                <c:pt idx="14">
                  <c:v>1264.5372</c:v>
                </c:pt>
                <c:pt idx="15">
                  <c:v>1183.7405262</c:v>
                </c:pt>
                <c:pt idx="16">
                  <c:v>1073.911218</c:v>
                </c:pt>
                <c:pt idx="17">
                  <c:v>783.75111149999998</c:v>
                </c:pt>
                <c:pt idx="18">
                  <c:v>782.74441669999999</c:v>
                </c:pt>
                <c:pt idx="19">
                  <c:v>759.32998190000001</c:v>
                </c:pt>
                <c:pt idx="20">
                  <c:v>634.20001219999995</c:v>
                </c:pt>
                <c:pt idx="21">
                  <c:v>532.90996600000005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EC5-4EDA-B143-FEB949230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Gems,Jewellery And Watc'!$G$37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FDC-402E-9872-EB3E055313A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FDC-402E-9872-EB3E055313A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FDC-402E-9872-EB3E055313A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FDC-402E-9872-EB3E055313A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FDC-402E-9872-EB3E055313A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FDC-402E-9872-EB3E055313A8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FDC-402E-9872-EB3E055313A8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FDC-402E-9872-EB3E055313A8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7FDC-402E-9872-EB3E055313A8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7FDC-402E-9872-EB3E055313A8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7FDC-402E-9872-EB3E055313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Gems,Jewellery And Watc'!$F$38:$F$48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Watc'!$G$38:$G$48</c:f>
              <c:numCache>
                <c:formatCode>General</c:formatCode>
                <c:ptCount val="11"/>
                <c:pt idx="0">
                  <c:v>40575</c:v>
                </c:pt>
                <c:pt idx="1">
                  <c:v>14071</c:v>
                </c:pt>
                <c:pt idx="2">
                  <c:v>339689</c:v>
                </c:pt>
                <c:pt idx="3">
                  <c:v>2691</c:v>
                </c:pt>
                <c:pt idx="4">
                  <c:v>788</c:v>
                </c:pt>
                <c:pt idx="5">
                  <c:v>4077</c:v>
                </c:pt>
                <c:pt idx="6">
                  <c:v>3153</c:v>
                </c:pt>
                <c:pt idx="7">
                  <c:v>1119</c:v>
                </c:pt>
                <c:pt idx="8">
                  <c:v>2473</c:v>
                </c:pt>
                <c:pt idx="9">
                  <c:v>533</c:v>
                </c:pt>
                <c:pt idx="1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DC-402E-9872-EB3E0553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Gems,Jewellery And Watc'!$K$37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7F4-4914-AEE1-AC6CA3E44FC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7F4-4914-AEE1-AC6CA3E44FC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7F4-4914-AEE1-AC6CA3E44FC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7F4-4914-AEE1-AC6CA3E44FC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7F4-4914-AEE1-AC6CA3E44FC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D7F4-4914-AEE1-AC6CA3E44FC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D7F4-4914-AEE1-AC6CA3E44FC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D7F4-4914-AEE1-AC6CA3E44FCD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D7F4-4914-AEE1-AC6CA3E44FCD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D7F4-4914-AEE1-AC6CA3E44FCD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D7F4-4914-AEE1-AC6CA3E44FC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Gems,Jewellery And Watc'!$J$38:$J$48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Watc'!$K$38:$K$48</c:f>
              <c:numCache>
                <c:formatCode>General</c:formatCode>
                <c:ptCount val="11"/>
                <c:pt idx="0">
                  <c:v>3274</c:v>
                </c:pt>
                <c:pt idx="1">
                  <c:v>432</c:v>
                </c:pt>
                <c:pt idx="2">
                  <c:v>1432</c:v>
                </c:pt>
                <c:pt idx="3">
                  <c:v>105</c:v>
                </c:pt>
                <c:pt idx="4">
                  <c:v>60</c:v>
                </c:pt>
                <c:pt idx="5">
                  <c:v>158</c:v>
                </c:pt>
                <c:pt idx="6">
                  <c:v>80</c:v>
                </c:pt>
                <c:pt idx="7">
                  <c:v>77</c:v>
                </c:pt>
                <c:pt idx="8">
                  <c:v>203</c:v>
                </c:pt>
                <c:pt idx="9">
                  <c:v>85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F4-4914-AEE1-AC6CA3E44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Watc'!$C$79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Watc'!$B$80:$B$90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Watc'!$C$80:$C$90</c:f>
              <c:numCache>
                <c:formatCode>0%</c:formatCode>
                <c:ptCount val="11"/>
                <c:pt idx="0">
                  <c:v>0.20222273564068716</c:v>
                </c:pt>
                <c:pt idx="1">
                  <c:v>5.8687679670643256E-2</c:v>
                </c:pt>
                <c:pt idx="2">
                  <c:v>0.12597924100766988</c:v>
                </c:pt>
                <c:pt idx="3">
                  <c:v>0.11308063709977656</c:v>
                </c:pt>
                <c:pt idx="4">
                  <c:v>0.17223651077836721</c:v>
                </c:pt>
                <c:pt idx="5">
                  <c:v>0.13</c:v>
                </c:pt>
                <c:pt idx="6">
                  <c:v>0.17986397493065875</c:v>
                </c:pt>
                <c:pt idx="7">
                  <c:v>0.17341712018673738</c:v>
                </c:pt>
                <c:pt idx="8">
                  <c:v>-0.23782453296181305</c:v>
                </c:pt>
                <c:pt idx="9">
                  <c:v>0.10812130599375092</c:v>
                </c:pt>
                <c:pt idx="10">
                  <c:v>0.105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A9-4204-8AED-6AB63C338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836253"/>
        <c:axId val="1193315766"/>
      </c:barChart>
      <c:catAx>
        <c:axId val="803836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3315766"/>
        <c:crosses val="autoZero"/>
        <c:auto val="1"/>
        <c:lblAlgn val="ctr"/>
        <c:lblOffset val="100"/>
        <c:noMultiLvlLbl val="1"/>
      </c:catAx>
      <c:valAx>
        <c:axId val="1193315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38362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Watc'!$G$79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Watc'!$F$80:$F$90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Watc'!$G$80:$G$90</c:f>
              <c:numCache>
                <c:formatCode>0.0%</c:formatCode>
                <c:ptCount val="11"/>
                <c:pt idx="0">
                  <c:v>0.23731234107771093</c:v>
                </c:pt>
                <c:pt idx="1">
                  <c:v>0.31085126286248821</c:v>
                </c:pt>
                <c:pt idx="2">
                  <c:v>-0.156126667290995</c:v>
                </c:pt>
                <c:pt idx="3">
                  <c:v>0.12662662662662671</c:v>
                </c:pt>
                <c:pt idx="4">
                  <c:v>0.28399311531841653</c:v>
                </c:pt>
                <c:pt idx="5">
                  <c:v>0.25773827765859636</c:v>
                </c:pt>
                <c:pt idx="6">
                  <c:v>0.19437447523089846</c:v>
                </c:pt>
                <c:pt idx="7">
                  <c:v>0.27195121951219514</c:v>
                </c:pt>
                <c:pt idx="8">
                  <c:v>-0.64221453287197239</c:v>
                </c:pt>
                <c:pt idx="9">
                  <c:v>8.591885441527447E-2</c:v>
                </c:pt>
                <c:pt idx="10">
                  <c:v>9.0909090909090828E-2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9DF-4178-AAC5-746BA6F4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749230"/>
        <c:axId val="375532894"/>
      </c:barChart>
      <c:catAx>
        <c:axId val="17167492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5532894"/>
        <c:crosses val="autoZero"/>
        <c:auto val="1"/>
        <c:lblAlgn val="ctr"/>
        <c:lblOffset val="100"/>
        <c:noMultiLvlLbl val="1"/>
      </c:catAx>
      <c:valAx>
        <c:axId val="3755328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67492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Watc'!$C$110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Watc'!$B$111:$B$121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Watc'!$C$111:$C$121</c:f>
              <c:numCache>
                <c:formatCode>0</c:formatCode>
                <c:ptCount val="11"/>
                <c:pt idx="0">
                  <c:v>14.793333333333333</c:v>
                </c:pt>
                <c:pt idx="1">
                  <c:v>2.8679867986798682</c:v>
                </c:pt>
                <c:pt idx="2">
                  <c:v>7.1092436974789912</c:v>
                </c:pt>
                <c:pt idx="3">
                  <c:v>15.25</c:v>
                </c:pt>
                <c:pt idx="4">
                  <c:v>5.6428571428571432</c:v>
                </c:pt>
                <c:pt idx="5">
                  <c:v>3.1511627906976742</c:v>
                </c:pt>
                <c:pt idx="6">
                  <c:v>4</c:v>
                </c:pt>
                <c:pt idx="7">
                  <c:v>4.625</c:v>
                </c:pt>
                <c:pt idx="8">
                  <c:v>0.44918699186991867</c:v>
                </c:pt>
                <c:pt idx="9">
                  <c:v>97</c:v>
                </c:pt>
                <c:pt idx="10">
                  <c:v>2.8235294117647061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79-4353-A539-113647B8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123528"/>
        <c:axId val="1336579292"/>
      </c:barChart>
      <c:catAx>
        <c:axId val="112312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6579292"/>
        <c:crosses val="autoZero"/>
        <c:auto val="1"/>
        <c:lblAlgn val="ctr"/>
        <c:lblOffset val="100"/>
        <c:noMultiLvlLbl val="1"/>
      </c:catAx>
      <c:valAx>
        <c:axId val="13365792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31235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Watc'!$G$110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Watc'!$F$111:$F$121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Watc'!$G$111:$G$121</c:f>
              <c:numCache>
                <c:formatCode>0.00</c:formatCode>
                <c:ptCount val="11"/>
                <c:pt idx="0">
                  <c:v>0.44123545928600078</c:v>
                </c:pt>
                <c:pt idx="1">
                  <c:v>0.40560893274474163</c:v>
                </c:pt>
                <c:pt idx="2">
                  <c:v>4.1124687951648926E-2</c:v>
                </c:pt>
                <c:pt idx="3">
                  <c:v>9.8039215686274508E-2</c:v>
                </c:pt>
                <c:pt idx="4">
                  <c:v>1.029940119760479E-2</c:v>
                </c:pt>
                <c:pt idx="5">
                  <c:v>1.245978835978836</c:v>
                </c:pt>
                <c:pt idx="6">
                  <c:v>1.1275167785234899</c:v>
                </c:pt>
                <c:pt idx="7">
                  <c:v>0.14136125654450263</c:v>
                </c:pt>
                <c:pt idx="8">
                  <c:v>1.1822660098522169</c:v>
                </c:pt>
                <c:pt idx="9">
                  <c:v>1.340033500837521E-3</c:v>
                </c:pt>
                <c:pt idx="10">
                  <c:v>1.1608391608391608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84-41C3-9AF1-1F3BDDFE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180985"/>
        <c:axId val="2035773738"/>
      </c:barChart>
      <c:catAx>
        <c:axId val="1551180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5773738"/>
        <c:crosses val="autoZero"/>
        <c:auto val="1"/>
        <c:lblAlgn val="ctr"/>
        <c:lblOffset val="100"/>
        <c:noMultiLvlLbl val="1"/>
      </c:catAx>
      <c:valAx>
        <c:axId val="20357737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11809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Watc'!$K$110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Watc'!$J$111:$J$121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Watc'!$K$111:$K$121</c:f>
              <c:numCache>
                <c:formatCode>0.00</c:formatCode>
                <c:ptCount val="11"/>
                <c:pt idx="0">
                  <c:v>0.62149277298676064</c:v>
                </c:pt>
                <c:pt idx="1">
                  <c:v>0.66434297664691533</c:v>
                </c:pt>
                <c:pt idx="2">
                  <c:v>0.20817727840199751</c:v>
                </c:pt>
                <c:pt idx="3">
                  <c:v>0.32821075740944017</c:v>
                </c:pt>
                <c:pt idx="4">
                  <c:v>0.28556149732620323</c:v>
                </c:pt>
                <c:pt idx="5">
                  <c:v>0.67435456110154901</c:v>
                </c:pt>
                <c:pt idx="6">
                  <c:v>0.67059690493736179</c:v>
                </c:pt>
                <c:pt idx="7">
                  <c:v>0.3818770226537217</c:v>
                </c:pt>
                <c:pt idx="8">
                  <c:v>0.55807943416757344</c:v>
                </c:pt>
                <c:pt idx="9">
                  <c:v>0.14592274678111589</c:v>
                </c:pt>
                <c:pt idx="10">
                  <c:v>0.58908045977011492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84B-46FA-A6E7-85E75F87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012246"/>
        <c:axId val="533618764"/>
      </c:barChart>
      <c:catAx>
        <c:axId val="10250122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3618764"/>
        <c:crosses val="autoZero"/>
        <c:auto val="1"/>
        <c:lblAlgn val="ctr"/>
        <c:lblOffset val="100"/>
        <c:noMultiLvlLbl val="1"/>
      </c:catAx>
      <c:valAx>
        <c:axId val="5336187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50122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Watc'!$C$141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Watc'!$B$142:$B$152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Watc'!$C$142:$C$152</c:f>
              <c:numCache>
                <c:formatCode>0.0%</c:formatCode>
                <c:ptCount val="11"/>
                <c:pt idx="0">
                  <c:v>8.0690080098582875E-2</c:v>
                </c:pt>
                <c:pt idx="1">
                  <c:v>3.070144268353351E-2</c:v>
                </c:pt>
                <c:pt idx="2">
                  <c:v>4.2156207589883685E-3</c:v>
                </c:pt>
                <c:pt idx="3">
                  <c:v>3.901895206243032E-2</c:v>
                </c:pt>
                <c:pt idx="4">
                  <c:v>7.6142131979695438E-2</c:v>
                </c:pt>
                <c:pt idx="5">
                  <c:v>3.8753985773853326E-2</c:v>
                </c:pt>
                <c:pt idx="6">
                  <c:v>2.5372660957817952E-2</c:v>
                </c:pt>
                <c:pt idx="7">
                  <c:v>6.8811438784629128E-2</c:v>
                </c:pt>
                <c:pt idx="8">
                  <c:v>8.2086534573392642E-2</c:v>
                </c:pt>
                <c:pt idx="9">
                  <c:v>0.15947467166979362</c:v>
                </c:pt>
                <c:pt idx="10">
                  <c:v>5.9945504087193457E-2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220-4F2F-ADE2-28CC7B73C5EC}"/>
            </c:ext>
          </c:extLst>
        </c:ser>
        <c:ser>
          <c:idx val="1"/>
          <c:order val="1"/>
          <c:tx>
            <c:strRef>
              <c:f>'Copy of Gems,Jewellery And Watc'!$D$141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Watc'!$B$142:$B$152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Watc'!$D$142:$D$152</c:f>
              <c:numCache>
                <c:formatCode>0.0%</c:formatCode>
                <c:ptCount val="11"/>
                <c:pt idx="0">
                  <c:v>7.6713022915376392E-2</c:v>
                </c:pt>
                <c:pt idx="1">
                  <c:v>3.2683936344822667E-2</c:v>
                </c:pt>
                <c:pt idx="2">
                  <c:v>1.9394285291522001E-3</c:v>
                </c:pt>
                <c:pt idx="3">
                  <c:v>4.6645935139937804E-2</c:v>
                </c:pt>
                <c:pt idx="4">
                  <c:v>8.3109919571045576E-2</c:v>
                </c:pt>
                <c:pt idx="5">
                  <c:v>3.6062378167641324E-2</c:v>
                </c:pt>
                <c:pt idx="6">
                  <c:v>3.3391915641476276E-2</c:v>
                </c:pt>
                <c:pt idx="7">
                  <c:v>9.7794822627037398E-2</c:v>
                </c:pt>
                <c:pt idx="8">
                  <c:v>-0.59961315280464211</c:v>
                </c:pt>
                <c:pt idx="9">
                  <c:v>0.16043956043956045</c:v>
                </c:pt>
                <c:pt idx="10">
                  <c:v>7.0000000000000007E-2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220-4F2F-ADE2-28CC7B73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135841"/>
        <c:axId val="268555198"/>
      </c:barChart>
      <c:catAx>
        <c:axId val="17281358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8555198"/>
        <c:crosses val="autoZero"/>
        <c:auto val="1"/>
        <c:lblAlgn val="ctr"/>
        <c:lblOffset val="100"/>
        <c:noMultiLvlLbl val="1"/>
      </c:catAx>
      <c:valAx>
        <c:axId val="268555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81358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Watc'!$H$141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Watc'!$G$142:$G$152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Watc'!$H$142:$H$152</c:f>
              <c:numCache>
                <c:formatCode>0.00</c:formatCode>
                <c:ptCount val="11"/>
                <c:pt idx="0">
                  <c:v>1.504185588444493</c:v>
                </c:pt>
                <c:pt idx="1">
                  <c:v>1.3079875978148532</c:v>
                </c:pt>
                <c:pt idx="2">
                  <c:v>4.0708964808630874</c:v>
                </c:pt>
                <c:pt idx="3">
                  <c:v>2.2567567567567566</c:v>
                </c:pt>
                <c:pt idx="4">
                  <c:v>4.3733333333333331</c:v>
                </c:pt>
                <c:pt idx="5">
                  <c:v>1.434059633027523</c:v>
                </c:pt>
                <c:pt idx="6">
                  <c:v>1.6090425531914894</c:v>
                </c:pt>
                <c:pt idx="7">
                  <c:v>2.831578947368421</c:v>
                </c:pt>
                <c:pt idx="8">
                  <c:v>1.4263183834401183</c:v>
                </c:pt>
                <c:pt idx="9">
                  <c:v>6.4591836734693882</c:v>
                </c:pt>
                <c:pt idx="10">
                  <c:v>1.8378378378378379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E6-4DDD-9B83-6C4DE72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57198"/>
        <c:axId val="133915099"/>
      </c:barChart>
      <c:catAx>
        <c:axId val="10208571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915099"/>
        <c:crosses val="autoZero"/>
        <c:auto val="1"/>
        <c:lblAlgn val="ctr"/>
        <c:lblOffset val="100"/>
        <c:noMultiLvlLbl val="1"/>
      </c:catAx>
      <c:valAx>
        <c:axId val="1339150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08571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Watc'!$L$141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Watc'!$K$142:$K$152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Watc'!$L$142:$L$152</c:f>
              <c:numCache>
                <c:formatCode>0</c:formatCode>
                <c:ptCount val="11"/>
                <c:pt idx="0">
                  <c:v>14.060258780036969</c:v>
                </c:pt>
                <c:pt idx="1">
                  <c:v>9.9349726387605717</c:v>
                </c:pt>
                <c:pt idx="2">
                  <c:v>12.312836153069426</c:v>
                </c:pt>
                <c:pt idx="3">
                  <c:v>35.265700483091784</c:v>
                </c:pt>
                <c:pt idx="4">
                  <c:v>6.9479695431472086</c:v>
                </c:pt>
                <c:pt idx="5">
                  <c:v>4.0286975717439297</c:v>
                </c:pt>
                <c:pt idx="6">
                  <c:v>0.57881382810022197</c:v>
                </c:pt>
                <c:pt idx="7">
                  <c:v>24.463806970509385</c:v>
                </c:pt>
                <c:pt idx="8">
                  <c:v>1.1645167812373636</c:v>
                </c:pt>
                <c:pt idx="9">
                  <c:v>83.54596622889305</c:v>
                </c:pt>
                <c:pt idx="10">
                  <c:v>0.99455040871934597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300-498A-8B6D-87362FA9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826355"/>
        <c:axId val="1412501157"/>
      </c:barChart>
      <c:catAx>
        <c:axId val="445826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2501157"/>
        <c:crosses val="autoZero"/>
        <c:auto val="1"/>
        <c:lblAlgn val="ctr"/>
        <c:lblOffset val="100"/>
        <c:noMultiLvlLbl val="1"/>
      </c:catAx>
      <c:valAx>
        <c:axId val="14125011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58263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Watc'!$C$172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Watc'!$B$173:$B$183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Watc'!$C$173:$C$183</c:f>
              <c:numCache>
                <c:formatCode>0</c:formatCode>
                <c:ptCount val="11"/>
                <c:pt idx="0">
                  <c:v>96.396454265159292</c:v>
                </c:pt>
                <c:pt idx="1">
                  <c:v>78.297665369649806</c:v>
                </c:pt>
                <c:pt idx="2">
                  <c:v>13.123238018525978</c:v>
                </c:pt>
                <c:pt idx="3">
                  <c:v>54.638242894056845</c:v>
                </c:pt>
                <c:pt idx="4">
                  <c:v>86.158575031525842</c:v>
                </c:pt>
                <c:pt idx="5">
                  <c:v>33.697665056360705</c:v>
                </c:pt>
                <c:pt idx="6">
                  <c:v>28.646060078363085</c:v>
                </c:pt>
                <c:pt idx="7">
                  <c:v>34.621232508073206</c:v>
                </c:pt>
                <c:pt idx="8">
                  <c:v>-3.5720022948938612</c:v>
                </c:pt>
                <c:pt idx="9">
                  <c:v>23.175182481751822</c:v>
                </c:pt>
                <c:pt idx="10">
                  <c:v>142.01754385964915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DA8-4177-9350-12379AF6915D}"/>
            </c:ext>
          </c:extLst>
        </c:ser>
        <c:ser>
          <c:idx val="1"/>
          <c:order val="1"/>
          <c:tx>
            <c:strRef>
              <c:f>'Copy of Gems,Jewellery And Watc'!$D$172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Watc'!$B$173:$B$183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Watc'!$D$173:$D$183</c:f>
              <c:numCache>
                <c:formatCode>0</c:formatCode>
                <c:ptCount val="11"/>
                <c:pt idx="0">
                  <c:v>26.59755854707663</c:v>
                </c:pt>
                <c:pt idx="1">
                  <c:v>8.4925937307928692</c:v>
                </c:pt>
                <c:pt idx="2">
                  <c:v>0.61960855025899952</c:v>
                </c:pt>
                <c:pt idx="3">
                  <c:v>5.5511933174224337</c:v>
                </c:pt>
                <c:pt idx="4">
                  <c:v>9.0966497829232988</c:v>
                </c:pt>
                <c:pt idx="5">
                  <c:v>4.6827972027972029</c:v>
                </c:pt>
                <c:pt idx="6">
                  <c:v>7.4962025316455705</c:v>
                </c:pt>
                <c:pt idx="7">
                  <c:v>3.9789432989690718</c:v>
                </c:pt>
                <c:pt idx="8">
                  <c:v>0.77971720980339354</c:v>
                </c:pt>
                <c:pt idx="9">
                  <c:v>3.2366504854368934</c:v>
                </c:pt>
                <c:pt idx="10">
                  <c:v>5.0593750000000002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DA8-4177-9350-12379AF6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124688"/>
        <c:axId val="1749843007"/>
      </c:barChart>
      <c:catAx>
        <c:axId val="115812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9843007"/>
        <c:crosses val="autoZero"/>
        <c:auto val="1"/>
        <c:lblAlgn val="ctr"/>
        <c:lblOffset val="100"/>
        <c:noMultiLvlLbl val="1"/>
      </c:catAx>
      <c:valAx>
        <c:axId val="17498430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81246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Watc'!$N$172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Watc'!$M$173:$M$183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Watc'!$N$173:$N$183</c:f>
              <c:numCache>
                <c:formatCode>0.0%</c:formatCode>
                <c:ptCount val="11"/>
                <c:pt idx="0">
                  <c:v>1.0373825548077564E-2</c:v>
                </c:pt>
                <c:pt idx="1">
                  <c:v>1.2771772891042366E-2</c:v>
                </c:pt>
                <c:pt idx="2">
                  <c:v>7.6200705846248259E-2</c:v>
                </c:pt>
                <c:pt idx="3">
                  <c:v>1.8302199101442422E-2</c:v>
                </c:pt>
                <c:pt idx="4">
                  <c:v>1.1606505790446222E-2</c:v>
                </c:pt>
                <c:pt idx="5">
                  <c:v>2.9675646616092229E-2</c:v>
                </c:pt>
                <c:pt idx="6">
                  <c:v>3.4908814589665653E-2</c:v>
                </c:pt>
                <c:pt idx="7">
                  <c:v>2.8884009249723088E-2</c:v>
                </c:pt>
                <c:pt idx="8">
                  <c:v>-0.27995502730485061</c:v>
                </c:pt>
                <c:pt idx="9">
                  <c:v>4.3149606299212599E-2</c:v>
                </c:pt>
                <c:pt idx="10">
                  <c:v>7.0413835701050023E-3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52-4C36-91BB-E119E419D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78452"/>
        <c:axId val="187576442"/>
      </c:barChart>
      <c:catAx>
        <c:axId val="900378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576442"/>
        <c:crosses val="autoZero"/>
        <c:auto val="1"/>
        <c:lblAlgn val="ctr"/>
        <c:lblOffset val="100"/>
        <c:noMultiLvlLbl val="1"/>
      </c:catAx>
      <c:valAx>
        <c:axId val="1875764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03784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6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5.png"/><Relationship Id="rId2" Type="http://schemas.openxmlformats.org/officeDocument/2006/relationships/chart" Target="../charts/chart2.xml"/><Relationship Id="rId16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53</xdr:row>
      <xdr:rowOff>19050</xdr:rowOff>
    </xdr:from>
    <xdr:ext cx="6896100" cy="6896100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639DFB1B-B287-466F-8808-928BCA9AD7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466070"/>
          <a:ext cx="6896100" cy="6896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61</xdr:row>
      <xdr:rowOff>133350</xdr:rowOff>
    </xdr:from>
    <xdr:ext cx="4591050" cy="2838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B883DCBA-2B48-4E68-80E1-382DBD4F7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61</xdr:row>
      <xdr:rowOff>133350</xdr:rowOff>
    </xdr:from>
    <xdr:ext cx="4591050" cy="28384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5A17DD5A-6171-4382-86EA-3D5FFC28D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752475</xdr:colOff>
      <xdr:row>61</xdr:row>
      <xdr:rowOff>133350</xdr:rowOff>
    </xdr:from>
    <xdr:ext cx="4591050" cy="28384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B697A9DF-35D2-415D-990A-DAE4B22E3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133350</xdr:colOff>
      <xdr:row>92</xdr:row>
      <xdr:rowOff>85725</xdr:rowOff>
    </xdr:from>
    <xdr:ext cx="4667250" cy="29051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304DA1CD-E04E-42ED-A3E9-6ED0140C1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923925</xdr:colOff>
      <xdr:row>92</xdr:row>
      <xdr:rowOff>85725</xdr:rowOff>
    </xdr:from>
    <xdr:ext cx="4791075" cy="29051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ECDCA1AE-A259-49BC-813E-A2E2EE47E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66675</xdr:colOff>
      <xdr:row>122</xdr:row>
      <xdr:rowOff>200025</xdr:rowOff>
    </xdr:from>
    <xdr:ext cx="4733925" cy="29051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37E6405-3B1A-4D57-B9BB-EC44F2E4B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952500</xdr:colOff>
      <xdr:row>123</xdr:row>
      <xdr:rowOff>0</xdr:rowOff>
    </xdr:from>
    <xdr:ext cx="4733925" cy="29051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7955B852-C475-435E-B063-362167BE1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885825</xdr:colOff>
      <xdr:row>123</xdr:row>
      <xdr:rowOff>9525</xdr:rowOff>
    </xdr:from>
    <xdr:ext cx="4733925" cy="29051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EE99619F-5EE0-4959-BB47-FDDC624E3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133350</xdr:colOff>
      <xdr:row>154</xdr:row>
      <xdr:rowOff>9525</xdr:rowOff>
    </xdr:from>
    <xdr:ext cx="4667250" cy="29051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AA15093C-07CA-4EA7-ADA7-84FE0EBAF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952500</xdr:colOff>
      <xdr:row>154</xdr:row>
      <xdr:rowOff>9525</xdr:rowOff>
    </xdr:from>
    <xdr:ext cx="4733925" cy="290512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53C50650-4067-466A-8C93-8241ED5B5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914400</xdr:colOff>
      <xdr:row>154</xdr:row>
      <xdr:rowOff>9525</xdr:rowOff>
    </xdr:from>
    <xdr:ext cx="4733925" cy="29051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FC495B03-7D38-4BC7-A696-9A51006C8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76200</xdr:colOff>
      <xdr:row>171</xdr:row>
      <xdr:rowOff>9525</xdr:rowOff>
    </xdr:from>
    <xdr:ext cx="3810000" cy="28098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E0D63F1C-1EC0-4A9F-88C6-F93C73C50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47625</xdr:colOff>
      <xdr:row>171</xdr:row>
      <xdr:rowOff>9525</xdr:rowOff>
    </xdr:from>
    <xdr:ext cx="3733800" cy="28098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0D24D0F9-839E-47EA-926A-FDF4CD8DE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209550</xdr:colOff>
      <xdr:row>7</xdr:row>
      <xdr:rowOff>66675</xdr:rowOff>
    </xdr:from>
    <xdr:ext cx="5076825" cy="2095500"/>
    <xdr:pic>
      <xdr:nvPicPr>
        <xdr:cNvPr id="15" name="image2.png" title="Image">
          <a:extLst>
            <a:ext uri="{FF2B5EF4-FFF2-40B4-BE49-F238E27FC236}">
              <a16:creationId xmlns:a16="http://schemas.microsoft.com/office/drawing/2014/main" id="{B906E336-A90C-4905-B873-C0143C3CEF29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09550" y="1453515"/>
          <a:ext cx="5076825" cy="20955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7</xdr:row>
      <xdr:rowOff>66675</xdr:rowOff>
    </xdr:from>
    <xdr:ext cx="3810000" cy="2143125"/>
    <xdr:pic>
      <xdr:nvPicPr>
        <xdr:cNvPr id="16" name="image5.png" title="Image">
          <a:extLst>
            <a:ext uri="{FF2B5EF4-FFF2-40B4-BE49-F238E27FC236}">
              <a16:creationId xmlns:a16="http://schemas.microsoft.com/office/drawing/2014/main" id="{EFD75212-A7A7-44C7-9B80-B8BDCA23806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231130" y="1453515"/>
          <a:ext cx="3810000" cy="21431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285750</xdr:colOff>
      <xdr:row>7</xdr:row>
      <xdr:rowOff>66675</xdr:rowOff>
    </xdr:from>
    <xdr:ext cx="5153025" cy="2095500"/>
    <xdr:pic>
      <xdr:nvPicPr>
        <xdr:cNvPr id="17" name="image3.png" title="Image">
          <a:extLst>
            <a:ext uri="{FF2B5EF4-FFF2-40B4-BE49-F238E27FC236}">
              <a16:creationId xmlns:a16="http://schemas.microsoft.com/office/drawing/2014/main" id="{8B8F2E3B-109B-4C17-96EB-9828D33A36F3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972550" y="1453515"/>
          <a:ext cx="5153025" cy="2095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20</xdr:row>
      <xdr:rowOff>66675</xdr:rowOff>
    </xdr:from>
    <xdr:ext cx="5076825" cy="2705100"/>
    <xdr:pic>
      <xdr:nvPicPr>
        <xdr:cNvPr id="18" name="image4.png" title="Image">
          <a:extLst>
            <a:ext uri="{FF2B5EF4-FFF2-40B4-BE49-F238E27FC236}">
              <a16:creationId xmlns:a16="http://schemas.microsoft.com/office/drawing/2014/main" id="{14F72BD4-6A41-40F0-BDF5-FD004A3ACCAF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9550" y="4029075"/>
          <a:ext cx="5076825" cy="27051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923925</xdr:colOff>
      <xdr:row>20</xdr:row>
      <xdr:rowOff>66675</xdr:rowOff>
    </xdr:from>
    <xdr:ext cx="3867150" cy="2705100"/>
    <xdr:pic>
      <xdr:nvPicPr>
        <xdr:cNvPr id="19" name="image1.png" title="Image">
          <a:extLst>
            <a:ext uri="{FF2B5EF4-FFF2-40B4-BE49-F238E27FC236}">
              <a16:creationId xmlns:a16="http://schemas.microsoft.com/office/drawing/2014/main" id="{DDE90E76-D226-4A48-B359-C98A8F235032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213985" y="4029075"/>
          <a:ext cx="3867150" cy="2705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Gems,JewelleryAndWatches%20%20(6).xlsx" TargetMode="External"/><Relationship Id="rId1" Type="http://schemas.openxmlformats.org/officeDocument/2006/relationships/externalLinkPath" Target="/Users/profi/Downloads/Gems,JewelleryAndWatches%2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y of Gems,Jewellery And Watc"/>
      <sheetName val="TITAN"/>
    </sheetNames>
    <sheetDataSet>
      <sheetData sheetId="0">
        <row r="37">
          <cell r="C37" t="str">
            <v>Market cap</v>
          </cell>
          <cell r="G37" t="str">
            <v>SALES_23</v>
          </cell>
          <cell r="K37" t="str">
            <v>PROFIT_23</v>
          </cell>
        </row>
        <row r="38">
          <cell r="B38" t="str">
            <v>TITAN</v>
          </cell>
          <cell r="C38">
            <v>332018.69327819999</v>
          </cell>
          <cell r="F38" t="str">
            <v>TITAN</v>
          </cell>
          <cell r="G38">
            <v>40575</v>
          </cell>
          <cell r="J38" t="str">
            <v>TITAN</v>
          </cell>
          <cell r="K38">
            <v>3274</v>
          </cell>
        </row>
        <row r="39">
          <cell r="B39" t="str">
            <v>KALYANKJIL</v>
          </cell>
          <cell r="C39">
            <v>41804.701633600002</v>
          </cell>
          <cell r="F39" t="str">
            <v>KALYANKJIL</v>
          </cell>
          <cell r="G39">
            <v>14071</v>
          </cell>
          <cell r="J39" t="str">
            <v>KALYANKJIL</v>
          </cell>
          <cell r="K39">
            <v>432</v>
          </cell>
        </row>
        <row r="40">
          <cell r="B40" t="str">
            <v>RAJESHEXPO</v>
          </cell>
          <cell r="C40">
            <v>9457.1742364999991</v>
          </cell>
          <cell r="F40" t="str">
            <v>RAJESHEXPO</v>
          </cell>
          <cell r="G40">
            <v>339689</v>
          </cell>
          <cell r="J40" t="str">
            <v>RAJESHEXPO</v>
          </cell>
          <cell r="K40">
            <v>1432</v>
          </cell>
        </row>
        <row r="41">
          <cell r="B41" t="str">
            <v>VAIBHAVGBL</v>
          </cell>
          <cell r="C41">
            <v>7041.2377149000004</v>
          </cell>
          <cell r="F41" t="str">
            <v>VAIBHAVGBL</v>
          </cell>
          <cell r="G41">
            <v>2691</v>
          </cell>
          <cell r="J41" t="str">
            <v>VAIBHAVGBL</v>
          </cell>
          <cell r="K41">
            <v>105</v>
          </cell>
        </row>
        <row r="42">
          <cell r="B42" t="str">
            <v>ETHOSLTD</v>
          </cell>
          <cell r="C42">
            <v>6732.4879675000002</v>
          </cell>
          <cell r="F42" t="str">
            <v>ETHOSLTD</v>
          </cell>
          <cell r="G42">
            <v>788</v>
          </cell>
          <cell r="J42" t="str">
            <v>ETHOSLTD</v>
          </cell>
          <cell r="K42">
            <v>60</v>
          </cell>
        </row>
        <row r="43">
          <cell r="B43" t="str">
            <v>SENCO</v>
          </cell>
          <cell r="C43">
            <v>6525.74748</v>
          </cell>
          <cell r="F43" t="str">
            <v>SENCO</v>
          </cell>
          <cell r="G43">
            <v>4077</v>
          </cell>
          <cell r="J43" t="str">
            <v>SENCO</v>
          </cell>
          <cell r="K43">
            <v>158</v>
          </cell>
        </row>
        <row r="44">
          <cell r="B44" t="str">
            <v>THANGAMAYL</v>
          </cell>
          <cell r="C44">
            <v>3639.2559246999999</v>
          </cell>
          <cell r="F44" t="str">
            <v>THANGAMAYL</v>
          </cell>
          <cell r="G44">
            <v>3153</v>
          </cell>
          <cell r="J44" t="str">
            <v>THANGAMAYL</v>
          </cell>
          <cell r="K44">
            <v>80</v>
          </cell>
        </row>
        <row r="45">
          <cell r="B45" t="str">
            <v>KDDL</v>
          </cell>
          <cell r="C45">
            <v>3181.5423433999999</v>
          </cell>
          <cell r="F45" t="str">
            <v>KDDL</v>
          </cell>
          <cell r="G45">
            <v>1119</v>
          </cell>
          <cell r="J45" t="str">
            <v>KDDL</v>
          </cell>
          <cell r="K45">
            <v>77</v>
          </cell>
        </row>
        <row r="46">
          <cell r="B46" t="str">
            <v>OTHER_37</v>
          </cell>
          <cell r="C46">
            <v>2947</v>
          </cell>
          <cell r="F46" t="str">
            <v>PCJEWELLER</v>
          </cell>
          <cell r="G46">
            <v>2473</v>
          </cell>
          <cell r="J46" t="str">
            <v>PCJEWELLER</v>
          </cell>
          <cell r="K46">
            <v>203</v>
          </cell>
        </row>
        <row r="47">
          <cell r="B47" t="str">
            <v>PCJEWELLER</v>
          </cell>
          <cell r="C47">
            <v>2897.1392774999999</v>
          </cell>
          <cell r="F47" t="str">
            <v>GOLDIAM</v>
          </cell>
          <cell r="G47">
            <v>533</v>
          </cell>
          <cell r="J47" t="str">
            <v>GOLDIAM</v>
          </cell>
          <cell r="K47">
            <v>85</v>
          </cell>
        </row>
        <row r="48">
          <cell r="B48" t="str">
            <v>GOLDIAM</v>
          </cell>
          <cell r="C48">
            <v>2042.9902955</v>
          </cell>
          <cell r="F48" t="str">
            <v>MOTISONS</v>
          </cell>
          <cell r="G48">
            <v>367</v>
          </cell>
          <cell r="J48" t="str">
            <v>MOTISONS</v>
          </cell>
          <cell r="K48">
            <v>22</v>
          </cell>
        </row>
        <row r="49">
          <cell r="B49" t="str">
            <v>MOTISONS</v>
          </cell>
          <cell r="C49">
            <v>1564.7986631000001</v>
          </cell>
        </row>
        <row r="50">
          <cell r="B50" t="str">
            <v>SKYGOLD</v>
          </cell>
          <cell r="C50">
            <v>1395.7170168</v>
          </cell>
        </row>
        <row r="51">
          <cell r="B51" t="str">
            <v>TIMEX</v>
          </cell>
          <cell r="C51">
            <v>1393.10862</v>
          </cell>
        </row>
        <row r="52">
          <cell r="B52" t="str">
            <v>ASTAR</v>
          </cell>
          <cell r="C52">
            <v>1264.5372</v>
          </cell>
        </row>
        <row r="53">
          <cell r="B53" t="str">
            <v>RGL</v>
          </cell>
          <cell r="C53">
            <v>1183.7405262</v>
          </cell>
        </row>
        <row r="54">
          <cell r="B54" t="str">
            <v>MVGJL</v>
          </cell>
          <cell r="C54">
            <v>1073.911218</v>
          </cell>
        </row>
        <row r="55">
          <cell r="B55" t="str">
            <v>TBZ</v>
          </cell>
          <cell r="C55">
            <v>783.75111149999998</v>
          </cell>
        </row>
        <row r="56">
          <cell r="B56" t="str">
            <v>KHAZANCHI</v>
          </cell>
          <cell r="C56">
            <v>782.74441669999999</v>
          </cell>
        </row>
        <row r="57">
          <cell r="B57" t="str">
            <v>RADHIKAJWE</v>
          </cell>
          <cell r="C57">
            <v>759.32998190000001</v>
          </cell>
        </row>
        <row r="58">
          <cell r="B58" t="str">
            <v>RBZJEWEL</v>
          </cell>
          <cell r="C58">
            <v>634.20001219999995</v>
          </cell>
        </row>
        <row r="59">
          <cell r="B59" t="str">
            <v>GARGI</v>
          </cell>
          <cell r="C59">
            <v>532.90996600000005</v>
          </cell>
        </row>
        <row r="79">
          <cell r="C79" t="str">
            <v>SALES_5Y_GR</v>
          </cell>
          <cell r="G79" t="str">
            <v>CY_SALES GR</v>
          </cell>
        </row>
        <row r="80">
          <cell r="B80" t="str">
            <v>TITAN</v>
          </cell>
          <cell r="C80">
            <v>0.20222273564068716</v>
          </cell>
          <cell r="F80" t="str">
            <v>TITAN</v>
          </cell>
          <cell r="G80">
            <v>0.23731234107771093</v>
          </cell>
        </row>
        <row r="81">
          <cell r="B81" t="str">
            <v>KALYANKJIL</v>
          </cell>
          <cell r="C81">
            <v>5.8687679670643256E-2</v>
          </cell>
          <cell r="F81" t="str">
            <v>KALYANKJIL</v>
          </cell>
          <cell r="G81">
            <v>0.31085126286248821</v>
          </cell>
        </row>
        <row r="82">
          <cell r="B82" t="str">
            <v>RAJESHEXPO</v>
          </cell>
          <cell r="C82">
            <v>0.12597924100766988</v>
          </cell>
          <cell r="F82" t="str">
            <v>RAJESHEXPO</v>
          </cell>
          <cell r="G82">
            <v>-0.156126667290995</v>
          </cell>
        </row>
        <row r="83">
          <cell r="B83" t="str">
            <v>VAIBHAVGBL</v>
          </cell>
          <cell r="C83">
            <v>0.11308063709977656</v>
          </cell>
          <cell r="F83" t="str">
            <v>VAIBHAVGBL</v>
          </cell>
          <cell r="G83">
            <v>0.12662662662662671</v>
          </cell>
        </row>
        <row r="84">
          <cell r="B84" t="str">
            <v>ETHOSLTD</v>
          </cell>
          <cell r="C84">
            <v>0.17223651077836721</v>
          </cell>
          <cell r="F84" t="str">
            <v>ETHOSLTD</v>
          </cell>
          <cell r="G84">
            <v>0.28399311531841653</v>
          </cell>
        </row>
        <row r="85">
          <cell r="B85" t="str">
            <v>SENCO</v>
          </cell>
          <cell r="C85">
            <v>0.13</v>
          </cell>
          <cell r="F85" t="str">
            <v>SENCO</v>
          </cell>
          <cell r="G85">
            <v>0.25773827765859636</v>
          </cell>
        </row>
        <row r="86">
          <cell r="B86" t="str">
            <v>THANGAMAYL</v>
          </cell>
          <cell r="C86">
            <v>0.17986397493065875</v>
          </cell>
          <cell r="F86" t="str">
            <v>THANGAMAYL</v>
          </cell>
          <cell r="G86">
            <v>0.19437447523089846</v>
          </cell>
        </row>
        <row r="87">
          <cell r="B87" t="str">
            <v>KDDL</v>
          </cell>
          <cell r="C87">
            <v>0.17341712018673738</v>
          </cell>
          <cell r="F87" t="str">
            <v>KDDL</v>
          </cell>
          <cell r="G87">
            <v>0.27195121951219514</v>
          </cell>
        </row>
        <row r="88">
          <cell r="B88" t="str">
            <v>PCJEWELLER</v>
          </cell>
          <cell r="C88">
            <v>-0.23782453296181305</v>
          </cell>
          <cell r="F88" t="str">
            <v>PCJEWELLER</v>
          </cell>
          <cell r="G88">
            <v>-0.64221453287197239</v>
          </cell>
        </row>
        <row r="89">
          <cell r="B89" t="str">
            <v>GOLDIAM</v>
          </cell>
          <cell r="C89">
            <v>0.10812130599375092</v>
          </cell>
          <cell r="F89" t="str">
            <v>GOLDIAM</v>
          </cell>
          <cell r="G89">
            <v>8.591885441527447E-2</v>
          </cell>
        </row>
        <row r="90">
          <cell r="B90" t="str">
            <v>MOTISONS</v>
          </cell>
          <cell r="C90">
            <v>0.105</v>
          </cell>
          <cell r="F90" t="str">
            <v>MOTISONS</v>
          </cell>
          <cell r="G90">
            <v>9.0909090909090828E-2</v>
          </cell>
        </row>
        <row r="110">
          <cell r="C110" t="str">
            <v>ICR</v>
          </cell>
          <cell r="G110" t="str">
            <v>DEBT2EQUITY</v>
          </cell>
          <cell r="K110" t="str">
            <v>DEBTRATIO</v>
          </cell>
        </row>
        <row r="111">
          <cell r="B111" t="str">
            <v>TITAN</v>
          </cell>
          <cell r="C111">
            <v>14.793333333333333</v>
          </cell>
          <cell r="F111" t="str">
            <v>TITAN</v>
          </cell>
          <cell r="G111">
            <v>0.44123545928600078</v>
          </cell>
          <cell r="J111" t="str">
            <v>TITAN</v>
          </cell>
          <cell r="K111">
            <v>0.62149277298676064</v>
          </cell>
        </row>
        <row r="112">
          <cell r="B112" t="str">
            <v>KALYANKJIL</v>
          </cell>
          <cell r="C112">
            <v>2.8679867986798682</v>
          </cell>
          <cell r="F112" t="str">
            <v>KALYANKJIL</v>
          </cell>
          <cell r="G112">
            <v>0.40560893274474163</v>
          </cell>
          <cell r="J112" t="str">
            <v>KALYANKJIL</v>
          </cell>
          <cell r="K112">
            <v>0.66434297664691533</v>
          </cell>
        </row>
        <row r="113">
          <cell r="B113" t="str">
            <v>RAJESHEXPO</v>
          </cell>
          <cell r="C113">
            <v>7.1092436974789912</v>
          </cell>
          <cell r="F113" t="str">
            <v>RAJESHEXPO</v>
          </cell>
          <cell r="G113">
            <v>4.1124687951648926E-2</v>
          </cell>
          <cell r="J113" t="str">
            <v>RAJESHEXPO</v>
          </cell>
          <cell r="K113">
            <v>0.20817727840199751</v>
          </cell>
        </row>
        <row r="114">
          <cell r="B114" t="str">
            <v>VAIBHAVGBL</v>
          </cell>
          <cell r="C114">
            <v>15.25</v>
          </cell>
          <cell r="F114" t="str">
            <v>VAIBHAVGBL</v>
          </cell>
          <cell r="G114">
            <v>9.8039215686274508E-2</v>
          </cell>
          <cell r="J114" t="str">
            <v>VAIBHAVGBL</v>
          </cell>
          <cell r="K114">
            <v>0.32821075740944017</v>
          </cell>
        </row>
        <row r="115">
          <cell r="B115" t="str">
            <v>ETHOSLTD</v>
          </cell>
          <cell r="C115">
            <v>5.6428571428571432</v>
          </cell>
          <cell r="F115" t="str">
            <v>ETHOSLTD</v>
          </cell>
          <cell r="G115">
            <v>1.029940119760479E-2</v>
          </cell>
          <cell r="J115" t="str">
            <v>ETHOSLTD</v>
          </cell>
          <cell r="K115">
            <v>0.28556149732620323</v>
          </cell>
        </row>
        <row r="116">
          <cell r="B116" t="str">
            <v>SENCO</v>
          </cell>
          <cell r="C116">
            <v>3.1511627906976742</v>
          </cell>
          <cell r="F116" t="str">
            <v>SENCO</v>
          </cell>
          <cell r="G116">
            <v>1.245978835978836</v>
          </cell>
          <cell r="J116" t="str">
            <v>SENCO</v>
          </cell>
          <cell r="K116">
            <v>0.67435456110154901</v>
          </cell>
        </row>
        <row r="117">
          <cell r="B117" t="str">
            <v>THANGAMAYL</v>
          </cell>
          <cell r="C117">
            <v>4</v>
          </cell>
          <cell r="F117" t="str">
            <v>THANGAMAYL</v>
          </cell>
          <cell r="G117">
            <v>1.1275167785234899</v>
          </cell>
          <cell r="J117" t="str">
            <v>THANGAMAYL</v>
          </cell>
          <cell r="K117">
            <v>0.67059690493736179</v>
          </cell>
        </row>
        <row r="118">
          <cell r="B118" t="str">
            <v>KDDL</v>
          </cell>
          <cell r="C118">
            <v>4.625</v>
          </cell>
          <cell r="F118" t="str">
            <v>KDDL</v>
          </cell>
          <cell r="G118">
            <v>0.14136125654450263</v>
          </cell>
          <cell r="J118" t="str">
            <v>KDDL</v>
          </cell>
          <cell r="K118">
            <v>0.3818770226537217</v>
          </cell>
        </row>
        <row r="119">
          <cell r="B119" t="str">
            <v>PCJEWELLER</v>
          </cell>
          <cell r="C119">
            <v>0.44918699186991867</v>
          </cell>
          <cell r="F119" t="str">
            <v>PCJEWELLER</v>
          </cell>
          <cell r="G119">
            <v>1.1822660098522169</v>
          </cell>
          <cell r="J119" t="str">
            <v>PCJEWELLER</v>
          </cell>
          <cell r="K119">
            <v>0.55807943416757344</v>
          </cell>
        </row>
        <row r="120">
          <cell r="B120" t="str">
            <v>GOLDIAM</v>
          </cell>
          <cell r="C120">
            <v>97</v>
          </cell>
          <cell r="F120" t="str">
            <v>GOLDIAM</v>
          </cell>
          <cell r="G120">
            <v>1.340033500837521E-3</v>
          </cell>
          <cell r="J120" t="str">
            <v>GOLDIAM</v>
          </cell>
          <cell r="K120">
            <v>0.14592274678111589</v>
          </cell>
        </row>
        <row r="121">
          <cell r="B121" t="str">
            <v>MOTISONS</v>
          </cell>
          <cell r="C121">
            <v>2.8235294117647061</v>
          </cell>
          <cell r="F121" t="str">
            <v>MOTISONS</v>
          </cell>
          <cell r="G121">
            <v>1.1608391608391608</v>
          </cell>
          <cell r="J121" t="str">
            <v>MOTISONS</v>
          </cell>
          <cell r="K121">
            <v>0.58908045977011492</v>
          </cell>
        </row>
        <row r="141">
          <cell r="C141" t="str">
            <v>MARGIN_23</v>
          </cell>
          <cell r="D141" t="str">
            <v>CY_MARGIN</v>
          </cell>
          <cell r="H141" t="str">
            <v>CUR. RATIO</v>
          </cell>
          <cell r="L141" t="str">
            <v>TR.DAYS</v>
          </cell>
        </row>
        <row r="142">
          <cell r="B142" t="str">
            <v>TITAN</v>
          </cell>
          <cell r="C142">
            <v>8.0690080098582875E-2</v>
          </cell>
          <cell r="D142">
            <v>7.6713022915376392E-2</v>
          </cell>
          <cell r="G142" t="str">
            <v>TITAN</v>
          </cell>
          <cell r="H142">
            <v>1.504185588444493</v>
          </cell>
          <cell r="K142" t="str">
            <v>TITAN</v>
          </cell>
          <cell r="L142">
            <v>14.060258780036969</v>
          </cell>
        </row>
        <row r="143">
          <cell r="B143" t="str">
            <v>KALYANKJIL</v>
          </cell>
          <cell r="C143">
            <v>3.070144268353351E-2</v>
          </cell>
          <cell r="D143">
            <v>3.2683936344822667E-2</v>
          </cell>
          <cell r="G143" t="str">
            <v>KALYANKJIL</v>
          </cell>
          <cell r="H143">
            <v>1.3079875978148532</v>
          </cell>
          <cell r="K143" t="str">
            <v>KALYANKJIL</v>
          </cell>
          <cell r="L143">
            <v>9.9349726387605717</v>
          </cell>
        </row>
        <row r="144">
          <cell r="B144" t="str">
            <v>RAJESHEXPO</v>
          </cell>
          <cell r="C144">
            <v>4.2156207589883685E-3</v>
          </cell>
          <cell r="D144">
            <v>1.9394285291522001E-3</v>
          </cell>
          <cell r="G144" t="str">
            <v>RAJESHEXPO</v>
          </cell>
          <cell r="H144">
            <v>4.0708964808630874</v>
          </cell>
          <cell r="K144" t="str">
            <v>RAJESHEXPO</v>
          </cell>
          <cell r="L144">
            <v>12.312836153069426</v>
          </cell>
        </row>
        <row r="145">
          <cell r="B145" t="str">
            <v>VAIBHAVGBL</v>
          </cell>
          <cell r="C145">
            <v>3.901895206243032E-2</v>
          </cell>
          <cell r="D145">
            <v>4.6645935139937804E-2</v>
          </cell>
          <cell r="G145" t="str">
            <v>VAIBHAVGBL</v>
          </cell>
          <cell r="H145">
            <v>2.2567567567567566</v>
          </cell>
          <cell r="K145" t="str">
            <v>VAIBHAVGBL</v>
          </cell>
          <cell r="L145">
            <v>35.265700483091784</v>
          </cell>
        </row>
        <row r="146">
          <cell r="B146" t="str">
            <v>ETHOSLTD</v>
          </cell>
          <cell r="C146">
            <v>7.6142131979695438E-2</v>
          </cell>
          <cell r="D146">
            <v>8.3109919571045576E-2</v>
          </cell>
          <cell r="G146" t="str">
            <v>ETHOSLTD</v>
          </cell>
          <cell r="H146">
            <v>4.3733333333333331</v>
          </cell>
          <cell r="K146" t="str">
            <v>ETHOSLTD</v>
          </cell>
          <cell r="L146">
            <v>6.9479695431472086</v>
          </cell>
        </row>
        <row r="147">
          <cell r="B147" t="str">
            <v>SENCO</v>
          </cell>
          <cell r="C147">
            <v>3.8753985773853326E-2</v>
          </cell>
          <cell r="D147">
            <v>3.6062378167641324E-2</v>
          </cell>
          <cell r="G147" t="str">
            <v>SENCO</v>
          </cell>
          <cell r="H147">
            <v>1.434059633027523</v>
          </cell>
          <cell r="K147" t="str">
            <v>SENCO</v>
          </cell>
          <cell r="L147">
            <v>4.0286975717439297</v>
          </cell>
        </row>
        <row r="148">
          <cell r="B148" t="str">
            <v>THANGAMAYL</v>
          </cell>
          <cell r="C148">
            <v>2.5372660957817952E-2</v>
          </cell>
          <cell r="D148">
            <v>3.3391915641476276E-2</v>
          </cell>
          <cell r="G148" t="str">
            <v>THANGAMAYL</v>
          </cell>
          <cell r="H148">
            <v>1.6090425531914894</v>
          </cell>
          <cell r="K148" t="str">
            <v>THANGAMAYL</v>
          </cell>
          <cell r="L148">
            <v>0.57881382810022197</v>
          </cell>
        </row>
        <row r="149">
          <cell r="B149" t="str">
            <v>KDDL</v>
          </cell>
          <cell r="C149">
            <v>6.8811438784629128E-2</v>
          </cell>
          <cell r="D149">
            <v>9.7794822627037398E-2</v>
          </cell>
          <cell r="G149" t="str">
            <v>KDDL</v>
          </cell>
          <cell r="H149">
            <v>2.831578947368421</v>
          </cell>
          <cell r="K149" t="str">
            <v>KDDL</v>
          </cell>
          <cell r="L149">
            <v>24.463806970509385</v>
          </cell>
        </row>
        <row r="150">
          <cell r="B150" t="str">
            <v>PCJEWELLER</v>
          </cell>
          <cell r="C150">
            <v>8.2086534573392642E-2</v>
          </cell>
          <cell r="D150">
            <v>-0.59961315280464211</v>
          </cell>
          <cell r="G150" t="str">
            <v>PCJEWELLER</v>
          </cell>
          <cell r="H150">
            <v>1.4263183834401183</v>
          </cell>
          <cell r="K150" t="str">
            <v>PCJEWELLER</v>
          </cell>
          <cell r="L150">
            <v>1.1645167812373636</v>
          </cell>
        </row>
        <row r="151">
          <cell r="B151" t="str">
            <v>GOLDIAM</v>
          </cell>
          <cell r="C151">
            <v>0.15947467166979362</v>
          </cell>
          <cell r="D151">
            <v>0.16043956043956045</v>
          </cell>
          <cell r="G151" t="str">
            <v>GOLDIAM</v>
          </cell>
          <cell r="H151">
            <v>6.4591836734693882</v>
          </cell>
          <cell r="K151" t="str">
            <v>GOLDIAM</v>
          </cell>
          <cell r="L151">
            <v>83.54596622889305</v>
          </cell>
        </row>
        <row r="152">
          <cell r="B152" t="str">
            <v>MOTISONS</v>
          </cell>
          <cell r="C152">
            <v>5.9945504087193457E-2</v>
          </cell>
          <cell r="D152">
            <v>7.0000000000000007E-2</v>
          </cell>
          <cell r="G152" t="str">
            <v>MOTISONS</v>
          </cell>
          <cell r="H152">
            <v>1.8378378378378379</v>
          </cell>
          <cell r="K152" t="str">
            <v>MOTISONS</v>
          </cell>
          <cell r="L152">
            <v>0.99455040871934597</v>
          </cell>
        </row>
        <row r="172">
          <cell r="C172" t="str">
            <v>TRAIL_PE</v>
          </cell>
          <cell r="D172" t="str">
            <v>PBV</v>
          </cell>
          <cell r="N172" t="str">
            <v>YIELD</v>
          </cell>
        </row>
        <row r="173">
          <cell r="B173" t="str">
            <v>TITAN</v>
          </cell>
          <cell r="C173">
            <v>96.396454265159292</v>
          </cell>
          <cell r="D173">
            <v>26.59755854707663</v>
          </cell>
          <cell r="M173" t="str">
            <v>TITAN</v>
          </cell>
          <cell r="N173">
            <v>1.0373825548077564E-2</v>
          </cell>
        </row>
        <row r="174">
          <cell r="B174" t="str">
            <v>KALYANKJIL</v>
          </cell>
          <cell r="C174">
            <v>78.297665369649806</v>
          </cell>
          <cell r="D174">
            <v>8.4925937307928692</v>
          </cell>
          <cell r="M174" t="str">
            <v>KALYANKJIL</v>
          </cell>
          <cell r="N174">
            <v>1.2771772891042366E-2</v>
          </cell>
        </row>
        <row r="175">
          <cell r="B175" t="str">
            <v>RAJESHEXPO</v>
          </cell>
          <cell r="C175">
            <v>13.123238018525978</v>
          </cell>
          <cell r="D175">
            <v>0.61960855025899952</v>
          </cell>
          <cell r="M175" t="str">
            <v>RAJESHEXPO</v>
          </cell>
          <cell r="N175">
            <v>7.6200705846248259E-2</v>
          </cell>
        </row>
        <row r="176">
          <cell r="B176" t="str">
            <v>VAIBHAVGBL</v>
          </cell>
          <cell r="C176">
            <v>54.638242894056845</v>
          </cell>
          <cell r="D176">
            <v>5.5511933174224337</v>
          </cell>
          <cell r="M176" t="str">
            <v>VAIBHAVGBL</v>
          </cell>
          <cell r="N176">
            <v>1.8302199101442422E-2</v>
          </cell>
        </row>
        <row r="177">
          <cell r="B177" t="str">
            <v>ETHOSLTD</v>
          </cell>
          <cell r="C177">
            <v>86.158575031525842</v>
          </cell>
          <cell r="D177">
            <v>9.0966497829232988</v>
          </cell>
          <cell r="M177" t="str">
            <v>ETHOSLTD</v>
          </cell>
          <cell r="N177">
            <v>1.1606505790446222E-2</v>
          </cell>
        </row>
        <row r="178">
          <cell r="B178" t="str">
            <v>SENCO</v>
          </cell>
          <cell r="C178">
            <v>33.697665056360705</v>
          </cell>
          <cell r="D178">
            <v>4.6827972027972029</v>
          </cell>
          <cell r="M178" t="str">
            <v>SENCO</v>
          </cell>
          <cell r="N178">
            <v>2.9675646616092229E-2</v>
          </cell>
        </row>
        <row r="179">
          <cell r="B179" t="str">
            <v>THANGAMAYL</v>
          </cell>
          <cell r="C179">
            <v>28.646060078363085</v>
          </cell>
          <cell r="D179">
            <v>7.4962025316455705</v>
          </cell>
          <cell r="M179" t="str">
            <v>THANGAMAYL</v>
          </cell>
          <cell r="N179">
            <v>3.4908814589665653E-2</v>
          </cell>
        </row>
        <row r="180">
          <cell r="B180" t="str">
            <v>KDDL</v>
          </cell>
          <cell r="C180">
            <v>34.621232508073206</v>
          </cell>
          <cell r="D180">
            <v>3.9789432989690718</v>
          </cell>
          <cell r="M180" t="str">
            <v>KDDL</v>
          </cell>
          <cell r="N180">
            <v>2.8884009249723088E-2</v>
          </cell>
        </row>
        <row r="181">
          <cell r="B181" t="str">
            <v>PCJEWELLER</v>
          </cell>
          <cell r="C181">
            <v>-3.5720022948938612</v>
          </cell>
          <cell r="D181">
            <v>0.77971720980339354</v>
          </cell>
          <cell r="M181" t="str">
            <v>PCJEWELLER</v>
          </cell>
          <cell r="N181">
            <v>-0.27995502730485061</v>
          </cell>
        </row>
        <row r="182">
          <cell r="B182" t="str">
            <v>GOLDIAM</v>
          </cell>
          <cell r="C182">
            <v>23.175182481751822</v>
          </cell>
          <cell r="D182">
            <v>3.2366504854368934</v>
          </cell>
          <cell r="M182" t="str">
            <v>GOLDIAM</v>
          </cell>
          <cell r="N182">
            <v>4.3149606299212599E-2</v>
          </cell>
        </row>
        <row r="183">
          <cell r="B183" t="str">
            <v>MOTISONS</v>
          </cell>
          <cell r="C183">
            <v>142.01754385964915</v>
          </cell>
          <cell r="D183">
            <v>5.0593750000000002</v>
          </cell>
          <cell r="M183" t="str">
            <v>MOTISONS</v>
          </cell>
          <cell r="N183">
            <v>7.0413835701050023E-3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5801-DD35-4F16-8AFB-4492F8487643}">
  <dimension ref="A1:AI960"/>
  <sheetViews>
    <sheetView showGridLines="0" tabSelected="1" workbookViewId="0"/>
  </sheetViews>
  <sheetFormatPr defaultColWidth="12.6640625" defaultRowHeight="15.75" customHeight="1" x14ac:dyDescent="0.3"/>
  <cols>
    <col min="1" max="18" width="10.33203125" customWidth="1"/>
    <col min="19" max="19" width="13.21875" customWidth="1"/>
    <col min="20" max="20" width="9.44140625" customWidth="1"/>
    <col min="21" max="21" width="14" customWidth="1"/>
    <col min="22" max="22" width="10.77734375" customWidth="1"/>
    <col min="23" max="23" width="12.77734375" customWidth="1"/>
    <col min="24" max="24" width="7.6640625" customWidth="1"/>
    <col min="25" max="25" width="12.33203125" customWidth="1"/>
    <col min="26" max="26" width="15.109375" customWidth="1"/>
    <col min="27" max="27" width="12" customWidth="1"/>
    <col min="28" max="47" width="7.6640625" customWidth="1"/>
  </cols>
  <sheetData>
    <row r="1" spans="1:35" ht="15.75" customHeight="1" x14ac:dyDescent="0.3">
      <c r="B1" s="1" t="s">
        <v>0</v>
      </c>
      <c r="C1" s="2"/>
      <c r="D1" s="2"/>
      <c r="E1" s="2"/>
      <c r="G1" s="1" t="s">
        <v>1</v>
      </c>
      <c r="H1" s="2"/>
      <c r="K1" s="1" t="s">
        <v>2</v>
      </c>
      <c r="T1" s="1" t="s">
        <v>3</v>
      </c>
      <c r="AB1" s="3"/>
    </row>
    <row r="2" spans="1:35" ht="15.75" customHeight="1" x14ac:dyDescent="0.3">
      <c r="A2" s="1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1" t="s">
        <v>20</v>
      </c>
      <c r="R2" s="1" t="s">
        <v>21</v>
      </c>
      <c r="S2" s="1" t="s">
        <v>22</v>
      </c>
      <c r="T2" s="5" t="s">
        <v>23</v>
      </c>
      <c r="U2" s="5" t="s">
        <v>24</v>
      </c>
      <c r="V2" s="5" t="s">
        <v>25</v>
      </c>
      <c r="W2" s="5" t="s">
        <v>26</v>
      </c>
      <c r="X2" s="5" t="s">
        <v>27</v>
      </c>
      <c r="AB2" s="3"/>
    </row>
    <row r="3" spans="1:35" ht="15.75" customHeight="1" x14ac:dyDescent="0.3">
      <c r="A3" s="6"/>
      <c r="B3" s="7" t="s">
        <v>28</v>
      </c>
      <c r="C3" s="8">
        <f ca="1">IFERROR(__xludf.DUMMYFUNCTION("GOOGLEFINANCE(""NSE:""&amp;B3,""price"")"),3766.85)</f>
        <v>3766.85</v>
      </c>
      <c r="D3" s="8">
        <f ca="1">IFERROR(__xludf.DUMMYFUNCTION("GOOGLEFINANCE(""NSE:""&amp;B3,""MARKETCAP"")/10000000"),334200.4177662)</f>
        <v>334200.41776619997</v>
      </c>
      <c r="E3" s="8">
        <v>3075</v>
      </c>
      <c r="F3" s="9">
        <v>4.2</v>
      </c>
      <c r="G3" s="8">
        <f t="shared" ref="G3:I3" si="0">C38</f>
        <v>49286</v>
      </c>
      <c r="H3" s="8">
        <f t="shared" si="0"/>
        <v>3455</v>
      </c>
      <c r="I3" s="8">
        <f t="shared" si="0"/>
        <v>37.78</v>
      </c>
      <c r="J3" s="8">
        <v>1</v>
      </c>
      <c r="K3" s="10">
        <v>89</v>
      </c>
      <c r="L3" s="11">
        <v>9393</v>
      </c>
      <c r="M3" s="11">
        <f>3302+4536</f>
        <v>7838</v>
      </c>
      <c r="N3" s="10">
        <f>2032+217</f>
        <v>2249</v>
      </c>
      <c r="O3" s="8">
        <v>25608</v>
      </c>
      <c r="P3" s="8">
        <v>16529</v>
      </c>
      <c r="Q3" s="10">
        <v>31550</v>
      </c>
      <c r="R3" s="10">
        <f>5628+P3</f>
        <v>22157</v>
      </c>
      <c r="S3" s="11">
        <v>1018</v>
      </c>
      <c r="T3" s="12">
        <v>1695</v>
      </c>
      <c r="U3" s="12">
        <v>-189</v>
      </c>
      <c r="V3" s="12">
        <v>-1329</v>
      </c>
      <c r="W3" s="12">
        <f t="shared" ref="W3:W4" si="1">SUM(T3:V3)</f>
        <v>177</v>
      </c>
      <c r="X3" s="12">
        <v>691</v>
      </c>
      <c r="AB3" s="3"/>
    </row>
    <row r="4" spans="1:35" ht="15.75" customHeight="1" x14ac:dyDescent="0.3">
      <c r="A4" s="6"/>
      <c r="B4" s="13" t="s">
        <v>29</v>
      </c>
      <c r="C4" s="13">
        <v>3802</v>
      </c>
      <c r="D4" s="14">
        <f ca="1">(C4*D3)/C3</f>
        <v>337318.97695610189</v>
      </c>
      <c r="E4" s="13">
        <v>2778</v>
      </c>
      <c r="F4" s="12">
        <v>3.6</v>
      </c>
      <c r="G4" s="15">
        <f t="shared" ref="G4:I4" si="2">C37</f>
        <v>46751</v>
      </c>
      <c r="H4" s="15">
        <f t="shared" si="2"/>
        <v>3496</v>
      </c>
      <c r="I4" s="15">
        <f t="shared" si="2"/>
        <v>39.4</v>
      </c>
      <c r="J4" s="13">
        <v>1</v>
      </c>
      <c r="K4" s="10">
        <v>89</v>
      </c>
      <c r="L4" s="13">
        <v>11905</v>
      </c>
      <c r="M4" s="13">
        <v>2195</v>
      </c>
      <c r="N4" s="13">
        <f>1607+266</f>
        <v>1873</v>
      </c>
      <c r="O4" s="15">
        <v>22407</v>
      </c>
      <c r="P4" s="13">
        <v>13264</v>
      </c>
      <c r="Q4" s="13">
        <v>27023</v>
      </c>
      <c r="R4" s="10">
        <f>1855+P4</f>
        <v>15119</v>
      </c>
      <c r="S4" s="12">
        <v>674</v>
      </c>
      <c r="T4" s="12">
        <v>1370</v>
      </c>
      <c r="U4" s="12">
        <v>-1811</v>
      </c>
      <c r="V4" s="12">
        <v>457</v>
      </c>
      <c r="W4" s="12">
        <f t="shared" si="1"/>
        <v>16</v>
      </c>
      <c r="X4" s="12">
        <v>432</v>
      </c>
      <c r="AB4" s="3"/>
    </row>
    <row r="5" spans="1:35" ht="15.75" customHeight="1" x14ac:dyDescent="0.3">
      <c r="A5" s="6"/>
      <c r="B5" s="16" t="s">
        <v>30</v>
      </c>
      <c r="C5" s="17">
        <f t="shared" ref="C5:X5" ca="1" si="3">(C3/C4)-1</f>
        <v>-9.2451341399263365E-3</v>
      </c>
      <c r="D5" s="17">
        <f t="shared" ca="1" si="3"/>
        <v>-9.2451341399264475E-3</v>
      </c>
      <c r="E5" s="17">
        <f t="shared" si="3"/>
        <v>0.10691144708423317</v>
      </c>
      <c r="F5" s="17">
        <f t="shared" si="3"/>
        <v>0.16666666666666674</v>
      </c>
      <c r="G5" s="17">
        <f t="shared" si="3"/>
        <v>5.4223439070822055E-2</v>
      </c>
      <c r="H5" s="18">
        <f t="shared" si="3"/>
        <v>-1.1727688787185331E-2</v>
      </c>
      <c r="I5" s="18">
        <f t="shared" si="3"/>
        <v>-4.1116751269035468E-2</v>
      </c>
      <c r="J5" s="18">
        <f t="shared" si="3"/>
        <v>0</v>
      </c>
      <c r="K5" s="18">
        <f t="shared" si="3"/>
        <v>0</v>
      </c>
      <c r="L5" s="18">
        <f t="shared" si="3"/>
        <v>-0.21100377992440156</v>
      </c>
      <c r="M5" s="18">
        <f t="shared" si="3"/>
        <v>2.5708428246013666</v>
      </c>
      <c r="N5" s="18">
        <f t="shared" si="3"/>
        <v>0.20074746396155896</v>
      </c>
      <c r="O5" s="18">
        <f t="shared" si="3"/>
        <v>0.14285714285714279</v>
      </c>
      <c r="P5" s="18">
        <f t="shared" si="3"/>
        <v>0.24615500603136309</v>
      </c>
      <c r="Q5" s="18">
        <f t="shared" si="3"/>
        <v>0.16752396107019951</v>
      </c>
      <c r="R5" s="18">
        <f t="shared" si="3"/>
        <v>0.46550697797473384</v>
      </c>
      <c r="S5" s="18">
        <f t="shared" si="3"/>
        <v>0.51038575667655794</v>
      </c>
      <c r="T5" s="18">
        <f t="shared" si="3"/>
        <v>0.23722627737226287</v>
      </c>
      <c r="U5" s="18">
        <f t="shared" si="3"/>
        <v>-0.89563776918829374</v>
      </c>
      <c r="V5" s="18">
        <f t="shared" si="3"/>
        <v>-3.9080962800875274</v>
      </c>
      <c r="W5" s="18">
        <f t="shared" si="3"/>
        <v>10.0625</v>
      </c>
      <c r="X5" s="18">
        <f t="shared" si="3"/>
        <v>0.59953703703703698</v>
      </c>
      <c r="AB5" s="3"/>
    </row>
    <row r="6" spans="1:35" ht="15.7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AA6" s="3"/>
    </row>
    <row r="7" spans="1:35" ht="15.75" customHeight="1" x14ac:dyDescent="0.3">
      <c r="A7" s="6"/>
      <c r="B7" s="19" t="s">
        <v>30</v>
      </c>
      <c r="C7" s="20" t="s">
        <v>31</v>
      </c>
      <c r="D7" s="21"/>
      <c r="E7" s="21"/>
      <c r="F7" s="20" t="s">
        <v>32</v>
      </c>
      <c r="G7" s="21"/>
      <c r="H7" s="21"/>
      <c r="I7" s="20" t="s">
        <v>33</v>
      </c>
      <c r="J7" s="21"/>
      <c r="K7" s="21"/>
      <c r="L7" s="21"/>
      <c r="M7" s="21"/>
      <c r="N7" s="6"/>
      <c r="O7" s="6"/>
      <c r="P7" s="6"/>
      <c r="Q7" s="6"/>
      <c r="AA7" s="3"/>
    </row>
    <row r="8" spans="1:35" ht="15.75" customHeight="1" x14ac:dyDescent="0.3">
      <c r="A8" s="1" t="s">
        <v>34</v>
      </c>
      <c r="B8" s="1" t="s">
        <v>35</v>
      </c>
      <c r="C8" s="1" t="s">
        <v>36</v>
      </c>
      <c r="D8" s="1" t="s">
        <v>37</v>
      </c>
      <c r="E8" s="1" t="s">
        <v>38</v>
      </c>
      <c r="F8" s="1" t="s">
        <v>39</v>
      </c>
      <c r="G8" s="1" t="s">
        <v>40</v>
      </c>
      <c r="H8" s="1" t="s">
        <v>41</v>
      </c>
      <c r="I8" s="1" t="s">
        <v>42</v>
      </c>
      <c r="J8" s="1" t="s">
        <v>43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48</v>
      </c>
      <c r="P8" s="1" t="s">
        <v>49</v>
      </c>
      <c r="Q8" s="1" t="s">
        <v>50</v>
      </c>
      <c r="AA8" s="3"/>
    </row>
    <row r="9" spans="1:35" ht="15.75" customHeight="1" x14ac:dyDescent="0.3">
      <c r="A9" s="6"/>
      <c r="B9" s="22">
        <f>R47</f>
        <v>0.23361902128836043</v>
      </c>
      <c r="C9" s="23">
        <f>P52</f>
        <v>5.3414014642163457E-2</v>
      </c>
      <c r="D9" s="22">
        <f>O3/P3</f>
        <v>1.5492770282533728</v>
      </c>
      <c r="E9" s="24">
        <f>(S3/G3)*365</f>
        <v>7.5390577445927844</v>
      </c>
      <c r="F9" s="22">
        <f>M3/L3</f>
        <v>0.8344511870541893</v>
      </c>
      <c r="G9" s="22">
        <f>R3/Q3</f>
        <v>0.70228209191759117</v>
      </c>
      <c r="H9" s="25">
        <f>P53</f>
        <v>5.2304347826086959</v>
      </c>
      <c r="I9" s="22">
        <f>H3/L3</f>
        <v>0.36782710529117429</v>
      </c>
      <c r="J9" s="26">
        <f>H3/K3</f>
        <v>38.820224719101127</v>
      </c>
      <c r="K9" s="22">
        <f>H3/Q3</f>
        <v>0.10950871632329635</v>
      </c>
      <c r="L9" s="26">
        <f ca="1">C3/I3</f>
        <v>99.704870301746951</v>
      </c>
      <c r="M9" s="23">
        <f ca="1">I3/C3</f>
        <v>1.0029600329187517E-2</v>
      </c>
      <c r="N9" s="26">
        <f>(L3)/(K3/J3)</f>
        <v>105.53932584269663</v>
      </c>
      <c r="O9" s="26">
        <f ca="1">C3/N9</f>
        <v>35.691435111253064</v>
      </c>
      <c r="P9" s="25">
        <f ca="1">M56</f>
        <v>-8.447746131419601</v>
      </c>
      <c r="Q9" s="23">
        <v>7.0000000000000007E-2</v>
      </c>
      <c r="R9" s="27"/>
      <c r="S9" s="27"/>
      <c r="T9" s="27"/>
      <c r="U9" s="27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5.6" x14ac:dyDescent="0.3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8"/>
      <c r="O10" s="28"/>
      <c r="P10" s="28"/>
      <c r="Q10" s="27"/>
      <c r="R10" s="27"/>
      <c r="S10" s="27"/>
      <c r="T10" s="27"/>
      <c r="U10" s="27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15" x14ac:dyDescent="0.3">
      <c r="A11" s="30" t="s">
        <v>51</v>
      </c>
      <c r="B11" s="31" t="s">
        <v>52</v>
      </c>
      <c r="C11" s="31" t="s">
        <v>53</v>
      </c>
      <c r="D11" s="31" t="s">
        <v>54</v>
      </c>
      <c r="E11" s="31" t="s">
        <v>55</v>
      </c>
      <c r="F11" s="31" t="s">
        <v>56</v>
      </c>
      <c r="G11" s="31" t="s">
        <v>57</v>
      </c>
      <c r="H11" s="30" t="s">
        <v>58</v>
      </c>
      <c r="I11" s="30" t="s">
        <v>59</v>
      </c>
      <c r="J11" s="30" t="s">
        <v>60</v>
      </c>
      <c r="K11" s="2"/>
      <c r="AE11" s="28"/>
      <c r="AF11" s="28"/>
      <c r="AG11" s="28"/>
      <c r="AH11" s="28"/>
      <c r="AI11" s="28"/>
    </row>
    <row r="12" spans="1:35" ht="15.6" x14ac:dyDescent="0.3">
      <c r="A12" s="32" t="s">
        <v>61</v>
      </c>
      <c r="B12" s="33" t="s">
        <v>62</v>
      </c>
      <c r="C12" s="34">
        <v>482</v>
      </c>
      <c r="D12" s="34">
        <v>17</v>
      </c>
      <c r="E12" s="35">
        <v>2.8</v>
      </c>
      <c r="F12" s="36">
        <v>105</v>
      </c>
      <c r="G12" s="36">
        <v>32</v>
      </c>
      <c r="H12" s="37">
        <f t="shared" ref="H12:H38" si="4">F12/E12</f>
        <v>37.5</v>
      </c>
      <c r="I12" s="37">
        <f t="shared" ref="I12:I38" si="5">G12/E12</f>
        <v>11.428571428571429</v>
      </c>
      <c r="J12" s="38">
        <f t="shared" ref="J12:J38" si="6">D12/C12</f>
        <v>3.5269709543568464E-2</v>
      </c>
      <c r="K12" s="39"/>
      <c r="L12" s="40"/>
      <c r="M12" s="40"/>
      <c r="N12" s="40"/>
      <c r="O12" s="40"/>
      <c r="P12" s="40"/>
      <c r="AE12" s="28"/>
      <c r="AF12" s="28"/>
      <c r="AG12" s="28"/>
      <c r="AH12" s="28"/>
      <c r="AI12" s="28"/>
    </row>
    <row r="13" spans="1:35" ht="15.6" x14ac:dyDescent="0.3">
      <c r="A13" s="41"/>
      <c r="B13" s="33" t="s">
        <v>63</v>
      </c>
      <c r="C13" s="34">
        <v>630</v>
      </c>
      <c r="D13" s="34">
        <v>19</v>
      </c>
      <c r="E13" s="35">
        <v>3.6</v>
      </c>
      <c r="F13" s="36">
        <v>178</v>
      </c>
      <c r="G13" s="36">
        <v>59</v>
      </c>
      <c r="H13" s="37">
        <f t="shared" si="4"/>
        <v>49.444444444444443</v>
      </c>
      <c r="I13" s="37">
        <f t="shared" si="5"/>
        <v>16.388888888888889</v>
      </c>
      <c r="J13" s="38">
        <f t="shared" si="6"/>
        <v>3.0158730158730159E-2</v>
      </c>
      <c r="K13" s="39"/>
      <c r="L13" s="2"/>
      <c r="M13" s="2"/>
      <c r="N13" s="2"/>
      <c r="O13" s="39"/>
      <c r="P13" s="39"/>
      <c r="W13" s="2"/>
      <c r="X13" s="2"/>
      <c r="Y13" s="2"/>
      <c r="AB13" s="2"/>
      <c r="AC13" s="2"/>
      <c r="AD13" s="2"/>
      <c r="AE13" s="2"/>
      <c r="AF13" s="2"/>
      <c r="AG13" s="28"/>
      <c r="AH13" s="28"/>
      <c r="AI13" s="28"/>
    </row>
    <row r="14" spans="1:35" ht="15.6" x14ac:dyDescent="0.3">
      <c r="A14" s="41"/>
      <c r="B14" s="33" t="s">
        <v>64</v>
      </c>
      <c r="C14" s="34">
        <v>697</v>
      </c>
      <c r="D14" s="34">
        <v>24</v>
      </c>
      <c r="E14" s="35">
        <v>4.4000000000000004</v>
      </c>
      <c r="F14" s="36">
        <v>94</v>
      </c>
      <c r="G14" s="36">
        <v>52</v>
      </c>
      <c r="H14" s="37">
        <f t="shared" si="4"/>
        <v>21.363636363636363</v>
      </c>
      <c r="I14" s="37">
        <f t="shared" si="5"/>
        <v>11.818181818181817</v>
      </c>
      <c r="J14" s="38">
        <f t="shared" si="6"/>
        <v>3.443328550932568E-2</v>
      </c>
      <c r="K14" s="39"/>
      <c r="L14" s="2"/>
      <c r="M14" s="2"/>
      <c r="N14" s="2"/>
      <c r="O14" s="39"/>
      <c r="P14" s="39"/>
      <c r="Q14" s="40"/>
      <c r="W14" s="40"/>
      <c r="X14" s="40"/>
      <c r="Y14" s="40"/>
      <c r="AA14" s="40"/>
      <c r="AB14" s="40"/>
      <c r="AC14" s="40"/>
      <c r="AD14" s="40"/>
      <c r="AE14" s="2"/>
      <c r="AF14" s="2"/>
      <c r="AG14" s="28"/>
      <c r="AH14" s="28"/>
      <c r="AI14" s="28"/>
    </row>
    <row r="15" spans="1:35" ht="15.6" x14ac:dyDescent="0.3">
      <c r="A15" s="41"/>
      <c r="B15" s="33" t="s">
        <v>65</v>
      </c>
      <c r="C15" s="34">
        <v>725</v>
      </c>
      <c r="D15" s="34">
        <v>13</v>
      </c>
      <c r="E15" s="42">
        <v>2</v>
      </c>
      <c r="F15" s="43">
        <v>63</v>
      </c>
      <c r="G15" s="43">
        <v>23.3</v>
      </c>
      <c r="H15" s="37">
        <f t="shared" si="4"/>
        <v>31.5</v>
      </c>
      <c r="I15" s="37">
        <f t="shared" si="5"/>
        <v>11.65</v>
      </c>
      <c r="J15" s="38">
        <f t="shared" si="6"/>
        <v>1.793103448275862E-2</v>
      </c>
      <c r="K15" s="39"/>
      <c r="L15" s="2"/>
      <c r="M15" s="2"/>
      <c r="N15" s="2"/>
      <c r="O15" s="39"/>
      <c r="P15" s="39"/>
      <c r="Q15" s="39"/>
      <c r="W15" s="2"/>
      <c r="X15" s="40"/>
      <c r="Y15" s="40"/>
      <c r="AA15" s="39"/>
      <c r="AB15" s="2"/>
      <c r="AC15" s="40"/>
      <c r="AD15" s="40"/>
      <c r="AE15" s="2"/>
      <c r="AF15" s="2"/>
      <c r="AG15" s="28"/>
      <c r="AH15" s="28"/>
      <c r="AI15" s="28"/>
    </row>
    <row r="16" spans="1:35" ht="15.6" x14ac:dyDescent="0.3">
      <c r="A16" s="32" t="s">
        <v>66</v>
      </c>
      <c r="B16" s="33" t="s">
        <v>67</v>
      </c>
      <c r="C16" s="34">
        <v>798</v>
      </c>
      <c r="D16" s="34">
        <v>6.2</v>
      </c>
      <c r="E16" s="42">
        <v>1</v>
      </c>
      <c r="F16" s="43">
        <v>89.7</v>
      </c>
      <c r="G16" s="43">
        <v>50</v>
      </c>
      <c r="H16" s="37">
        <f t="shared" si="4"/>
        <v>89.7</v>
      </c>
      <c r="I16" s="37">
        <f t="shared" si="5"/>
        <v>50</v>
      </c>
      <c r="J16" s="38">
        <f t="shared" si="6"/>
        <v>7.7694235588972437E-3</v>
      </c>
      <c r="K16" s="2"/>
      <c r="L16" s="2"/>
      <c r="M16" s="2"/>
      <c r="N16" s="2"/>
      <c r="O16" s="39"/>
      <c r="P16" s="39"/>
      <c r="Q16" s="39"/>
      <c r="W16" s="40"/>
      <c r="X16" s="40"/>
      <c r="Y16" s="40"/>
      <c r="AA16" s="39"/>
      <c r="AB16" s="40"/>
      <c r="AC16" s="40"/>
      <c r="AD16" s="40"/>
      <c r="AE16" s="2"/>
      <c r="AF16" s="2"/>
      <c r="AG16" s="28"/>
      <c r="AH16" s="28"/>
      <c r="AI16" s="28"/>
    </row>
    <row r="17" spans="1:35" ht="15.6" x14ac:dyDescent="0.3">
      <c r="A17" s="41"/>
      <c r="B17" s="33" t="s">
        <v>68</v>
      </c>
      <c r="C17" s="34">
        <v>959</v>
      </c>
      <c r="D17" s="34">
        <v>11</v>
      </c>
      <c r="E17" s="42">
        <v>3</v>
      </c>
      <c r="F17" s="43">
        <v>143.80000000000001</v>
      </c>
      <c r="G17" s="43">
        <v>51</v>
      </c>
      <c r="H17" s="37">
        <f t="shared" si="4"/>
        <v>47.933333333333337</v>
      </c>
      <c r="I17" s="37">
        <f t="shared" si="5"/>
        <v>17</v>
      </c>
      <c r="J17" s="38">
        <f t="shared" si="6"/>
        <v>1.1470281543274244E-2</v>
      </c>
      <c r="K17" s="2"/>
      <c r="L17" s="2"/>
      <c r="M17" s="2"/>
      <c r="O17" s="39"/>
      <c r="P17" s="39"/>
      <c r="Q17" s="39"/>
      <c r="W17" s="40"/>
      <c r="X17" s="40"/>
      <c r="Y17" s="40"/>
      <c r="AA17" s="39"/>
      <c r="AB17" s="40"/>
      <c r="AC17" s="40"/>
      <c r="AD17" s="40"/>
      <c r="AE17" s="2"/>
      <c r="AF17" s="2"/>
      <c r="AG17" s="28"/>
      <c r="AH17" s="28"/>
      <c r="AI17" s="28"/>
    </row>
    <row r="18" spans="1:35" ht="15.6" x14ac:dyDescent="0.3">
      <c r="A18" s="41"/>
      <c r="B18" s="33" t="s">
        <v>69</v>
      </c>
      <c r="C18" s="34">
        <v>1135</v>
      </c>
      <c r="D18" s="34">
        <v>25</v>
      </c>
      <c r="E18" s="42">
        <v>6</v>
      </c>
      <c r="F18" s="43">
        <v>276</v>
      </c>
      <c r="G18" s="43">
        <v>83</v>
      </c>
      <c r="H18" s="37">
        <f t="shared" si="4"/>
        <v>46</v>
      </c>
      <c r="I18" s="37">
        <f t="shared" si="5"/>
        <v>13.833333333333334</v>
      </c>
      <c r="J18" s="38">
        <f t="shared" si="6"/>
        <v>2.2026431718061675E-2</v>
      </c>
      <c r="K18" s="2"/>
      <c r="L18" s="2"/>
      <c r="M18" s="2"/>
      <c r="N18" s="2"/>
      <c r="O18" s="2"/>
      <c r="P18" s="2"/>
      <c r="Q18" s="39"/>
      <c r="W18" s="39"/>
      <c r="X18" s="40"/>
      <c r="Y18" s="40"/>
      <c r="AA18" s="39"/>
      <c r="AC18" s="40"/>
      <c r="AD18" s="40"/>
      <c r="AE18" s="2"/>
      <c r="AF18" s="2"/>
      <c r="AG18" s="28"/>
      <c r="AH18" s="28"/>
      <c r="AI18" s="28"/>
    </row>
    <row r="19" spans="1:35" ht="15.6" x14ac:dyDescent="0.3">
      <c r="A19" s="41"/>
      <c r="B19" s="33" t="s">
        <v>70</v>
      </c>
      <c r="C19" s="34">
        <v>1482</v>
      </c>
      <c r="D19" s="34">
        <v>74</v>
      </c>
      <c r="E19" s="42">
        <v>17</v>
      </c>
      <c r="F19" s="43">
        <v>895</v>
      </c>
      <c r="G19" s="43">
        <v>218</v>
      </c>
      <c r="H19" s="37">
        <f t="shared" si="4"/>
        <v>52.647058823529413</v>
      </c>
      <c r="I19" s="37">
        <f t="shared" si="5"/>
        <v>12.823529411764707</v>
      </c>
      <c r="J19" s="38">
        <f t="shared" si="6"/>
        <v>4.9932523616734142E-2</v>
      </c>
      <c r="K19" s="2"/>
      <c r="M19" s="2"/>
      <c r="N19" s="2"/>
      <c r="O19" s="39"/>
      <c r="P19" s="39"/>
      <c r="Q19" s="39"/>
      <c r="W19" s="2"/>
      <c r="X19" s="44"/>
      <c r="Y19" s="44"/>
      <c r="AA19" s="39"/>
      <c r="AB19" s="2"/>
      <c r="AC19" s="44"/>
      <c r="AD19" s="44"/>
      <c r="AE19" s="2"/>
      <c r="AF19" s="2"/>
      <c r="AG19" s="28"/>
      <c r="AH19" s="28"/>
      <c r="AI19" s="28"/>
    </row>
    <row r="20" spans="1:35" ht="15.6" x14ac:dyDescent="0.3">
      <c r="A20" s="32" t="s">
        <v>71</v>
      </c>
      <c r="B20" s="33" t="s">
        <v>72</v>
      </c>
      <c r="C20" s="34">
        <v>2137</v>
      </c>
      <c r="D20" s="34">
        <v>94</v>
      </c>
      <c r="E20" s="42">
        <v>21</v>
      </c>
      <c r="F20" s="43">
        <v>1053</v>
      </c>
      <c r="G20" s="43">
        <v>486.2</v>
      </c>
      <c r="H20" s="37">
        <f t="shared" si="4"/>
        <v>50.142857142857146</v>
      </c>
      <c r="I20" s="37">
        <f t="shared" si="5"/>
        <v>23.152380952380952</v>
      </c>
      <c r="J20" s="38">
        <f t="shared" si="6"/>
        <v>4.3986897519887692E-2</v>
      </c>
      <c r="K20" s="2"/>
      <c r="M20" s="40"/>
      <c r="N20" s="40"/>
      <c r="Q20" s="39"/>
      <c r="W20" s="2"/>
      <c r="X20" s="39"/>
      <c r="Y20" s="39"/>
      <c r="AA20" s="39"/>
      <c r="AB20" s="2"/>
      <c r="AC20" s="39"/>
      <c r="AD20" s="39"/>
      <c r="AE20" s="2"/>
      <c r="AF20" s="2"/>
      <c r="AG20" s="28"/>
      <c r="AH20" s="28"/>
      <c r="AI20" s="28"/>
    </row>
    <row r="21" spans="1:35" ht="15.6" x14ac:dyDescent="0.3">
      <c r="A21" s="41"/>
      <c r="B21" s="33" t="s">
        <v>73</v>
      </c>
      <c r="C21" s="45">
        <v>3041</v>
      </c>
      <c r="D21" s="45">
        <v>150</v>
      </c>
      <c r="E21" s="42">
        <v>34</v>
      </c>
      <c r="F21" s="43">
        <v>1795</v>
      </c>
      <c r="G21" s="43">
        <v>808</v>
      </c>
      <c r="H21" s="37">
        <f t="shared" si="4"/>
        <v>52.794117647058826</v>
      </c>
      <c r="I21" s="37">
        <f t="shared" si="5"/>
        <v>23.764705882352942</v>
      </c>
      <c r="J21" s="38">
        <f t="shared" si="6"/>
        <v>4.9325879644853667E-2</v>
      </c>
      <c r="K21" s="2"/>
      <c r="M21" s="2"/>
      <c r="N21" s="2"/>
      <c r="Q21" s="39"/>
      <c r="X21" s="44"/>
      <c r="Y21" s="44"/>
      <c r="AA21" s="39"/>
      <c r="AB21" s="2"/>
      <c r="AC21" s="44"/>
      <c r="AD21" s="44"/>
      <c r="AE21" s="2"/>
      <c r="AF21" s="2"/>
      <c r="AG21" s="28"/>
      <c r="AH21" s="28"/>
      <c r="AI21" s="28"/>
    </row>
    <row r="22" spans="1:35" ht="15.6" x14ac:dyDescent="0.3">
      <c r="A22" s="41"/>
      <c r="B22" s="33" t="s">
        <v>74</v>
      </c>
      <c r="C22" s="45">
        <v>3804</v>
      </c>
      <c r="D22" s="45">
        <v>159</v>
      </c>
      <c r="E22" s="42">
        <v>36</v>
      </c>
      <c r="F22" s="43">
        <v>1347</v>
      </c>
      <c r="G22" s="43">
        <v>710</v>
      </c>
      <c r="H22" s="37">
        <f t="shared" si="4"/>
        <v>37.416666666666664</v>
      </c>
      <c r="I22" s="37">
        <f t="shared" si="5"/>
        <v>19.722222222222221</v>
      </c>
      <c r="J22" s="38">
        <f t="shared" si="6"/>
        <v>4.1798107255520502E-2</v>
      </c>
      <c r="K22" s="2"/>
      <c r="AE22" s="28"/>
      <c r="AF22" s="28"/>
      <c r="AG22" s="28"/>
      <c r="AH22" s="28"/>
      <c r="AI22" s="28"/>
    </row>
    <row r="23" spans="1:35" ht="15.6" x14ac:dyDescent="0.3">
      <c r="A23" s="41"/>
      <c r="B23" s="33" t="s">
        <v>75</v>
      </c>
      <c r="C23" s="45">
        <v>4675</v>
      </c>
      <c r="D23" s="45">
        <v>250</v>
      </c>
      <c r="E23" s="42">
        <v>57</v>
      </c>
      <c r="F23" s="43">
        <v>1905</v>
      </c>
      <c r="G23" s="43">
        <v>719</v>
      </c>
      <c r="H23" s="37">
        <f t="shared" si="4"/>
        <v>33.421052631578945</v>
      </c>
      <c r="I23" s="37">
        <f t="shared" si="5"/>
        <v>12.614035087719298</v>
      </c>
      <c r="J23" s="38">
        <f t="shared" si="6"/>
        <v>5.3475935828877004E-2</v>
      </c>
      <c r="K23" s="2"/>
      <c r="AE23" s="28"/>
      <c r="AF23" s="28"/>
      <c r="AG23" s="28"/>
      <c r="AH23" s="28"/>
      <c r="AI23" s="28"/>
    </row>
    <row r="24" spans="1:35" ht="15.6" x14ac:dyDescent="0.3">
      <c r="A24" s="32" t="s">
        <v>76</v>
      </c>
      <c r="B24" s="33" t="s">
        <v>77</v>
      </c>
      <c r="C24" s="46">
        <v>6255</v>
      </c>
      <c r="D24" s="46">
        <v>430</v>
      </c>
      <c r="E24" s="42">
        <v>98</v>
      </c>
      <c r="F24" s="43">
        <v>4244</v>
      </c>
      <c r="G24" s="43">
        <v>1836</v>
      </c>
      <c r="H24" s="37">
        <f t="shared" si="4"/>
        <v>43.306122448979593</v>
      </c>
      <c r="I24" s="37">
        <f t="shared" si="5"/>
        <v>18.73469387755102</v>
      </c>
      <c r="J24" s="38">
        <f t="shared" si="6"/>
        <v>6.8745003996802556E-2</v>
      </c>
      <c r="K24" s="2"/>
      <c r="AE24" s="28"/>
      <c r="AF24" s="28"/>
      <c r="AG24" s="28"/>
      <c r="AH24" s="28"/>
      <c r="AI24" s="28"/>
    </row>
    <row r="25" spans="1:35" ht="15.6" x14ac:dyDescent="0.3">
      <c r="A25" s="41"/>
      <c r="B25" s="33" t="s">
        <v>78</v>
      </c>
      <c r="C25" s="46">
        <v>8840</v>
      </c>
      <c r="D25" s="46">
        <v>600</v>
      </c>
      <c r="E25" s="42">
        <v>7</v>
      </c>
      <c r="F25" s="43">
        <v>238</v>
      </c>
      <c r="G25" s="43">
        <v>154.4</v>
      </c>
      <c r="H25" s="37">
        <f t="shared" si="4"/>
        <v>34</v>
      </c>
      <c r="I25" s="37">
        <f t="shared" si="5"/>
        <v>22.057142857142857</v>
      </c>
      <c r="J25" s="38">
        <f t="shared" si="6"/>
        <v>6.7873303167420809E-2</v>
      </c>
      <c r="K25" s="2"/>
      <c r="AE25" s="28"/>
      <c r="AF25" s="28"/>
      <c r="AG25" s="28"/>
      <c r="AH25" s="28"/>
      <c r="AI25" s="28"/>
    </row>
    <row r="26" spans="1:35" ht="15.6" x14ac:dyDescent="0.3">
      <c r="A26" s="32" t="s">
        <v>79</v>
      </c>
      <c r="B26" s="33" t="s">
        <v>80</v>
      </c>
      <c r="C26" s="46">
        <v>10113</v>
      </c>
      <c r="D26" s="46">
        <v>725</v>
      </c>
      <c r="E26" s="42">
        <v>8</v>
      </c>
      <c r="F26" s="43">
        <v>313.60000000000002</v>
      </c>
      <c r="G26" s="43">
        <v>204</v>
      </c>
      <c r="H26" s="37">
        <f t="shared" si="4"/>
        <v>39.200000000000003</v>
      </c>
      <c r="I26" s="37">
        <f t="shared" si="5"/>
        <v>25.5</v>
      </c>
      <c r="J26" s="38">
        <f t="shared" si="6"/>
        <v>7.1689904083852465E-2</v>
      </c>
      <c r="K26" s="2"/>
      <c r="L26" s="2"/>
      <c r="R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1"/>
      <c r="B27" s="33" t="s">
        <v>81</v>
      </c>
      <c r="C27" s="34">
        <v>10916</v>
      </c>
      <c r="D27" s="34">
        <v>741</v>
      </c>
      <c r="E27" s="42">
        <v>8</v>
      </c>
      <c r="F27" s="43">
        <v>302</v>
      </c>
      <c r="G27" s="43">
        <v>200</v>
      </c>
      <c r="H27" s="37">
        <f t="shared" si="4"/>
        <v>37.75</v>
      </c>
      <c r="I27" s="37">
        <f t="shared" si="5"/>
        <v>25</v>
      </c>
      <c r="J27" s="38">
        <f t="shared" si="6"/>
        <v>6.7882008061561014E-2</v>
      </c>
      <c r="K27" s="2"/>
      <c r="R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6" x14ac:dyDescent="0.3">
      <c r="A28" s="41" t="s">
        <v>82</v>
      </c>
      <c r="B28" s="33" t="s">
        <v>83</v>
      </c>
      <c r="C28" s="34">
        <v>11903</v>
      </c>
      <c r="D28" s="34">
        <v>823</v>
      </c>
      <c r="E28" s="42">
        <v>9.27</v>
      </c>
      <c r="F28" s="43">
        <v>448</v>
      </c>
      <c r="G28" s="43">
        <v>252</v>
      </c>
      <c r="H28" s="37">
        <f t="shared" si="4"/>
        <v>48.327939590075516</v>
      </c>
      <c r="I28" s="37">
        <f t="shared" si="5"/>
        <v>27.184466019417478</v>
      </c>
      <c r="J28" s="38">
        <f t="shared" si="6"/>
        <v>6.914223305049147E-2</v>
      </c>
      <c r="K28" s="2"/>
      <c r="R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1" t="s">
        <v>84</v>
      </c>
      <c r="B29" s="33" t="s">
        <v>85</v>
      </c>
      <c r="C29" s="46">
        <v>11278</v>
      </c>
      <c r="D29" s="46">
        <v>690</v>
      </c>
      <c r="E29" s="42">
        <v>7.95</v>
      </c>
      <c r="F29" s="43">
        <v>422</v>
      </c>
      <c r="G29" s="43">
        <v>303</v>
      </c>
      <c r="H29" s="37">
        <f t="shared" si="4"/>
        <v>53.081761006289305</v>
      </c>
      <c r="I29" s="37">
        <f t="shared" si="5"/>
        <v>38.113207547169807</v>
      </c>
      <c r="J29" s="38">
        <f t="shared" si="6"/>
        <v>6.1181060471714843E-2</v>
      </c>
      <c r="K29" s="2"/>
      <c r="L29" s="28"/>
      <c r="R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1" t="s">
        <v>86</v>
      </c>
      <c r="B30" s="33" t="s">
        <v>87</v>
      </c>
      <c r="C30" s="45">
        <v>13100</v>
      </c>
      <c r="D30" s="34">
        <v>699</v>
      </c>
      <c r="E30" s="42">
        <v>8.58</v>
      </c>
      <c r="F30" s="43">
        <v>471</v>
      </c>
      <c r="G30" s="43">
        <v>296</v>
      </c>
      <c r="H30" s="37">
        <f t="shared" si="4"/>
        <v>54.895104895104893</v>
      </c>
      <c r="I30" s="37">
        <f t="shared" si="5"/>
        <v>34.498834498834498</v>
      </c>
      <c r="J30" s="38">
        <f t="shared" si="6"/>
        <v>5.3358778625954201E-2</v>
      </c>
      <c r="K30" s="2"/>
      <c r="L30" s="28"/>
      <c r="R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15.6" x14ac:dyDescent="0.3">
      <c r="A31" s="28"/>
      <c r="B31" s="33" t="s">
        <v>88</v>
      </c>
      <c r="C31" s="34">
        <v>16156</v>
      </c>
      <c r="D31" s="34">
        <v>1102</v>
      </c>
      <c r="E31" s="42">
        <v>13.1</v>
      </c>
      <c r="F31" s="43">
        <v>963</v>
      </c>
      <c r="G31" s="43">
        <v>456</v>
      </c>
      <c r="H31" s="37">
        <f t="shared" si="4"/>
        <v>73.511450381679396</v>
      </c>
      <c r="I31" s="37">
        <f t="shared" si="5"/>
        <v>34.809160305343511</v>
      </c>
      <c r="J31" s="38">
        <f t="shared" si="6"/>
        <v>6.8209952958653133E-2</v>
      </c>
      <c r="K31" s="2"/>
      <c r="L31" s="28"/>
      <c r="R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ht="15.6" x14ac:dyDescent="0.3">
      <c r="A32" s="28"/>
      <c r="B32" s="33" t="s">
        <v>89</v>
      </c>
      <c r="C32" s="34">
        <v>19779</v>
      </c>
      <c r="D32" s="34">
        <v>1389</v>
      </c>
      <c r="E32" s="42">
        <v>15.82</v>
      </c>
      <c r="F32" s="42">
        <v>1007</v>
      </c>
      <c r="G32" s="42">
        <v>732</v>
      </c>
      <c r="H32" s="37">
        <f t="shared" si="4"/>
        <v>63.653603034134008</v>
      </c>
      <c r="I32" s="37">
        <f t="shared" si="5"/>
        <v>46.27054361567636</v>
      </c>
      <c r="J32" s="38">
        <f t="shared" si="6"/>
        <v>7.0225997269831641E-2</v>
      </c>
      <c r="K32" s="2"/>
      <c r="L32" s="28"/>
      <c r="R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7"/>
      <c r="B33" s="33" t="s">
        <v>90</v>
      </c>
      <c r="C33" s="34">
        <v>21205</v>
      </c>
      <c r="D33" s="34">
        <v>1493</v>
      </c>
      <c r="E33" s="35">
        <v>16.899999999999999</v>
      </c>
      <c r="F33" s="35">
        <v>1390</v>
      </c>
      <c r="G33" s="35">
        <v>999</v>
      </c>
      <c r="H33" s="37">
        <f t="shared" si="4"/>
        <v>82.248520710059182</v>
      </c>
      <c r="I33" s="37">
        <f t="shared" si="5"/>
        <v>59.112426035502963</v>
      </c>
      <c r="J33" s="38">
        <f t="shared" si="6"/>
        <v>7.0407922659750058E-2</v>
      </c>
      <c r="K33" s="2"/>
      <c r="L33" s="28"/>
      <c r="R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15.6" x14ac:dyDescent="0.3">
      <c r="A34" s="48"/>
      <c r="B34" s="33" t="s">
        <v>91</v>
      </c>
      <c r="C34" s="34">
        <v>21830</v>
      </c>
      <c r="D34" s="34">
        <v>974</v>
      </c>
      <c r="E34" s="35">
        <v>11</v>
      </c>
      <c r="F34" s="35">
        <v>1621</v>
      </c>
      <c r="G34" s="35">
        <v>810</v>
      </c>
      <c r="H34" s="37">
        <f t="shared" si="4"/>
        <v>147.36363636363637</v>
      </c>
      <c r="I34" s="37">
        <f t="shared" si="5"/>
        <v>73.63636363636364</v>
      </c>
      <c r="J34" s="38">
        <f t="shared" si="6"/>
        <v>4.461749885478699E-2</v>
      </c>
      <c r="K34" s="2"/>
      <c r="L34" s="28"/>
      <c r="R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ht="15.6" x14ac:dyDescent="0.3">
      <c r="B35" s="33" t="s">
        <v>92</v>
      </c>
      <c r="C35" s="34">
        <v>29033</v>
      </c>
      <c r="D35" s="34">
        <v>2198</v>
      </c>
      <c r="E35" s="35">
        <v>24.48</v>
      </c>
      <c r="F35" s="35">
        <v>2768</v>
      </c>
      <c r="G35" s="35">
        <v>1400</v>
      </c>
      <c r="H35" s="37">
        <f t="shared" si="4"/>
        <v>113.0718954248366</v>
      </c>
      <c r="I35" s="37">
        <f t="shared" si="5"/>
        <v>57.189542483660126</v>
      </c>
      <c r="J35" s="38">
        <f t="shared" si="6"/>
        <v>7.5706954155616027E-2</v>
      </c>
      <c r="L35" s="28"/>
      <c r="R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ht="15.6" x14ac:dyDescent="0.3">
      <c r="A36" s="48"/>
      <c r="B36" s="33" t="s">
        <v>93</v>
      </c>
      <c r="C36" s="49">
        <v>37924</v>
      </c>
      <c r="D36" s="49">
        <v>3274</v>
      </c>
      <c r="E36" s="50">
        <v>36.6</v>
      </c>
      <c r="F36" s="51">
        <v>2791</v>
      </c>
      <c r="G36" s="51">
        <v>1825</v>
      </c>
      <c r="H36" s="37">
        <f t="shared" si="4"/>
        <v>76.256830601092886</v>
      </c>
      <c r="I36" s="37">
        <f t="shared" si="5"/>
        <v>49.863387978142072</v>
      </c>
      <c r="J36" s="38">
        <f t="shared" si="6"/>
        <v>8.6330555848539187E-2</v>
      </c>
      <c r="K36" s="28"/>
      <c r="L36" s="28"/>
      <c r="R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ht="15.6" x14ac:dyDescent="0.3">
      <c r="B37" s="33" t="s">
        <v>94</v>
      </c>
      <c r="C37" s="49">
        <v>46751</v>
      </c>
      <c r="D37" s="49">
        <v>3496</v>
      </c>
      <c r="E37" s="50">
        <v>39.4</v>
      </c>
      <c r="F37" s="51">
        <v>3884</v>
      </c>
      <c r="G37" s="51">
        <v>2513</v>
      </c>
      <c r="H37" s="37">
        <f t="shared" si="4"/>
        <v>98.578680203045693</v>
      </c>
      <c r="I37" s="37">
        <f t="shared" si="5"/>
        <v>63.781725888324878</v>
      </c>
      <c r="J37" s="38">
        <f t="shared" si="6"/>
        <v>7.477914910910996E-2</v>
      </c>
      <c r="L37" s="28"/>
      <c r="R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ht="15.6" x14ac:dyDescent="0.3">
      <c r="B38" s="33" t="s">
        <v>95</v>
      </c>
      <c r="C38" s="49">
        <f>C37+P47-Q47</f>
        <v>49286</v>
      </c>
      <c r="D38" s="49">
        <f>D37+P50-Q50</f>
        <v>3455</v>
      </c>
      <c r="E38" s="50">
        <v>37.78</v>
      </c>
      <c r="F38" s="51">
        <v>3833</v>
      </c>
      <c r="G38" s="51">
        <v>3056</v>
      </c>
      <c r="H38" s="37">
        <f t="shared" si="4"/>
        <v>101.45579671784013</v>
      </c>
      <c r="I38" s="37">
        <f t="shared" si="5"/>
        <v>80.889359449444143</v>
      </c>
      <c r="J38" s="38">
        <f t="shared" si="6"/>
        <v>7.0101042892504975E-2</v>
      </c>
      <c r="L38" s="28"/>
      <c r="R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ht="14.4" x14ac:dyDescent="0.3">
      <c r="L39" s="28"/>
      <c r="R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ht="15" x14ac:dyDescent="0.3">
      <c r="A40" s="52" t="s">
        <v>96</v>
      </c>
      <c r="B40" s="53" t="s">
        <v>52</v>
      </c>
      <c r="C40" s="53" t="s">
        <v>53</v>
      </c>
      <c r="D40" s="53" t="s">
        <v>54</v>
      </c>
      <c r="E40" s="53" t="s">
        <v>55</v>
      </c>
      <c r="F40" s="53" t="s">
        <v>56</v>
      </c>
      <c r="G40" s="53" t="s">
        <v>57</v>
      </c>
      <c r="H40" s="54" t="s">
        <v>58</v>
      </c>
      <c r="I40" s="54" t="s">
        <v>59</v>
      </c>
      <c r="J40" s="54" t="s">
        <v>97</v>
      </c>
      <c r="K40" s="54" t="s">
        <v>60</v>
      </c>
      <c r="AB40" s="28"/>
      <c r="AC40" s="28"/>
      <c r="AD40" s="28"/>
      <c r="AE40" s="28"/>
      <c r="AF40" s="28"/>
      <c r="AG40" s="28"/>
      <c r="AH40" s="28"/>
      <c r="AI40" s="28"/>
    </row>
    <row r="41" spans="1:35" ht="15.6" x14ac:dyDescent="0.3">
      <c r="B41" s="55" t="s">
        <v>98</v>
      </c>
      <c r="C41" s="56">
        <f t="shared" ref="C41:D41" si="7">(C37/C12)^(1/25)-1</f>
        <v>0.20079744361402541</v>
      </c>
      <c r="D41" s="56">
        <f t="shared" si="7"/>
        <v>0.23744213615983423</v>
      </c>
      <c r="E41" s="56">
        <f t="shared" ref="E41:G41" si="8">((E37*20)/E12)^(1/25)-1</f>
        <v>0.25306825401331645</v>
      </c>
      <c r="F41" s="56">
        <f t="shared" si="8"/>
        <v>0.30246120622339667</v>
      </c>
      <c r="G41" s="56">
        <f t="shared" si="8"/>
        <v>0.34227932312906018</v>
      </c>
      <c r="H41" s="57">
        <f t="shared" ref="H41:I41" si="9">MEDIAN(H12:H37)</f>
        <v>49.793650793650798</v>
      </c>
      <c r="I41" s="57">
        <f t="shared" si="9"/>
        <v>24.382352941176471</v>
      </c>
      <c r="J41" s="58">
        <f t="shared" ref="J41:J44" si="10">AVERAGE(H41:I41)</f>
        <v>37.088001867413638</v>
      </c>
      <c r="K41" s="59">
        <f>MEDIAN(J12:J37)</f>
        <v>5.3417357227415599E-2</v>
      </c>
      <c r="AB41" s="28"/>
      <c r="AC41" s="28"/>
      <c r="AD41" s="28"/>
      <c r="AE41" s="28"/>
      <c r="AF41" s="28"/>
      <c r="AG41" s="28"/>
      <c r="AH41" s="28"/>
      <c r="AI41" s="28"/>
    </row>
    <row r="42" spans="1:35" ht="15.6" x14ac:dyDescent="0.3">
      <c r="B42" s="55" t="s">
        <v>99</v>
      </c>
      <c r="C42" s="56">
        <f>(C37/C22)^(1/10)-1</f>
        <v>0.28515360750800456</v>
      </c>
      <c r="D42" s="56">
        <f>(D37/D22)^(1/15)-1</f>
        <v>0.22879174932269142</v>
      </c>
      <c r="E42" s="56">
        <f t="shared" ref="E42:G42" si="11">(E37*20/E22)^(1/15)-1</f>
        <v>0.22842387276379417</v>
      </c>
      <c r="F42" s="56">
        <f t="shared" si="11"/>
        <v>0.31037653660741404</v>
      </c>
      <c r="G42" s="56">
        <f t="shared" si="11"/>
        <v>0.32840634828426762</v>
      </c>
      <c r="H42" s="57">
        <f t="shared" ref="H42:I42" si="12">MEDIAN(H22:H37)</f>
        <v>53.988432950697103</v>
      </c>
      <c r="I42" s="57">
        <f t="shared" si="12"/>
        <v>34.653997402089004</v>
      </c>
      <c r="J42" s="58">
        <f t="shared" si="10"/>
        <v>44.321215176393054</v>
      </c>
      <c r="K42" s="59">
        <f>MEDIAN(J22:J37)</f>
        <v>6.8477478477727838E-2</v>
      </c>
      <c r="AB42" s="28"/>
      <c r="AC42" s="28"/>
      <c r="AD42" s="28"/>
      <c r="AE42" s="28"/>
      <c r="AF42" s="28"/>
      <c r="AG42" s="28"/>
      <c r="AH42" s="28"/>
      <c r="AI42" s="28"/>
    </row>
    <row r="43" spans="1:35" ht="15.6" x14ac:dyDescent="0.3">
      <c r="A43" s="60"/>
      <c r="B43" s="55" t="s">
        <v>100</v>
      </c>
      <c r="C43" s="61">
        <f t="shared" ref="C43:G43" si="13">(C37/C32)^(1/5)-1</f>
        <v>0.18772887525986492</v>
      </c>
      <c r="D43" s="61">
        <f t="shared" si="13"/>
        <v>0.20274576296793034</v>
      </c>
      <c r="E43" s="61">
        <f t="shared" si="13"/>
        <v>0.20021195551531035</v>
      </c>
      <c r="F43" s="61">
        <f t="shared" si="13"/>
        <v>0.3099356152466306</v>
      </c>
      <c r="G43" s="61">
        <f t="shared" si="13"/>
        <v>0.2797828367086288</v>
      </c>
      <c r="H43" s="62">
        <f t="shared" ref="H43:I43" si="14">MEDIAN(H32:H37)</f>
        <v>90.413600456552444</v>
      </c>
      <c r="I43" s="62">
        <f t="shared" si="14"/>
        <v>58.150984259581548</v>
      </c>
      <c r="J43" s="58">
        <f t="shared" si="10"/>
        <v>74.282292358066996</v>
      </c>
      <c r="K43" s="63">
        <f>MEDIAN(J32:J37)</f>
        <v>7.2593535884430016E-2</v>
      </c>
      <c r="AB43" s="28"/>
      <c r="AC43" s="28"/>
      <c r="AD43" s="28"/>
      <c r="AE43" s="28"/>
      <c r="AF43" s="28"/>
      <c r="AG43" s="28"/>
      <c r="AH43" s="28"/>
      <c r="AI43" s="28"/>
    </row>
    <row r="44" spans="1:35" ht="15.6" x14ac:dyDescent="0.3">
      <c r="B44" s="64" t="s">
        <v>29</v>
      </c>
      <c r="C44" s="61">
        <f t="shared" ref="C44:G44" si="15">(C37/C36)-1</f>
        <v>0.23275498365151348</v>
      </c>
      <c r="D44" s="61">
        <f t="shared" si="15"/>
        <v>6.7806963958460642E-2</v>
      </c>
      <c r="E44" s="61">
        <f t="shared" si="15"/>
        <v>7.6502732240437021E-2</v>
      </c>
      <c r="F44" s="61">
        <f t="shared" si="15"/>
        <v>0.39161590827660331</v>
      </c>
      <c r="G44" s="61">
        <f t="shared" si="15"/>
        <v>0.37698630136986311</v>
      </c>
      <c r="H44" s="62">
        <f t="shared" ref="H44:I44" si="16">H37</f>
        <v>98.578680203045693</v>
      </c>
      <c r="I44" s="62">
        <f t="shared" si="16"/>
        <v>63.781725888324878</v>
      </c>
      <c r="J44" s="58">
        <f t="shared" si="10"/>
        <v>81.180203045685289</v>
      </c>
      <c r="K44" s="63">
        <f>J37</f>
        <v>7.477914910910996E-2</v>
      </c>
      <c r="AB44" s="28"/>
      <c r="AC44" s="28"/>
      <c r="AD44" s="28"/>
      <c r="AE44" s="28"/>
      <c r="AF44" s="28"/>
      <c r="AG44" s="28"/>
      <c r="AH44" s="28"/>
      <c r="AI44" s="28"/>
    </row>
    <row r="45" spans="1:35" ht="15" x14ac:dyDescent="0.3">
      <c r="A45" s="28"/>
      <c r="B45" s="65"/>
      <c r="C45" s="65"/>
      <c r="D45" s="65"/>
      <c r="E45" s="65"/>
      <c r="F45" s="66"/>
      <c r="G45" s="66"/>
      <c r="H45" s="2"/>
      <c r="I45" s="2"/>
      <c r="J45" s="40">
        <f>AVERAGE(J41:J43)</f>
        <v>51.897169800624567</v>
      </c>
      <c r="AB45" s="28"/>
      <c r="AC45" s="28"/>
      <c r="AD45" s="28"/>
      <c r="AE45" s="28"/>
      <c r="AF45" s="28"/>
      <c r="AG45" s="28"/>
      <c r="AH45" s="28"/>
      <c r="AI45" s="28"/>
    </row>
    <row r="46" spans="1:35" ht="15" x14ac:dyDescent="0.3">
      <c r="A46" s="67" t="s">
        <v>101</v>
      </c>
      <c r="B46" s="68" t="s">
        <v>52</v>
      </c>
      <c r="C46" s="68" t="s">
        <v>53</v>
      </c>
      <c r="D46" s="69" t="s">
        <v>102</v>
      </c>
      <c r="E46" s="68" t="s">
        <v>55</v>
      </c>
      <c r="F46" s="69" t="s">
        <v>103</v>
      </c>
      <c r="H46" s="70" t="s">
        <v>104</v>
      </c>
      <c r="I46" s="70" t="s">
        <v>105</v>
      </c>
      <c r="J46" s="70" t="s">
        <v>106</v>
      </c>
      <c r="K46" s="70" t="s">
        <v>107</v>
      </c>
      <c r="L46" s="70" t="s">
        <v>108</v>
      </c>
      <c r="M46" s="70" t="s">
        <v>109</v>
      </c>
      <c r="O46" s="70" t="s">
        <v>110</v>
      </c>
      <c r="P46" s="70" t="s">
        <v>108</v>
      </c>
      <c r="Q46" s="70" t="s">
        <v>111</v>
      </c>
      <c r="R46" s="71" t="s">
        <v>30</v>
      </c>
      <c r="T46" s="70" t="s">
        <v>110</v>
      </c>
      <c r="U46" s="70" t="s">
        <v>112</v>
      </c>
      <c r="V46" s="70" t="s">
        <v>113</v>
      </c>
      <c r="W46" s="71" t="s">
        <v>30</v>
      </c>
      <c r="Y46" s="70" t="s">
        <v>110</v>
      </c>
      <c r="Z46" s="70" t="s">
        <v>107</v>
      </c>
      <c r="AA46" s="70" t="s">
        <v>114</v>
      </c>
      <c r="AB46" s="71" t="s">
        <v>30</v>
      </c>
      <c r="AC46" s="28"/>
      <c r="AD46" s="28"/>
      <c r="AE46" s="28"/>
      <c r="AF46" s="28"/>
      <c r="AG46" s="28"/>
      <c r="AH46" s="28"/>
      <c r="AI46" s="28"/>
    </row>
    <row r="47" spans="1:35" ht="15.6" x14ac:dyDescent="0.3">
      <c r="A47" s="28"/>
      <c r="B47" s="72" t="s">
        <v>115</v>
      </c>
      <c r="C47" s="73">
        <v>0.15</v>
      </c>
      <c r="D47" s="73">
        <v>0.15</v>
      </c>
      <c r="E47" s="73">
        <v>0.15</v>
      </c>
      <c r="F47" s="74">
        <f>AVERAGE(K41:K44)</f>
        <v>6.7316880174670857E-2</v>
      </c>
      <c r="H47" s="75" t="s">
        <v>116</v>
      </c>
      <c r="I47" s="76">
        <v>0.23</v>
      </c>
      <c r="J47" s="76">
        <v>0.24</v>
      </c>
      <c r="K47" s="76">
        <v>0.23</v>
      </c>
      <c r="L47" s="76">
        <v>0.23</v>
      </c>
      <c r="M47" s="76">
        <v>0.23</v>
      </c>
      <c r="O47" s="77" t="s">
        <v>53</v>
      </c>
      <c r="P47" s="78">
        <v>13386</v>
      </c>
      <c r="Q47" s="78">
        <v>10851</v>
      </c>
      <c r="R47" s="79">
        <f t="shared" ref="R47:R53" si="17">(P47/Q47)-1</f>
        <v>0.23361902128836043</v>
      </c>
      <c r="T47" s="77" t="s">
        <v>53</v>
      </c>
      <c r="U47" s="78">
        <v>11229</v>
      </c>
      <c r="V47" s="78">
        <v>9215</v>
      </c>
      <c r="W47" s="79">
        <f t="shared" ref="W47:W53" si="18">(U47/V47)-1</f>
        <v>0.21855670103092772</v>
      </c>
      <c r="X47" s="28"/>
      <c r="Y47" s="77" t="s">
        <v>53</v>
      </c>
      <c r="Z47" s="78">
        <v>46751</v>
      </c>
      <c r="AA47" s="78">
        <v>37924</v>
      </c>
      <c r="AB47" s="79">
        <f t="shared" ref="AB47:AB53" si="19">(Z47/AA47)-1</f>
        <v>0.23275498365151348</v>
      </c>
      <c r="AC47" s="28"/>
      <c r="AD47" s="28"/>
      <c r="AE47" s="28"/>
      <c r="AF47" s="28"/>
      <c r="AG47" s="28"/>
      <c r="AH47" s="28"/>
      <c r="AI47" s="28"/>
    </row>
    <row r="48" spans="1:35" ht="15.6" x14ac:dyDescent="0.3">
      <c r="A48" s="28"/>
      <c r="B48" s="72" t="s">
        <v>117</v>
      </c>
      <c r="C48" s="73">
        <v>0.23</v>
      </c>
      <c r="D48" s="73">
        <f>(D51/D37)-1</f>
        <v>-0.12823292620137317</v>
      </c>
      <c r="E48" s="73">
        <v>-0.13</v>
      </c>
      <c r="F48" s="74">
        <v>5.2999999999999999E-2</v>
      </c>
      <c r="H48" s="75" t="s">
        <v>103</v>
      </c>
      <c r="I48" s="80">
        <v>7.8E-2</v>
      </c>
      <c r="J48" s="80">
        <v>7.6999999999999999E-2</v>
      </c>
      <c r="K48" s="80">
        <v>7.4999999999999997E-2</v>
      </c>
      <c r="L48" s="80">
        <v>5.2999999999999999E-2</v>
      </c>
      <c r="M48" s="80">
        <v>5.2999999999999999E-2</v>
      </c>
      <c r="O48" s="81" t="s">
        <v>118</v>
      </c>
      <c r="P48" s="78">
        <v>12413</v>
      </c>
      <c r="Q48" s="78">
        <v>11009</v>
      </c>
      <c r="R48" s="79">
        <f t="shared" si="17"/>
        <v>0.12753201925697155</v>
      </c>
      <c r="T48" s="81" t="s">
        <v>118</v>
      </c>
      <c r="U48" s="78">
        <v>11662</v>
      </c>
      <c r="V48" s="78">
        <v>9486</v>
      </c>
      <c r="W48" s="79">
        <f t="shared" si="18"/>
        <v>0.22939068100358417</v>
      </c>
      <c r="X48" s="28"/>
      <c r="Y48" s="81" t="s">
        <v>118</v>
      </c>
      <c r="Z48" s="78">
        <v>46995</v>
      </c>
      <c r="AA48" s="78">
        <v>36437</v>
      </c>
      <c r="AB48" s="79">
        <f t="shared" si="19"/>
        <v>0.28976040837610118</v>
      </c>
      <c r="AC48" s="28"/>
      <c r="AD48" s="28"/>
      <c r="AE48" s="28"/>
      <c r="AF48" s="28"/>
      <c r="AG48" s="28"/>
      <c r="AH48" s="28"/>
      <c r="AI48" s="28"/>
    </row>
    <row r="49" spans="1:35" ht="15.6" x14ac:dyDescent="0.3">
      <c r="A49" s="28"/>
      <c r="B49" s="65"/>
      <c r="C49" s="65"/>
      <c r="D49" s="82"/>
      <c r="E49" s="65"/>
      <c r="F49" s="66"/>
      <c r="G49" s="2"/>
      <c r="H49" s="75" t="s">
        <v>102</v>
      </c>
      <c r="I49" s="76">
        <v>0.03</v>
      </c>
      <c r="J49" s="76">
        <v>7.0000000000000007E-2</v>
      </c>
      <c r="K49" s="76">
        <v>7.0000000000000007E-2</v>
      </c>
      <c r="L49" s="76">
        <v>-0.05</v>
      </c>
      <c r="M49" s="76">
        <v>-0.13</v>
      </c>
      <c r="O49" s="81" t="s">
        <v>119</v>
      </c>
      <c r="P49" s="78">
        <v>230</v>
      </c>
      <c r="Q49" s="78">
        <v>109</v>
      </c>
      <c r="R49" s="79">
        <f t="shared" si="17"/>
        <v>1.1100917431192658</v>
      </c>
      <c r="S49" s="28"/>
      <c r="T49" s="81" t="s">
        <v>119</v>
      </c>
      <c r="U49" s="78">
        <v>201</v>
      </c>
      <c r="V49" s="78">
        <v>96</v>
      </c>
      <c r="W49" s="79">
        <f t="shared" si="18"/>
        <v>1.09375</v>
      </c>
      <c r="X49" s="28"/>
      <c r="Y49" s="81" t="s">
        <v>119</v>
      </c>
      <c r="Z49" s="78">
        <v>619</v>
      </c>
      <c r="AA49" s="78">
        <v>300</v>
      </c>
      <c r="AB49" s="79">
        <f t="shared" si="19"/>
        <v>1.0633333333333335</v>
      </c>
      <c r="AC49" s="28"/>
      <c r="AD49" s="28"/>
      <c r="AE49" s="28"/>
      <c r="AF49" s="28"/>
      <c r="AG49" s="28"/>
      <c r="AH49" s="28"/>
      <c r="AI49" s="28"/>
    </row>
    <row r="50" spans="1:35" ht="15.6" x14ac:dyDescent="0.3">
      <c r="A50" s="28"/>
      <c r="B50" s="67" t="s">
        <v>52</v>
      </c>
      <c r="C50" s="67" t="s">
        <v>53</v>
      </c>
      <c r="D50" s="67" t="s">
        <v>54</v>
      </c>
      <c r="E50" s="67" t="s">
        <v>55</v>
      </c>
      <c r="F50" s="67" t="s">
        <v>120</v>
      </c>
      <c r="G50" s="2"/>
      <c r="O50" s="83" t="s">
        <v>54</v>
      </c>
      <c r="P50" s="84">
        <v>715</v>
      </c>
      <c r="Q50" s="84">
        <v>756</v>
      </c>
      <c r="R50" s="79">
        <f t="shared" si="17"/>
        <v>-5.4232804232804188E-2</v>
      </c>
      <c r="S50" s="28"/>
      <c r="T50" s="83" t="s">
        <v>54</v>
      </c>
      <c r="U50" s="84">
        <v>771</v>
      </c>
      <c r="V50" s="84">
        <v>736</v>
      </c>
      <c r="W50" s="79">
        <f t="shared" si="18"/>
        <v>4.7554347826086918E-2</v>
      </c>
      <c r="X50" s="28"/>
      <c r="Y50" s="83" t="s">
        <v>54</v>
      </c>
      <c r="Z50" s="84">
        <v>3496</v>
      </c>
      <c r="AA50" s="84">
        <v>3274</v>
      </c>
      <c r="AB50" s="79">
        <f t="shared" si="19"/>
        <v>6.7806963958460642E-2</v>
      </c>
      <c r="AC50" s="28"/>
      <c r="AD50" s="28"/>
      <c r="AE50" s="28"/>
      <c r="AF50" s="28"/>
      <c r="AG50" s="28"/>
      <c r="AH50" s="28"/>
      <c r="AI50" s="28"/>
    </row>
    <row r="51" spans="1:35" ht="15.6" x14ac:dyDescent="0.3">
      <c r="A51" s="28"/>
      <c r="B51" s="85" t="s">
        <v>121</v>
      </c>
      <c r="C51" s="86">
        <f>FV(C48,1,0,-C37,0)</f>
        <v>57503.729999999996</v>
      </c>
      <c r="D51" s="86">
        <f>C51*F48</f>
        <v>3047.6976899999995</v>
      </c>
      <c r="E51" s="86">
        <f>FV(E48,1,0,-E37,0)</f>
        <v>34.277999999999999</v>
      </c>
      <c r="F51" s="87">
        <f t="shared" ref="F51:F53" si="20">E51*40</f>
        <v>1371.12</v>
      </c>
      <c r="G51" s="88"/>
      <c r="H51" s="70" t="s">
        <v>122</v>
      </c>
      <c r="I51" s="70" t="s">
        <v>123</v>
      </c>
      <c r="J51" s="70" t="s">
        <v>124</v>
      </c>
      <c r="K51" s="70" t="s">
        <v>112</v>
      </c>
      <c r="L51" s="70" t="s">
        <v>125</v>
      </c>
      <c r="M51" s="70" t="s">
        <v>126</v>
      </c>
      <c r="O51" s="77" t="s">
        <v>55</v>
      </c>
      <c r="P51" s="89">
        <v>8.06</v>
      </c>
      <c r="Q51" s="89">
        <v>8.48</v>
      </c>
      <c r="R51" s="79">
        <f t="shared" si="17"/>
        <v>-4.952830188679247E-2</v>
      </c>
      <c r="T51" s="77" t="s">
        <v>55</v>
      </c>
      <c r="U51" s="89">
        <v>8.6999999999999993</v>
      </c>
      <c r="V51" s="89">
        <v>8.2200000000000006</v>
      </c>
      <c r="W51" s="79">
        <f t="shared" si="18"/>
        <v>5.8394160583941535E-2</v>
      </c>
      <c r="X51" s="28"/>
      <c r="Y51" s="77" t="s">
        <v>55</v>
      </c>
      <c r="Z51" s="89">
        <v>39.4</v>
      </c>
      <c r="AA51" s="89">
        <v>36.6</v>
      </c>
      <c r="AB51" s="79">
        <f t="shared" si="19"/>
        <v>7.6502732240437021E-2</v>
      </c>
      <c r="AC51" s="28"/>
      <c r="AD51" s="28"/>
      <c r="AE51" s="28"/>
      <c r="AF51" s="28"/>
      <c r="AG51" s="28"/>
      <c r="AH51" s="28"/>
      <c r="AI51" s="28"/>
    </row>
    <row r="52" spans="1:35" ht="15.6" x14ac:dyDescent="0.3">
      <c r="A52" s="28"/>
      <c r="B52" s="85" t="s">
        <v>127</v>
      </c>
      <c r="C52" s="86">
        <f>FV(C47,5,0,-C51,0)</f>
        <v>115660.54064355933</v>
      </c>
      <c r="D52" s="86">
        <f>C52*F47</f>
        <v>7785.9067554401317</v>
      </c>
      <c r="E52" s="86">
        <f>(D52*E51)/D51</f>
        <v>87.569483232760149</v>
      </c>
      <c r="F52" s="87">
        <f t="shared" si="20"/>
        <v>3502.779329310406</v>
      </c>
      <c r="G52" s="39"/>
      <c r="H52" s="75" t="s">
        <v>126</v>
      </c>
      <c r="I52" s="90">
        <v>10.31</v>
      </c>
      <c r="J52" s="90">
        <v>11.91</v>
      </c>
      <c r="K52" s="90">
        <v>7.5</v>
      </c>
      <c r="L52" s="90">
        <v>8.06</v>
      </c>
      <c r="M52" s="91">
        <f>SUM(I52:L52)</f>
        <v>37.78</v>
      </c>
      <c r="O52" s="77" t="s">
        <v>60</v>
      </c>
      <c r="P52" s="92">
        <f t="shared" ref="P52:Q52" si="21">P50/P47</f>
        <v>5.3414014642163457E-2</v>
      </c>
      <c r="Q52" s="92">
        <f t="shared" si="21"/>
        <v>6.9670998064694498E-2</v>
      </c>
      <c r="R52" s="79">
        <f t="shared" si="17"/>
        <v>-0.2333393215845031</v>
      </c>
      <c r="T52" s="77" t="s">
        <v>60</v>
      </c>
      <c r="U52" s="92">
        <f t="shared" ref="U52:V52" si="22">U50/U47</f>
        <v>6.8661501469409567E-2</v>
      </c>
      <c r="V52" s="92">
        <f t="shared" si="22"/>
        <v>7.9869777536625067E-2</v>
      </c>
      <c r="W52" s="79">
        <f t="shared" si="18"/>
        <v>-0.14033188037960709</v>
      </c>
      <c r="X52" s="28"/>
      <c r="Y52" s="77" t="s">
        <v>60</v>
      </c>
      <c r="Z52" s="92">
        <f t="shared" ref="Z52:AA52" si="23">Z50/Z47</f>
        <v>7.477914910910996E-2</v>
      </c>
      <c r="AA52" s="92">
        <f t="shared" si="23"/>
        <v>8.6330555848539187E-2</v>
      </c>
      <c r="AB52" s="79">
        <f t="shared" si="19"/>
        <v>-0.13380438276912465</v>
      </c>
      <c r="AC52" s="28"/>
      <c r="AD52" s="28"/>
      <c r="AE52" s="28"/>
      <c r="AF52" s="28"/>
      <c r="AG52" s="28"/>
      <c r="AH52" s="28"/>
      <c r="AI52" s="28"/>
    </row>
    <row r="53" spans="1:35" ht="15.6" x14ac:dyDescent="0.3">
      <c r="A53" s="28"/>
      <c r="B53" s="85" t="s">
        <v>128</v>
      </c>
      <c r="C53" s="86">
        <f t="shared" ref="C53:E53" si="24">FV(12%,5,0,-C52,0)</f>
        <v>203833.39187759242</v>
      </c>
      <c r="D53" s="86">
        <f t="shared" si="24"/>
        <v>13721.428016620617</v>
      </c>
      <c r="E53" s="86">
        <f t="shared" si="24"/>
        <v>154.32735047737674</v>
      </c>
      <c r="F53" s="87">
        <f t="shared" si="20"/>
        <v>6173.0940190950696</v>
      </c>
      <c r="G53" s="40"/>
      <c r="O53" s="77" t="s">
        <v>41</v>
      </c>
      <c r="P53" s="93">
        <f t="shared" ref="P53:Q53" si="25">(P47-P48+P49)/P49</f>
        <v>5.2304347826086959</v>
      </c>
      <c r="Q53" s="93">
        <f t="shared" si="25"/>
        <v>-0.44954128440366975</v>
      </c>
      <c r="R53" s="79">
        <f t="shared" si="17"/>
        <v>-12.635048802129548</v>
      </c>
      <c r="T53" s="77" t="s">
        <v>41</v>
      </c>
      <c r="U53" s="93">
        <f t="shared" ref="U53:V53" si="26">(U47-U48+U49)/U49</f>
        <v>-1.1542288557213931</v>
      </c>
      <c r="V53" s="93">
        <f t="shared" si="26"/>
        <v>-1.8229166666666667</v>
      </c>
      <c r="W53" s="79">
        <f t="shared" si="18"/>
        <v>-0.36682302771855013</v>
      </c>
      <c r="X53" s="28"/>
      <c r="Y53" s="77" t="s">
        <v>41</v>
      </c>
      <c r="Z53" s="93">
        <f t="shared" ref="Z53:AA53" si="27">(Z47-Z48+Z49)/Z49</f>
        <v>0.60581583198707589</v>
      </c>
      <c r="AA53" s="93">
        <f t="shared" si="27"/>
        <v>5.956666666666667</v>
      </c>
      <c r="AB53" s="79">
        <f t="shared" si="19"/>
        <v>-0.89829616698594139</v>
      </c>
      <c r="AC53" s="28"/>
      <c r="AD53" s="28"/>
      <c r="AE53" s="28"/>
      <c r="AF53" s="28"/>
      <c r="AG53" s="28"/>
      <c r="AH53" s="28"/>
      <c r="AI53" s="28"/>
    </row>
    <row r="54" spans="1:35" ht="15" x14ac:dyDescent="0.3">
      <c r="A54" s="2"/>
      <c r="B54" s="40"/>
      <c r="C54" s="40"/>
      <c r="D54" s="40"/>
      <c r="E54" s="40"/>
      <c r="F54" s="40"/>
      <c r="G54" s="40"/>
      <c r="J54" s="94" t="s">
        <v>129</v>
      </c>
      <c r="K54" s="94" t="s">
        <v>130</v>
      </c>
      <c r="L54" s="94" t="s">
        <v>131</v>
      </c>
      <c r="M54" s="94" t="s">
        <v>132</v>
      </c>
      <c r="U54" s="28"/>
      <c r="AB54" s="28"/>
      <c r="AC54" s="28"/>
      <c r="AD54" s="28"/>
      <c r="AE54" s="28"/>
      <c r="AF54" s="28"/>
      <c r="AG54" s="28"/>
      <c r="AH54" s="28"/>
      <c r="AI54" s="28"/>
    </row>
    <row r="55" spans="1:35" ht="17.399999999999999" x14ac:dyDescent="0.35">
      <c r="A55" s="28"/>
      <c r="D55" s="28"/>
      <c r="E55" s="28"/>
      <c r="F55" s="28"/>
      <c r="G55" s="28"/>
      <c r="J55" s="95">
        <v>39.4</v>
      </c>
      <c r="K55" s="90">
        <v>37.78</v>
      </c>
      <c r="L55" s="96">
        <v>34.299999999999997</v>
      </c>
      <c r="M55" s="97"/>
      <c r="O55" s="70" t="s">
        <v>133</v>
      </c>
      <c r="P55" s="70" t="s">
        <v>108</v>
      </c>
      <c r="Q55" s="70" t="s">
        <v>111</v>
      </c>
      <c r="R55" s="70" t="s">
        <v>134</v>
      </c>
      <c r="S55" s="70" t="s">
        <v>30</v>
      </c>
      <c r="U55" s="70" t="s">
        <v>135</v>
      </c>
      <c r="V55" s="70" t="s">
        <v>108</v>
      </c>
      <c r="W55" s="70" t="s">
        <v>111</v>
      </c>
      <c r="X55" s="70" t="s">
        <v>134</v>
      </c>
      <c r="Y55" s="70" t="s">
        <v>30</v>
      </c>
      <c r="AB55" s="28"/>
      <c r="AC55" s="28"/>
      <c r="AD55" s="28"/>
      <c r="AE55" s="28"/>
      <c r="AF55" s="28"/>
      <c r="AG55" s="28"/>
      <c r="AH55" s="28"/>
      <c r="AI55" s="28"/>
    </row>
    <row r="56" spans="1:35" ht="17.399999999999999" x14ac:dyDescent="0.35">
      <c r="A56" s="28"/>
      <c r="D56" s="28"/>
      <c r="E56" s="28"/>
      <c r="F56" s="28"/>
      <c r="G56" s="28"/>
      <c r="J56" s="94" t="s">
        <v>136</v>
      </c>
      <c r="K56" s="94" t="s">
        <v>137</v>
      </c>
      <c r="L56" s="94" t="s">
        <v>138</v>
      </c>
      <c r="M56" s="98">
        <f ca="1">L57/-13</f>
        <v>-8.447746131419601</v>
      </c>
      <c r="O56" s="75" t="s">
        <v>139</v>
      </c>
      <c r="P56" s="75">
        <v>11808</v>
      </c>
      <c r="Q56" s="75">
        <v>10696</v>
      </c>
      <c r="R56" s="99">
        <f t="shared" ref="R56:R60" si="28">P56/$P$62</f>
        <v>0.88211564320932312</v>
      </c>
      <c r="S56" s="99">
        <f t="shared" ref="S56:S60" si="29">(P56/Q56)-1</f>
        <v>0.10396409872849666</v>
      </c>
      <c r="U56" s="75" t="s">
        <v>140</v>
      </c>
      <c r="V56" s="75">
        <v>10155</v>
      </c>
      <c r="W56" s="75">
        <v>7105</v>
      </c>
      <c r="X56" s="99">
        <f t="shared" ref="X56:X63" si="30">V56/$V$65</f>
        <v>0.82000968992248058</v>
      </c>
      <c r="Y56" s="99">
        <f t="shared" ref="Y56:Y63" si="31">(V56/W56)-1</f>
        <v>0.42927515833919783</v>
      </c>
    </row>
    <row r="57" spans="1:35" ht="17.399999999999999" x14ac:dyDescent="0.35">
      <c r="J57" s="100">
        <f>C4/J55</f>
        <v>96.497461928934015</v>
      </c>
      <c r="K57" s="100">
        <f ca="1">C3/K55</f>
        <v>99.704870301746951</v>
      </c>
      <c r="L57" s="100">
        <f ca="1">C3/L55</f>
        <v>109.82069970845481</v>
      </c>
      <c r="M57" s="97"/>
      <c r="O57" s="75" t="s">
        <v>141</v>
      </c>
      <c r="P57" s="75">
        <v>1023</v>
      </c>
      <c r="Q57" s="75">
        <v>913</v>
      </c>
      <c r="R57" s="99">
        <f t="shared" si="28"/>
        <v>7.6423128641864638E-2</v>
      </c>
      <c r="S57" s="99">
        <f t="shared" si="29"/>
        <v>0.12048192771084332</v>
      </c>
      <c r="U57" s="75" t="s">
        <v>142</v>
      </c>
      <c r="V57" s="75">
        <v>1708</v>
      </c>
      <c r="W57" s="75">
        <v>1139</v>
      </c>
      <c r="X57" s="99">
        <f t="shared" si="30"/>
        <v>0.13791989664082688</v>
      </c>
      <c r="Y57" s="99">
        <f t="shared" si="31"/>
        <v>0.49956101843722567</v>
      </c>
    </row>
    <row r="58" spans="1:35" ht="14.4" x14ac:dyDescent="0.3">
      <c r="O58" s="75" t="s">
        <v>143</v>
      </c>
      <c r="P58" s="75">
        <v>210</v>
      </c>
      <c r="Q58" s="75">
        <v>203</v>
      </c>
      <c r="R58" s="99">
        <f t="shared" si="28"/>
        <v>1.5688032272523533E-2</v>
      </c>
      <c r="S58" s="99">
        <f t="shared" si="29"/>
        <v>3.4482758620689724E-2</v>
      </c>
      <c r="U58" s="75" t="s">
        <v>144</v>
      </c>
      <c r="V58" s="75">
        <v>-1527</v>
      </c>
      <c r="W58" s="75">
        <v>1011</v>
      </c>
      <c r="X58" s="99">
        <f t="shared" si="30"/>
        <v>-0.12330426356589147</v>
      </c>
      <c r="Y58" s="99">
        <f t="shared" si="31"/>
        <v>-2.5103857566765582</v>
      </c>
    </row>
    <row r="59" spans="1:35" ht="14.4" x14ac:dyDescent="0.3">
      <c r="O59" s="75" t="s">
        <v>145</v>
      </c>
      <c r="P59" s="75">
        <v>277</v>
      </c>
      <c r="Q59" s="75">
        <v>137</v>
      </c>
      <c r="R59" s="99">
        <f t="shared" si="28"/>
        <v>2.0693261616614372E-2</v>
      </c>
      <c r="S59" s="99">
        <f t="shared" si="29"/>
        <v>1.0218978102189782</v>
      </c>
      <c r="U59" s="75" t="s">
        <v>146</v>
      </c>
      <c r="V59" s="75">
        <v>523</v>
      </c>
      <c r="W59" s="75">
        <v>448</v>
      </c>
      <c r="X59" s="99">
        <f t="shared" si="30"/>
        <v>4.2231912144702843E-2</v>
      </c>
      <c r="Y59" s="99">
        <f t="shared" si="31"/>
        <v>0.16741071428571419</v>
      </c>
    </row>
    <row r="60" spans="1:35" ht="14.4" x14ac:dyDescent="0.3">
      <c r="O60" s="75" t="s">
        <v>147</v>
      </c>
      <c r="P60" s="75">
        <v>68</v>
      </c>
      <c r="Q60" s="75">
        <v>62</v>
      </c>
      <c r="R60" s="99">
        <f t="shared" si="28"/>
        <v>5.0799342596742868E-3</v>
      </c>
      <c r="S60" s="99">
        <f t="shared" si="29"/>
        <v>9.6774193548387011E-2</v>
      </c>
      <c r="U60" s="75" t="s">
        <v>148</v>
      </c>
      <c r="V60" s="75">
        <v>164</v>
      </c>
      <c r="W60" s="75">
        <v>128</v>
      </c>
      <c r="X60" s="99">
        <f t="shared" si="30"/>
        <v>1.3242894056847546E-2</v>
      </c>
      <c r="Y60" s="99">
        <f t="shared" si="31"/>
        <v>0.28125</v>
      </c>
    </row>
    <row r="61" spans="1:35" ht="14.4" x14ac:dyDescent="0.3">
      <c r="O61" s="28"/>
      <c r="P61" s="28"/>
      <c r="Q61" s="28"/>
      <c r="R61" s="28"/>
      <c r="S61" s="28"/>
      <c r="U61" s="75" t="s">
        <v>149</v>
      </c>
      <c r="V61" s="75">
        <v>290</v>
      </c>
      <c r="W61" s="75">
        <v>274</v>
      </c>
      <c r="X61" s="99">
        <f t="shared" si="30"/>
        <v>2.3417312661498709E-2</v>
      </c>
      <c r="Y61" s="99">
        <f t="shared" si="31"/>
        <v>5.8394160583941535E-2</v>
      </c>
    </row>
    <row r="62" spans="1:35" ht="15.6" x14ac:dyDescent="0.3">
      <c r="O62" s="101" t="s">
        <v>150</v>
      </c>
      <c r="P62" s="101">
        <f t="shared" ref="P62:Q62" si="32">SUM(P56:P60)</f>
        <v>13386</v>
      </c>
      <c r="Q62" s="101">
        <f t="shared" si="32"/>
        <v>12011</v>
      </c>
      <c r="R62" s="99">
        <f>P62/$P$62</f>
        <v>1</v>
      </c>
      <c r="S62" s="102">
        <f>(P62/Q62)-1</f>
        <v>0.1144783948047623</v>
      </c>
      <c r="U62" s="75" t="s">
        <v>119</v>
      </c>
      <c r="V62" s="78">
        <v>201</v>
      </c>
      <c r="W62" s="78">
        <v>96</v>
      </c>
      <c r="X62" s="99">
        <f t="shared" si="30"/>
        <v>1.6230620155038761E-2</v>
      </c>
      <c r="Y62" s="99">
        <f t="shared" si="31"/>
        <v>1.09375</v>
      </c>
    </row>
    <row r="63" spans="1:35" ht="14.4" x14ac:dyDescent="0.3">
      <c r="U63" s="75" t="s">
        <v>151</v>
      </c>
      <c r="V63" s="75">
        <v>870</v>
      </c>
      <c r="W63" s="75">
        <v>795</v>
      </c>
      <c r="X63" s="99">
        <f t="shared" si="30"/>
        <v>7.0251937984496124E-2</v>
      </c>
      <c r="Y63" s="99">
        <f t="shared" si="31"/>
        <v>9.4339622641509413E-2</v>
      </c>
    </row>
    <row r="64" spans="1:35" ht="14.4" x14ac:dyDescent="0.3">
      <c r="U64" s="28"/>
      <c r="V64" s="28"/>
      <c r="W64" s="28"/>
      <c r="X64" s="28"/>
      <c r="Y64" s="28"/>
    </row>
    <row r="65" spans="15:25" ht="14.4" x14ac:dyDescent="0.3">
      <c r="U65" s="103" t="s">
        <v>150</v>
      </c>
      <c r="V65" s="103">
        <f t="shared" ref="V65:W65" si="33">SUM(V56:V63)</f>
        <v>12384</v>
      </c>
      <c r="W65" s="103">
        <f t="shared" si="33"/>
        <v>10996</v>
      </c>
      <c r="X65" s="104">
        <f>V65/$V$65</f>
        <v>1</v>
      </c>
      <c r="Y65" s="105">
        <f>(V65/W65)-1</f>
        <v>0.1262277191706076</v>
      </c>
    </row>
    <row r="66" spans="15:25" ht="15" x14ac:dyDescent="0.3">
      <c r="O66" s="69" t="s">
        <v>152</v>
      </c>
      <c r="P66" s="69" t="s">
        <v>85</v>
      </c>
      <c r="Q66" s="69" t="s">
        <v>114</v>
      </c>
    </row>
    <row r="67" spans="15:25" ht="13.8" x14ac:dyDescent="0.3">
      <c r="O67" s="12" t="s">
        <v>153</v>
      </c>
      <c r="P67" s="106">
        <v>0.53</v>
      </c>
      <c r="Q67" s="107">
        <v>0.53</v>
      </c>
    </row>
    <row r="68" spans="15:25" ht="13.8" x14ac:dyDescent="0.3">
      <c r="O68" s="12" t="s">
        <v>154</v>
      </c>
      <c r="P68" s="106">
        <f>1.91%+3.41%</f>
        <v>5.3199999999999997E-2</v>
      </c>
      <c r="Q68" s="107">
        <v>0.113</v>
      </c>
    </row>
    <row r="69" spans="15:25" ht="13.8" x14ac:dyDescent="0.3">
      <c r="O69" s="12" t="s">
        <v>155</v>
      </c>
      <c r="P69" s="106">
        <v>0.19719999999999999</v>
      </c>
      <c r="Q69" s="107">
        <v>0.17530000000000001</v>
      </c>
    </row>
    <row r="70" spans="15:25" ht="13.8" x14ac:dyDescent="0.3">
      <c r="O70" s="12" t="s">
        <v>156</v>
      </c>
      <c r="P70" s="106">
        <v>9.9599999999999994E-2</v>
      </c>
      <c r="Q70" s="107">
        <v>9.6699999999999994E-2</v>
      </c>
    </row>
    <row r="71" spans="15:25" ht="14.4" x14ac:dyDescent="0.3">
      <c r="O71" s="108" t="s">
        <v>157</v>
      </c>
      <c r="P71" s="106">
        <v>8.5999999999999993E-2</v>
      </c>
      <c r="Q71" s="107">
        <v>5.1700000000000003E-2</v>
      </c>
    </row>
    <row r="72" spans="15:25" ht="13.8" x14ac:dyDescent="0.3">
      <c r="O72" s="12" t="s">
        <v>145</v>
      </c>
      <c r="P72" s="106">
        <v>0.03</v>
      </c>
      <c r="Q72" s="107">
        <v>0.03</v>
      </c>
    </row>
    <row r="73" spans="15:25" ht="13.8" x14ac:dyDescent="0.3"/>
    <row r="74" spans="15:25" ht="13.8" x14ac:dyDescent="0.3">
      <c r="O74" s="109" t="s">
        <v>150</v>
      </c>
      <c r="P74" s="110">
        <f t="shared" ref="P74:Q74" si="34">SUM(P67:P72)</f>
        <v>0.996</v>
      </c>
      <c r="Q74" s="111">
        <f t="shared" si="34"/>
        <v>0.99670000000000003</v>
      </c>
    </row>
    <row r="75" spans="15:25" ht="13.8" x14ac:dyDescent="0.3"/>
    <row r="76" spans="15:25" ht="13.8" x14ac:dyDescent="0.3"/>
    <row r="77" spans="15:25" ht="13.8" x14ac:dyDescent="0.3"/>
    <row r="78" spans="15:25" ht="13.8" x14ac:dyDescent="0.3"/>
    <row r="79" spans="15:25" ht="13.8" x14ac:dyDescent="0.3"/>
    <row r="80" spans="15:25" ht="13.8" x14ac:dyDescent="0.3"/>
    <row r="81" spans="13:17" ht="13.8" x14ac:dyDescent="0.3"/>
    <row r="82" spans="13:17" ht="13.8" x14ac:dyDescent="0.3"/>
    <row r="83" spans="13:17" ht="13.8" x14ac:dyDescent="0.3"/>
    <row r="84" spans="13:17" ht="13.8" x14ac:dyDescent="0.3"/>
    <row r="85" spans="13:17" ht="14.4" x14ac:dyDescent="0.3">
      <c r="M85" s="2"/>
      <c r="N85" s="2"/>
      <c r="O85" s="40"/>
      <c r="P85" s="44"/>
      <c r="Q85" s="28"/>
    </row>
    <row r="86" spans="13:17" ht="13.8" x14ac:dyDescent="0.3"/>
    <row r="87" spans="13:17" ht="13.8" x14ac:dyDescent="0.3"/>
    <row r="88" spans="13:17" ht="13.8" x14ac:dyDescent="0.3"/>
    <row r="89" spans="13:17" ht="13.8" x14ac:dyDescent="0.3"/>
    <row r="90" spans="13:17" ht="13.8" x14ac:dyDescent="0.3"/>
    <row r="91" spans="13:17" ht="13.8" x14ac:dyDescent="0.3"/>
    <row r="92" spans="13:17" ht="13.8" x14ac:dyDescent="0.3"/>
    <row r="93" spans="13:17" ht="13.8" x14ac:dyDescent="0.3"/>
    <row r="94" spans="13:17" ht="13.8" x14ac:dyDescent="0.3"/>
    <row r="95" spans="13:17" ht="13.8" x14ac:dyDescent="0.3"/>
    <row r="96" spans="13:17" ht="13.8" x14ac:dyDescent="0.3"/>
    <row r="97" spans="2:26" ht="13.8" x14ac:dyDescent="0.3"/>
    <row r="98" spans="2:26" ht="13.8" x14ac:dyDescent="0.3"/>
    <row r="99" spans="2:26" ht="13.8" x14ac:dyDescent="0.3"/>
    <row r="100" spans="2:26" ht="13.8" x14ac:dyDescent="0.3"/>
    <row r="101" spans="2:26" ht="13.8" x14ac:dyDescent="0.3"/>
    <row r="102" spans="2:26" ht="13.8" x14ac:dyDescent="0.3"/>
    <row r="103" spans="2:26" ht="13.8" x14ac:dyDescent="0.3"/>
    <row r="104" spans="2:26" ht="13.8" x14ac:dyDescent="0.3"/>
    <row r="105" spans="2:26" ht="13.8" x14ac:dyDescent="0.3"/>
    <row r="106" spans="2:26" ht="13.8" x14ac:dyDescent="0.3"/>
    <row r="107" spans="2:26" ht="13.8" x14ac:dyDescent="0.3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2:26" ht="13.8" x14ac:dyDescent="0.3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88"/>
    </row>
    <row r="109" spans="2:26" ht="13.8" x14ac:dyDescent="0.3"/>
    <row r="110" spans="2:26" ht="13.8" x14ac:dyDescent="0.3"/>
    <row r="111" spans="2:26" ht="13.8" x14ac:dyDescent="0.3"/>
    <row r="112" spans="2:26" ht="13.8" x14ac:dyDescent="0.3"/>
    <row r="113" ht="13.8" x14ac:dyDescent="0.3"/>
    <row r="114" ht="13.8" x14ac:dyDescent="0.3"/>
    <row r="115" ht="13.8" x14ac:dyDescent="0.3"/>
    <row r="116" ht="13.8" x14ac:dyDescent="0.3"/>
    <row r="117" ht="13.8" x14ac:dyDescent="0.3"/>
    <row r="118" ht="13.8" x14ac:dyDescent="0.3"/>
    <row r="119" ht="13.8" x14ac:dyDescent="0.3"/>
    <row r="120" ht="13.8" x14ac:dyDescent="0.3"/>
    <row r="121" ht="13.8" x14ac:dyDescent="0.3"/>
    <row r="122" ht="13.8" x14ac:dyDescent="0.3"/>
    <row r="123" ht="13.8" x14ac:dyDescent="0.3"/>
    <row r="124" ht="13.8" x14ac:dyDescent="0.3"/>
    <row r="125" ht="13.8" x14ac:dyDescent="0.3"/>
    <row r="126" ht="13.8" x14ac:dyDescent="0.3"/>
    <row r="127" ht="13.8" x14ac:dyDescent="0.3"/>
    <row r="128" ht="13.8" x14ac:dyDescent="0.3"/>
    <row r="129" ht="13.8" x14ac:dyDescent="0.3"/>
    <row r="130" ht="13.8" x14ac:dyDescent="0.3"/>
    <row r="131" ht="13.8" x14ac:dyDescent="0.3"/>
    <row r="132" ht="13.8" x14ac:dyDescent="0.3"/>
    <row r="133" ht="13.8" x14ac:dyDescent="0.3"/>
    <row r="134" ht="13.8" x14ac:dyDescent="0.3"/>
    <row r="135" ht="13.8" x14ac:dyDescent="0.3"/>
    <row r="136" ht="13.8" x14ac:dyDescent="0.3"/>
    <row r="137" ht="13.8" x14ac:dyDescent="0.3"/>
    <row r="138" ht="13.8" x14ac:dyDescent="0.3"/>
    <row r="139" ht="13.8" x14ac:dyDescent="0.3"/>
    <row r="140" ht="13.8" x14ac:dyDescent="0.3"/>
    <row r="141" ht="13.8" x14ac:dyDescent="0.3"/>
    <row r="142" ht="13.8" x14ac:dyDescent="0.3"/>
    <row r="143" ht="13.8" x14ac:dyDescent="0.3"/>
    <row r="144" ht="13.8" x14ac:dyDescent="0.3"/>
    <row r="145" ht="13.8" x14ac:dyDescent="0.3"/>
    <row r="146" ht="13.8" x14ac:dyDescent="0.3"/>
    <row r="147" ht="13.8" x14ac:dyDescent="0.3"/>
    <row r="148" ht="13.8" x14ac:dyDescent="0.3"/>
    <row r="149" ht="13.8" x14ac:dyDescent="0.3"/>
    <row r="150" ht="13.8" x14ac:dyDescent="0.3"/>
    <row r="151" ht="13.8" x14ac:dyDescent="0.3"/>
    <row r="152" ht="13.8" x14ac:dyDescent="0.3"/>
    <row r="153" ht="13.8" x14ac:dyDescent="0.3"/>
    <row r="154" ht="13.8" x14ac:dyDescent="0.3"/>
    <row r="155" ht="13.8" x14ac:dyDescent="0.3"/>
    <row r="156" ht="13.8" x14ac:dyDescent="0.3"/>
    <row r="157" ht="13.8" x14ac:dyDescent="0.3"/>
    <row r="158" ht="13.8" x14ac:dyDescent="0.3"/>
    <row r="159" ht="13.8" x14ac:dyDescent="0.3"/>
    <row r="160" ht="13.8" x14ac:dyDescent="0.3"/>
    <row r="161" ht="13.8" x14ac:dyDescent="0.3"/>
    <row r="162" ht="13.8" x14ac:dyDescent="0.3"/>
    <row r="163" ht="13.8" x14ac:dyDescent="0.3"/>
    <row r="164" ht="13.8" x14ac:dyDescent="0.3"/>
    <row r="165" ht="13.8" x14ac:dyDescent="0.3"/>
    <row r="166" ht="13.8" x14ac:dyDescent="0.3"/>
    <row r="167" ht="13.8" x14ac:dyDescent="0.3"/>
    <row r="168" ht="13.8" x14ac:dyDescent="0.3"/>
    <row r="169" ht="13.8" x14ac:dyDescent="0.3"/>
    <row r="170" ht="13.8" x14ac:dyDescent="0.3"/>
    <row r="171" ht="13.8" x14ac:dyDescent="0.3"/>
    <row r="172" ht="13.8" x14ac:dyDescent="0.3"/>
    <row r="173" ht="13.8" x14ac:dyDescent="0.3"/>
    <row r="174" ht="13.8" x14ac:dyDescent="0.3"/>
    <row r="175" ht="13.8" x14ac:dyDescent="0.3"/>
    <row r="176" ht="13.8" x14ac:dyDescent="0.3"/>
    <row r="177" ht="13.8" x14ac:dyDescent="0.3"/>
    <row r="178" ht="13.8" x14ac:dyDescent="0.3"/>
    <row r="179" ht="13.8" x14ac:dyDescent="0.3"/>
    <row r="180" ht="13.8" x14ac:dyDescent="0.3"/>
    <row r="181" ht="13.8" x14ac:dyDescent="0.3"/>
    <row r="182" ht="13.8" x14ac:dyDescent="0.3"/>
    <row r="183" ht="13.8" x14ac:dyDescent="0.3"/>
    <row r="184" ht="13.8" x14ac:dyDescent="0.3"/>
    <row r="185" ht="13.8" x14ac:dyDescent="0.3"/>
    <row r="186" ht="13.8" x14ac:dyDescent="0.3"/>
    <row r="187" ht="13.8" x14ac:dyDescent="0.3"/>
    <row r="188" ht="13.8" x14ac:dyDescent="0.3"/>
    <row r="189" ht="13.8" x14ac:dyDescent="0.3"/>
    <row r="190" ht="13.8" x14ac:dyDescent="0.3"/>
    <row r="191" ht="13.8" x14ac:dyDescent="0.3"/>
    <row r="192" ht="13.8" x14ac:dyDescent="0.3"/>
    <row r="193" ht="13.8" x14ac:dyDescent="0.3"/>
    <row r="194" ht="13.8" x14ac:dyDescent="0.3"/>
    <row r="195" ht="13.8" x14ac:dyDescent="0.3"/>
    <row r="196" ht="13.8" x14ac:dyDescent="0.3"/>
    <row r="197" ht="13.8" x14ac:dyDescent="0.3"/>
    <row r="198" ht="13.8" x14ac:dyDescent="0.3"/>
    <row r="199" ht="13.8" x14ac:dyDescent="0.3"/>
    <row r="200" ht="13.8" x14ac:dyDescent="0.3"/>
    <row r="201" ht="13.8" x14ac:dyDescent="0.3"/>
    <row r="202" ht="13.8" x14ac:dyDescent="0.3"/>
    <row r="203" ht="13.8" x14ac:dyDescent="0.3"/>
    <row r="204" ht="13.8" x14ac:dyDescent="0.3"/>
    <row r="205" ht="13.8" x14ac:dyDescent="0.3"/>
    <row r="206" ht="13.8" x14ac:dyDescent="0.3"/>
    <row r="207" ht="13.8" x14ac:dyDescent="0.3"/>
    <row r="208" ht="13.8" x14ac:dyDescent="0.3"/>
    <row r="209" ht="13.8" x14ac:dyDescent="0.3"/>
    <row r="210" ht="13.8" x14ac:dyDescent="0.3"/>
    <row r="211" ht="13.8" x14ac:dyDescent="0.3"/>
    <row r="212" ht="13.8" x14ac:dyDescent="0.3"/>
    <row r="213" ht="13.8" x14ac:dyDescent="0.3"/>
    <row r="214" ht="13.8" x14ac:dyDescent="0.3"/>
    <row r="215" ht="13.8" x14ac:dyDescent="0.3"/>
    <row r="216" ht="13.8" x14ac:dyDescent="0.3"/>
    <row r="217" ht="13.8" x14ac:dyDescent="0.3"/>
    <row r="218" ht="13.8" x14ac:dyDescent="0.3"/>
    <row r="219" ht="13.8" x14ac:dyDescent="0.3"/>
    <row r="220" ht="13.8" x14ac:dyDescent="0.3"/>
    <row r="221" ht="13.8" x14ac:dyDescent="0.3"/>
    <row r="222" ht="13.8" x14ac:dyDescent="0.3"/>
    <row r="223" ht="13.8" x14ac:dyDescent="0.3"/>
    <row r="224" ht="13.8" x14ac:dyDescent="0.3"/>
    <row r="225" ht="13.8" x14ac:dyDescent="0.3"/>
    <row r="226" ht="13.8" x14ac:dyDescent="0.3"/>
    <row r="227" ht="13.8" x14ac:dyDescent="0.3"/>
    <row r="228" ht="13.8" x14ac:dyDescent="0.3"/>
    <row r="229" ht="13.8" x14ac:dyDescent="0.3"/>
    <row r="230" ht="13.8" x14ac:dyDescent="0.3"/>
    <row r="231" ht="13.8" x14ac:dyDescent="0.3"/>
    <row r="232" ht="13.8" x14ac:dyDescent="0.3"/>
    <row r="233" ht="13.8" x14ac:dyDescent="0.3"/>
    <row r="234" ht="13.8" x14ac:dyDescent="0.3"/>
    <row r="235" ht="13.8" x14ac:dyDescent="0.3"/>
    <row r="236" ht="13.8" x14ac:dyDescent="0.3"/>
    <row r="237" ht="13.8" x14ac:dyDescent="0.3"/>
    <row r="238" ht="13.8" x14ac:dyDescent="0.3"/>
    <row r="239" ht="13.8" x14ac:dyDescent="0.3"/>
    <row r="240" ht="13.8" x14ac:dyDescent="0.3"/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  <row r="291" ht="13.8" x14ac:dyDescent="0.3"/>
    <row r="292" ht="13.8" x14ac:dyDescent="0.3"/>
    <row r="293" ht="13.8" x14ac:dyDescent="0.3"/>
    <row r="294" ht="13.8" x14ac:dyDescent="0.3"/>
    <row r="295" ht="13.8" x14ac:dyDescent="0.3"/>
    <row r="296" ht="13.8" x14ac:dyDescent="0.3"/>
    <row r="297" ht="13.8" x14ac:dyDescent="0.3"/>
    <row r="298" ht="13.8" x14ac:dyDescent="0.3"/>
    <row r="299" ht="13.8" x14ac:dyDescent="0.3"/>
    <row r="300" ht="13.8" x14ac:dyDescent="0.3"/>
    <row r="301" ht="13.8" x14ac:dyDescent="0.3"/>
    <row r="302" ht="13.8" x14ac:dyDescent="0.3"/>
    <row r="303" ht="13.8" x14ac:dyDescent="0.3"/>
    <row r="304" ht="13.8" x14ac:dyDescent="0.3"/>
    <row r="305" ht="13.8" x14ac:dyDescent="0.3"/>
    <row r="306" ht="13.8" x14ac:dyDescent="0.3"/>
    <row r="307" ht="13.8" x14ac:dyDescent="0.3"/>
    <row r="308" ht="13.8" x14ac:dyDescent="0.3"/>
    <row r="309" ht="13.8" x14ac:dyDescent="0.3"/>
    <row r="310" ht="13.8" x14ac:dyDescent="0.3"/>
    <row r="311" ht="13.8" x14ac:dyDescent="0.3"/>
    <row r="312" ht="13.8" x14ac:dyDescent="0.3"/>
    <row r="313" ht="13.8" x14ac:dyDescent="0.3"/>
    <row r="314" ht="13.8" x14ac:dyDescent="0.3"/>
    <row r="315" ht="13.8" x14ac:dyDescent="0.3"/>
    <row r="316" ht="13.8" x14ac:dyDescent="0.3"/>
    <row r="317" ht="13.8" x14ac:dyDescent="0.3"/>
    <row r="318" ht="13.8" x14ac:dyDescent="0.3"/>
    <row r="319" ht="13.8" x14ac:dyDescent="0.3"/>
    <row r="320" ht="13.8" x14ac:dyDescent="0.3"/>
    <row r="321" ht="13.8" x14ac:dyDescent="0.3"/>
    <row r="322" ht="13.8" x14ac:dyDescent="0.3"/>
    <row r="323" ht="13.8" x14ac:dyDescent="0.3"/>
    <row r="324" ht="13.8" x14ac:dyDescent="0.3"/>
    <row r="325" ht="13.8" x14ac:dyDescent="0.3"/>
    <row r="326" ht="13.8" x14ac:dyDescent="0.3"/>
    <row r="327" ht="13.8" x14ac:dyDescent="0.3"/>
    <row r="328" ht="13.8" x14ac:dyDescent="0.3"/>
    <row r="329" ht="13.8" x14ac:dyDescent="0.3"/>
    <row r="330" ht="13.8" x14ac:dyDescent="0.3"/>
    <row r="331" ht="13.8" x14ac:dyDescent="0.3"/>
    <row r="332" ht="13.8" x14ac:dyDescent="0.3"/>
    <row r="333" ht="13.8" x14ac:dyDescent="0.3"/>
    <row r="334" ht="13.8" x14ac:dyDescent="0.3"/>
    <row r="335" ht="13.8" x14ac:dyDescent="0.3"/>
    <row r="336" ht="13.8" x14ac:dyDescent="0.3"/>
    <row r="337" ht="13.8" x14ac:dyDescent="0.3"/>
    <row r="338" ht="13.8" x14ac:dyDescent="0.3"/>
    <row r="339" ht="13.8" x14ac:dyDescent="0.3"/>
    <row r="340" ht="13.8" x14ac:dyDescent="0.3"/>
    <row r="341" ht="13.8" x14ac:dyDescent="0.3"/>
    <row r="342" ht="13.8" x14ac:dyDescent="0.3"/>
    <row r="343" ht="13.8" x14ac:dyDescent="0.3"/>
    <row r="344" ht="13.8" x14ac:dyDescent="0.3"/>
    <row r="345" ht="13.8" x14ac:dyDescent="0.3"/>
    <row r="346" ht="13.8" x14ac:dyDescent="0.3"/>
    <row r="347" ht="13.8" x14ac:dyDescent="0.3"/>
    <row r="348" ht="13.8" x14ac:dyDescent="0.3"/>
    <row r="349" ht="13.8" x14ac:dyDescent="0.3"/>
    <row r="350" ht="13.8" x14ac:dyDescent="0.3"/>
    <row r="351" ht="13.8" x14ac:dyDescent="0.3"/>
    <row r="352" ht="13.8" x14ac:dyDescent="0.3"/>
    <row r="353" ht="13.8" x14ac:dyDescent="0.3"/>
    <row r="354" ht="13.8" x14ac:dyDescent="0.3"/>
    <row r="355" ht="13.8" x14ac:dyDescent="0.3"/>
    <row r="356" ht="13.8" x14ac:dyDescent="0.3"/>
    <row r="357" ht="13.8" x14ac:dyDescent="0.3"/>
    <row r="358" ht="13.8" x14ac:dyDescent="0.3"/>
    <row r="359" ht="13.8" x14ac:dyDescent="0.3"/>
    <row r="360" ht="13.8" x14ac:dyDescent="0.3"/>
    <row r="361" ht="13.8" x14ac:dyDescent="0.3"/>
    <row r="362" ht="13.8" x14ac:dyDescent="0.3"/>
    <row r="363" ht="13.8" x14ac:dyDescent="0.3"/>
    <row r="364" ht="13.8" x14ac:dyDescent="0.3"/>
    <row r="365" ht="13.8" x14ac:dyDescent="0.3"/>
    <row r="366" ht="13.8" x14ac:dyDescent="0.3"/>
    <row r="367" ht="13.8" x14ac:dyDescent="0.3"/>
    <row r="368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  <row r="955" ht="13.8" x14ac:dyDescent="0.3"/>
    <row r="956" ht="13.8" x14ac:dyDescent="0.3"/>
    <row r="957" ht="13.8" x14ac:dyDescent="0.3"/>
    <row r="958" ht="13.8" x14ac:dyDescent="0.3"/>
    <row r="959" ht="13.8" x14ac:dyDescent="0.3"/>
    <row r="960" ht="13.8" x14ac:dyDescent="0.3"/>
  </sheetData>
  <conditionalFormatting sqref="C12:C38">
    <cfRule type="colorScale" priority="2">
      <colorScale>
        <cfvo type="min"/>
        <cfvo type="max"/>
        <color rgb="FFFFFFFF"/>
        <color rgb="FF57BB8A"/>
      </colorScale>
    </cfRule>
  </conditionalFormatting>
  <conditionalFormatting sqref="C47:E48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1:G4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8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7:F48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I3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1:J44">
    <cfRule type="colorScale" priority="2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47:L47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8:L48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9:L4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2:L52">
    <cfRule type="colorScale" priority="1">
      <colorScale>
        <cfvo type="min"/>
        <cfvo type="max"/>
        <color rgb="FFFFFFFF"/>
        <color rgb="FF57BB8A"/>
      </colorScale>
    </cfRule>
  </conditionalFormatting>
  <conditionalFormatting sqref="J12:J38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5:L5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7:L57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41:K44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6:R53 AB46:AB53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6:R6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56:S61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47:W53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56:X6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56:Y64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F1EE-20D1-479D-B265-CAF9BD51EB6A}">
  <sheetPr>
    <outlinePr summaryBelow="0" summaryRight="0"/>
  </sheetPr>
  <dimension ref="A2:AP247"/>
  <sheetViews>
    <sheetView showGridLines="0" topLeftCell="A40" workbookViewId="0"/>
  </sheetViews>
  <sheetFormatPr defaultColWidth="12.6640625" defaultRowHeight="15.75" customHeight="1" x14ac:dyDescent="0.3"/>
  <cols>
    <col min="20" max="20" width="15" customWidth="1"/>
    <col min="21" max="21" width="15.77734375" customWidth="1"/>
    <col min="22" max="22" width="14.21875" customWidth="1"/>
    <col min="23" max="23" width="14.6640625" customWidth="1"/>
    <col min="26" max="26" width="16.6640625" customWidth="1"/>
    <col min="27" max="27" width="14.44140625" customWidth="1"/>
    <col min="28" max="28" width="14.109375" customWidth="1"/>
    <col min="30" max="30" width="13.109375" customWidth="1"/>
    <col min="34" max="34" width="15.77734375" customWidth="1"/>
  </cols>
  <sheetData>
    <row r="2" spans="1:15" ht="13.8" x14ac:dyDescent="0.3">
      <c r="B2" s="112" t="s">
        <v>158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5" ht="15.75" customHeight="1" x14ac:dyDescent="0.3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5.75" customHeight="1" x14ac:dyDescent="0.3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6" spans="1:15" ht="13.8" x14ac:dyDescent="0.3">
      <c r="A6" s="114" t="s">
        <v>159</v>
      </c>
    </row>
    <row r="7" spans="1:15" ht="13.8" x14ac:dyDescent="0.3">
      <c r="B7" s="115" t="s">
        <v>160</v>
      </c>
      <c r="C7" s="113"/>
      <c r="D7" s="113"/>
      <c r="E7" s="113"/>
      <c r="G7" s="115" t="s">
        <v>161</v>
      </c>
      <c r="H7" s="113"/>
      <c r="I7" s="113"/>
      <c r="J7" s="113"/>
      <c r="L7" s="115" t="s">
        <v>162</v>
      </c>
      <c r="M7" s="113"/>
      <c r="N7" s="113"/>
      <c r="O7" s="113"/>
    </row>
    <row r="20" spans="2:10" ht="13.8" x14ac:dyDescent="0.3">
      <c r="B20" s="115" t="s">
        <v>163</v>
      </c>
      <c r="C20" s="113"/>
      <c r="D20" s="113"/>
      <c r="E20" s="113"/>
      <c r="G20" s="115" t="s">
        <v>164</v>
      </c>
      <c r="H20" s="113"/>
      <c r="I20" s="113"/>
      <c r="J20" s="113"/>
    </row>
    <row r="37" spans="1:11" ht="13.8" x14ac:dyDescent="0.3">
      <c r="A37" s="114" t="s">
        <v>165</v>
      </c>
      <c r="B37" s="114" t="s">
        <v>166</v>
      </c>
      <c r="C37" s="114" t="s">
        <v>167</v>
      </c>
      <c r="F37" s="114" t="s">
        <v>166</v>
      </c>
      <c r="G37" s="114" t="s">
        <v>168</v>
      </c>
      <c r="J37" s="114" t="s">
        <v>166</v>
      </c>
      <c r="K37" s="114" t="s">
        <v>169</v>
      </c>
    </row>
    <row r="38" spans="1:11" ht="15.75" customHeight="1" x14ac:dyDescent="0.3">
      <c r="B38" s="6" t="s">
        <v>28</v>
      </c>
      <c r="C38" s="116">
        <v>332018.69327819999</v>
      </c>
      <c r="F38" s="6" t="s">
        <v>28</v>
      </c>
      <c r="G38" s="117">
        <v>40575</v>
      </c>
      <c r="J38" s="118" t="s">
        <v>28</v>
      </c>
      <c r="K38" s="119">
        <v>3274</v>
      </c>
    </row>
    <row r="39" spans="1:11" ht="15.75" customHeight="1" x14ac:dyDescent="0.3">
      <c r="B39" s="6" t="s">
        <v>170</v>
      </c>
      <c r="C39" s="116">
        <v>41804.701633600002</v>
      </c>
      <c r="F39" s="6" t="s">
        <v>170</v>
      </c>
      <c r="G39" s="117">
        <v>14071</v>
      </c>
      <c r="J39" s="118" t="s">
        <v>170</v>
      </c>
      <c r="K39" s="119">
        <v>432</v>
      </c>
    </row>
    <row r="40" spans="1:11" ht="15.75" customHeight="1" x14ac:dyDescent="0.3">
      <c r="B40" s="6" t="s">
        <v>171</v>
      </c>
      <c r="C40" s="116">
        <v>9457.1742364999991</v>
      </c>
      <c r="F40" s="6" t="s">
        <v>171</v>
      </c>
      <c r="G40" s="117">
        <v>339689</v>
      </c>
      <c r="J40" s="118" t="s">
        <v>171</v>
      </c>
      <c r="K40" s="119">
        <v>1432</v>
      </c>
    </row>
    <row r="41" spans="1:11" ht="15.75" customHeight="1" x14ac:dyDescent="0.3">
      <c r="B41" s="6" t="s">
        <v>172</v>
      </c>
      <c r="C41" s="116">
        <v>7041.2377149000004</v>
      </c>
      <c r="F41" s="6" t="s">
        <v>172</v>
      </c>
      <c r="G41" s="117">
        <v>2691</v>
      </c>
      <c r="J41" s="118" t="s">
        <v>172</v>
      </c>
      <c r="K41" s="119">
        <v>105</v>
      </c>
    </row>
    <row r="42" spans="1:11" ht="15.75" customHeight="1" x14ac:dyDescent="0.3">
      <c r="B42" s="6" t="s">
        <v>173</v>
      </c>
      <c r="C42" s="116">
        <v>6732.4879675000002</v>
      </c>
      <c r="F42" s="6" t="s">
        <v>173</v>
      </c>
      <c r="G42" s="117">
        <v>788</v>
      </c>
      <c r="J42" s="118" t="s">
        <v>173</v>
      </c>
      <c r="K42" s="119">
        <v>60</v>
      </c>
    </row>
    <row r="43" spans="1:11" ht="15.75" customHeight="1" x14ac:dyDescent="0.3">
      <c r="B43" s="6" t="s">
        <v>174</v>
      </c>
      <c r="C43" s="116">
        <v>6525.74748</v>
      </c>
      <c r="F43" s="6" t="s">
        <v>174</v>
      </c>
      <c r="G43" s="117">
        <v>4077</v>
      </c>
      <c r="J43" s="118" t="s">
        <v>174</v>
      </c>
      <c r="K43" s="119">
        <v>158</v>
      </c>
    </row>
    <row r="44" spans="1:11" ht="15.75" customHeight="1" x14ac:dyDescent="0.3">
      <c r="B44" s="6" t="s">
        <v>175</v>
      </c>
      <c r="C44" s="116">
        <v>3639.2559246999999</v>
      </c>
      <c r="F44" s="6" t="s">
        <v>175</v>
      </c>
      <c r="G44" s="117">
        <v>3153</v>
      </c>
      <c r="J44" s="118" t="s">
        <v>175</v>
      </c>
      <c r="K44" s="119">
        <v>80</v>
      </c>
    </row>
    <row r="45" spans="1:11" ht="15.75" customHeight="1" x14ac:dyDescent="0.3">
      <c r="B45" s="6" t="s">
        <v>176</v>
      </c>
      <c r="C45" s="116">
        <v>3181.5423433999999</v>
      </c>
      <c r="F45" s="6" t="s">
        <v>176</v>
      </c>
      <c r="G45" s="117">
        <v>1119</v>
      </c>
      <c r="J45" s="118" t="s">
        <v>176</v>
      </c>
      <c r="K45" s="119">
        <v>77</v>
      </c>
    </row>
    <row r="46" spans="1:11" ht="15.75" customHeight="1" x14ac:dyDescent="0.3">
      <c r="B46" s="2" t="s">
        <v>177</v>
      </c>
      <c r="C46" s="2">
        <v>2947</v>
      </c>
      <c r="F46" s="6" t="s">
        <v>178</v>
      </c>
      <c r="G46" s="117">
        <v>2473</v>
      </c>
      <c r="J46" s="118" t="s">
        <v>178</v>
      </c>
      <c r="K46" s="119">
        <v>203</v>
      </c>
    </row>
    <row r="47" spans="1:11" ht="15.75" customHeight="1" x14ac:dyDescent="0.3">
      <c r="B47" s="6" t="s">
        <v>178</v>
      </c>
      <c r="C47" s="116">
        <v>2897.1392774999999</v>
      </c>
      <c r="F47" s="6" t="s">
        <v>179</v>
      </c>
      <c r="G47" s="117">
        <v>533</v>
      </c>
      <c r="J47" s="118" t="s">
        <v>179</v>
      </c>
      <c r="K47" s="119">
        <v>85</v>
      </c>
    </row>
    <row r="48" spans="1:11" ht="15.75" customHeight="1" thickBot="1" x14ac:dyDescent="0.35">
      <c r="B48" s="6" t="s">
        <v>179</v>
      </c>
      <c r="C48" s="116">
        <v>2042.9902955</v>
      </c>
      <c r="F48" s="120" t="s">
        <v>180</v>
      </c>
      <c r="G48" s="121">
        <v>367</v>
      </c>
      <c r="J48" s="118" t="s">
        <v>180</v>
      </c>
      <c r="K48" s="119">
        <v>22</v>
      </c>
    </row>
    <row r="49" spans="2:11" ht="15.75" customHeight="1" x14ac:dyDescent="0.3">
      <c r="B49" s="6" t="s">
        <v>180</v>
      </c>
      <c r="C49" s="116">
        <v>1564.7986631000001</v>
      </c>
    </row>
    <row r="50" spans="2:11" ht="15.75" customHeight="1" x14ac:dyDescent="0.3">
      <c r="B50" s="6" t="s">
        <v>181</v>
      </c>
      <c r="C50" s="116">
        <v>1395.7170168</v>
      </c>
    </row>
    <row r="51" spans="2:11" ht="15.75" customHeight="1" x14ac:dyDescent="0.3">
      <c r="B51" s="6" t="s">
        <v>182</v>
      </c>
      <c r="C51" s="116">
        <v>1393.10862</v>
      </c>
    </row>
    <row r="52" spans="2:11" ht="15.75" customHeight="1" x14ac:dyDescent="0.3">
      <c r="B52" s="6" t="s">
        <v>183</v>
      </c>
      <c r="C52" s="116">
        <v>1264.5372</v>
      </c>
    </row>
    <row r="53" spans="2:11" ht="15.75" customHeight="1" x14ac:dyDescent="0.3">
      <c r="B53" s="6" t="s">
        <v>184</v>
      </c>
      <c r="C53" s="116">
        <v>1183.7405262</v>
      </c>
    </row>
    <row r="54" spans="2:11" ht="15.75" customHeight="1" x14ac:dyDescent="0.3">
      <c r="B54" s="6" t="s">
        <v>185</v>
      </c>
      <c r="C54" s="116">
        <v>1073.911218</v>
      </c>
    </row>
    <row r="55" spans="2:11" ht="15.75" customHeight="1" x14ac:dyDescent="0.3">
      <c r="B55" s="6" t="s">
        <v>186</v>
      </c>
      <c r="C55" s="116">
        <v>783.75111149999998</v>
      </c>
    </row>
    <row r="56" spans="2:11" ht="15.75" customHeight="1" x14ac:dyDescent="0.3">
      <c r="B56" s="6" t="s">
        <v>187</v>
      </c>
      <c r="C56" s="116">
        <v>782.74441669999999</v>
      </c>
    </row>
    <row r="57" spans="2:11" ht="15.75" customHeight="1" x14ac:dyDescent="0.3">
      <c r="B57" s="6" t="s">
        <v>188</v>
      </c>
      <c r="C57" s="116">
        <v>759.32998190000001</v>
      </c>
    </row>
    <row r="58" spans="2:11" ht="15.75" customHeight="1" x14ac:dyDescent="0.3">
      <c r="B58" s="6" t="s">
        <v>189</v>
      </c>
      <c r="C58" s="116">
        <v>634.20001219999995</v>
      </c>
    </row>
    <row r="59" spans="2:11" ht="15.75" customHeight="1" thickBot="1" x14ac:dyDescent="0.35">
      <c r="B59" s="120" t="s">
        <v>190</v>
      </c>
      <c r="C59" s="122">
        <v>532.90996600000005</v>
      </c>
    </row>
    <row r="61" spans="2:11" ht="13.8" x14ac:dyDescent="0.3">
      <c r="B61" s="123" t="s">
        <v>159</v>
      </c>
      <c r="C61" s="124">
        <f>SUM(C38:C59)</f>
        <v>429656.71888420003</v>
      </c>
      <c r="F61" s="123" t="s">
        <v>159</v>
      </c>
      <c r="G61" s="123">
        <f>SUM(G38:G59)</f>
        <v>409536</v>
      </c>
      <c r="J61" s="123" t="s">
        <v>159</v>
      </c>
      <c r="K61" s="123">
        <f>SUM(K38:K59)</f>
        <v>5928</v>
      </c>
    </row>
    <row r="78" spans="1:8" ht="13.8" x14ac:dyDescent="0.3">
      <c r="A78" s="114" t="s">
        <v>30</v>
      </c>
    </row>
    <row r="79" spans="1:8" ht="13.8" x14ac:dyDescent="0.3">
      <c r="B79" s="114" t="s">
        <v>166</v>
      </c>
      <c r="C79" s="114" t="s">
        <v>191</v>
      </c>
      <c r="F79" s="114" t="s">
        <v>166</v>
      </c>
      <c r="G79" s="114" t="s">
        <v>192</v>
      </c>
      <c r="H79" s="2"/>
    </row>
    <row r="80" spans="1:8" ht="15.75" customHeight="1" x14ac:dyDescent="0.3">
      <c r="B80" s="6" t="s">
        <v>28</v>
      </c>
      <c r="C80" s="125">
        <v>0.20222273564068716</v>
      </c>
      <c r="F80" s="6" t="s">
        <v>28</v>
      </c>
      <c r="G80" s="126">
        <v>0.23731234107771093</v>
      </c>
      <c r="H80" s="39"/>
    </row>
    <row r="81" spans="2:8" ht="15.75" customHeight="1" x14ac:dyDescent="0.3">
      <c r="B81" s="6" t="s">
        <v>170</v>
      </c>
      <c r="C81" s="125">
        <v>5.8687679670643256E-2</v>
      </c>
      <c r="F81" s="6" t="s">
        <v>170</v>
      </c>
      <c r="G81" s="126">
        <v>0.31085126286248821</v>
      </c>
      <c r="H81" s="127"/>
    </row>
    <row r="82" spans="2:8" ht="15.75" customHeight="1" x14ac:dyDescent="0.3">
      <c r="B82" s="6" t="s">
        <v>171</v>
      </c>
      <c r="C82" s="125">
        <v>0.12597924100766988</v>
      </c>
      <c r="F82" s="6" t="s">
        <v>171</v>
      </c>
      <c r="G82" s="126">
        <v>-0.156126667290995</v>
      </c>
    </row>
    <row r="83" spans="2:8" ht="15.75" customHeight="1" x14ac:dyDescent="0.3">
      <c r="B83" s="6" t="s">
        <v>172</v>
      </c>
      <c r="C83" s="125">
        <v>0.11308063709977656</v>
      </c>
      <c r="F83" s="6" t="s">
        <v>172</v>
      </c>
      <c r="G83" s="126">
        <v>0.12662662662662671</v>
      </c>
    </row>
    <row r="84" spans="2:8" ht="15.75" customHeight="1" x14ac:dyDescent="0.3">
      <c r="B84" s="6" t="s">
        <v>173</v>
      </c>
      <c r="C84" s="125">
        <v>0.17223651077836721</v>
      </c>
      <c r="F84" s="6" t="s">
        <v>173</v>
      </c>
      <c r="G84" s="126">
        <v>0.28399311531841653</v>
      </c>
    </row>
    <row r="85" spans="2:8" ht="15.75" customHeight="1" x14ac:dyDescent="0.3">
      <c r="B85" s="6" t="s">
        <v>174</v>
      </c>
      <c r="C85" s="125">
        <v>0.13</v>
      </c>
      <c r="F85" s="6" t="s">
        <v>174</v>
      </c>
      <c r="G85" s="126">
        <v>0.25773827765859636</v>
      </c>
    </row>
    <row r="86" spans="2:8" ht="15.75" customHeight="1" x14ac:dyDescent="0.3">
      <c r="B86" s="6" t="s">
        <v>175</v>
      </c>
      <c r="C86" s="125">
        <v>0.17986397493065875</v>
      </c>
      <c r="F86" s="6" t="s">
        <v>175</v>
      </c>
      <c r="G86" s="126">
        <v>0.19437447523089846</v>
      </c>
    </row>
    <row r="87" spans="2:8" ht="15.75" customHeight="1" x14ac:dyDescent="0.3">
      <c r="B87" s="6" t="s">
        <v>176</v>
      </c>
      <c r="C87" s="125">
        <v>0.17341712018673738</v>
      </c>
      <c r="F87" s="6" t="s">
        <v>176</v>
      </c>
      <c r="G87" s="126">
        <v>0.27195121951219514</v>
      </c>
    </row>
    <row r="88" spans="2:8" ht="15.75" customHeight="1" x14ac:dyDescent="0.3">
      <c r="B88" s="6" t="s">
        <v>178</v>
      </c>
      <c r="C88" s="125">
        <v>-0.23782453296181305</v>
      </c>
      <c r="F88" s="6" t="s">
        <v>178</v>
      </c>
      <c r="G88" s="126">
        <v>-0.64221453287197239</v>
      </c>
    </row>
    <row r="89" spans="2:8" ht="15.75" customHeight="1" x14ac:dyDescent="0.3">
      <c r="B89" s="6" t="s">
        <v>179</v>
      </c>
      <c r="C89" s="125">
        <v>0.10812130599375092</v>
      </c>
      <c r="F89" s="6" t="s">
        <v>179</v>
      </c>
      <c r="G89" s="126">
        <v>8.591885441527447E-2</v>
      </c>
    </row>
    <row r="90" spans="2:8" ht="15.75" customHeight="1" thickBot="1" x14ac:dyDescent="0.35">
      <c r="B90" s="120" t="s">
        <v>180</v>
      </c>
      <c r="C90" s="128">
        <v>0.105</v>
      </c>
      <c r="F90" s="120" t="s">
        <v>180</v>
      </c>
      <c r="G90" s="129">
        <v>9.0909090909090828E-2</v>
      </c>
    </row>
    <row r="92" spans="2:8" ht="13.8" x14ac:dyDescent="0.3">
      <c r="B92" s="123" t="s">
        <v>159</v>
      </c>
      <c r="C92" s="130">
        <v>0.124</v>
      </c>
      <c r="F92" s="123" t="s">
        <v>159</v>
      </c>
      <c r="G92" s="130">
        <v>-8.6999999999999994E-2</v>
      </c>
    </row>
    <row r="109" spans="1:11" ht="13.8" x14ac:dyDescent="0.3">
      <c r="A109" s="114" t="s">
        <v>32</v>
      </c>
    </row>
    <row r="110" spans="1:11" ht="13.8" x14ac:dyDescent="0.3">
      <c r="B110" s="131" t="s">
        <v>166</v>
      </c>
      <c r="C110" s="131" t="s">
        <v>41</v>
      </c>
      <c r="F110" s="131" t="s">
        <v>166</v>
      </c>
      <c r="G110" s="114" t="s">
        <v>39</v>
      </c>
      <c r="J110" s="131" t="s">
        <v>166</v>
      </c>
      <c r="K110" s="114" t="s">
        <v>40</v>
      </c>
    </row>
    <row r="111" spans="1:11" ht="15.75" customHeight="1" x14ac:dyDescent="0.3">
      <c r="B111" s="132" t="s">
        <v>28</v>
      </c>
      <c r="C111" s="116">
        <v>14.793333333333333</v>
      </c>
      <c r="F111" s="132" t="s">
        <v>28</v>
      </c>
      <c r="G111" s="133">
        <v>0.44123545928600078</v>
      </c>
      <c r="J111" s="132" t="s">
        <v>28</v>
      </c>
      <c r="K111" s="134">
        <v>0.62149277298676064</v>
      </c>
    </row>
    <row r="112" spans="1:11" ht="15.75" customHeight="1" x14ac:dyDescent="0.3">
      <c r="B112" s="132" t="s">
        <v>170</v>
      </c>
      <c r="C112" s="116">
        <v>2.8679867986798682</v>
      </c>
      <c r="F112" s="132" t="s">
        <v>170</v>
      </c>
      <c r="G112" s="133">
        <v>0.40560893274474163</v>
      </c>
      <c r="J112" s="132" t="s">
        <v>170</v>
      </c>
      <c r="K112" s="134">
        <v>0.66434297664691533</v>
      </c>
    </row>
    <row r="113" spans="2:11" ht="15.75" customHeight="1" x14ac:dyDescent="0.3">
      <c r="B113" s="132" t="s">
        <v>171</v>
      </c>
      <c r="C113" s="116">
        <v>7.1092436974789912</v>
      </c>
      <c r="F113" s="132" t="s">
        <v>171</v>
      </c>
      <c r="G113" s="133">
        <v>4.1124687951648926E-2</v>
      </c>
      <c r="J113" s="132" t="s">
        <v>171</v>
      </c>
      <c r="K113" s="134">
        <v>0.20817727840199751</v>
      </c>
    </row>
    <row r="114" spans="2:11" ht="15.75" customHeight="1" x14ac:dyDescent="0.3">
      <c r="B114" s="132" t="s">
        <v>172</v>
      </c>
      <c r="C114" s="116">
        <v>15.25</v>
      </c>
      <c r="F114" s="132" t="s">
        <v>172</v>
      </c>
      <c r="G114" s="133">
        <v>9.8039215686274508E-2</v>
      </c>
      <c r="J114" s="132" t="s">
        <v>172</v>
      </c>
      <c r="K114" s="134">
        <v>0.32821075740944017</v>
      </c>
    </row>
    <row r="115" spans="2:11" ht="15.75" customHeight="1" x14ac:dyDescent="0.3">
      <c r="B115" s="132" t="s">
        <v>173</v>
      </c>
      <c r="C115" s="116">
        <v>5.6428571428571432</v>
      </c>
      <c r="F115" s="132" t="s">
        <v>173</v>
      </c>
      <c r="G115" s="133">
        <v>1.029940119760479E-2</v>
      </c>
      <c r="J115" s="132" t="s">
        <v>173</v>
      </c>
      <c r="K115" s="134">
        <v>0.28556149732620323</v>
      </c>
    </row>
    <row r="116" spans="2:11" ht="15.75" customHeight="1" x14ac:dyDescent="0.3">
      <c r="B116" s="132" t="s">
        <v>174</v>
      </c>
      <c r="C116" s="116">
        <v>3.1511627906976742</v>
      </c>
      <c r="F116" s="132" t="s">
        <v>174</v>
      </c>
      <c r="G116" s="133">
        <v>1.245978835978836</v>
      </c>
      <c r="J116" s="132" t="s">
        <v>174</v>
      </c>
      <c r="K116" s="134">
        <v>0.67435456110154901</v>
      </c>
    </row>
    <row r="117" spans="2:11" ht="15.75" customHeight="1" x14ac:dyDescent="0.3">
      <c r="B117" s="132" t="s">
        <v>175</v>
      </c>
      <c r="C117" s="116">
        <v>4</v>
      </c>
      <c r="F117" s="132" t="s">
        <v>175</v>
      </c>
      <c r="G117" s="133">
        <v>1.1275167785234899</v>
      </c>
      <c r="J117" s="132" t="s">
        <v>175</v>
      </c>
      <c r="K117" s="134">
        <v>0.67059690493736179</v>
      </c>
    </row>
    <row r="118" spans="2:11" ht="15.75" customHeight="1" x14ac:dyDescent="0.3">
      <c r="B118" s="132" t="s">
        <v>176</v>
      </c>
      <c r="C118" s="116">
        <v>4.625</v>
      </c>
      <c r="F118" s="132" t="s">
        <v>176</v>
      </c>
      <c r="G118" s="133">
        <v>0.14136125654450263</v>
      </c>
      <c r="J118" s="132" t="s">
        <v>176</v>
      </c>
      <c r="K118" s="134">
        <v>0.3818770226537217</v>
      </c>
    </row>
    <row r="119" spans="2:11" ht="15.75" customHeight="1" x14ac:dyDescent="0.3">
      <c r="B119" s="132" t="s">
        <v>178</v>
      </c>
      <c r="C119" s="116">
        <v>0.44918699186991867</v>
      </c>
      <c r="F119" s="132" t="s">
        <v>178</v>
      </c>
      <c r="G119" s="133">
        <v>1.1822660098522169</v>
      </c>
      <c r="J119" s="132" t="s">
        <v>178</v>
      </c>
      <c r="K119" s="134">
        <v>0.55807943416757344</v>
      </c>
    </row>
    <row r="120" spans="2:11" ht="15.75" customHeight="1" x14ac:dyDescent="0.3">
      <c r="B120" s="132" t="s">
        <v>179</v>
      </c>
      <c r="C120" s="116">
        <v>97</v>
      </c>
      <c r="F120" s="132" t="s">
        <v>179</v>
      </c>
      <c r="G120" s="133">
        <v>1.340033500837521E-3</v>
      </c>
      <c r="J120" s="132" t="s">
        <v>179</v>
      </c>
      <c r="K120" s="134">
        <v>0.14592274678111589</v>
      </c>
    </row>
    <row r="121" spans="2:11" ht="15.75" customHeight="1" thickBot="1" x14ac:dyDescent="0.35">
      <c r="B121" s="135" t="s">
        <v>180</v>
      </c>
      <c r="C121" s="122">
        <v>2.8235294117647061</v>
      </c>
      <c r="F121" s="135" t="s">
        <v>180</v>
      </c>
      <c r="G121" s="136">
        <v>1.1608391608391608</v>
      </c>
      <c r="J121" s="135" t="s">
        <v>180</v>
      </c>
      <c r="K121" s="137">
        <v>0.58908045977011492</v>
      </c>
    </row>
    <row r="123" spans="2:11" ht="13.8" x14ac:dyDescent="0.3">
      <c r="B123" s="123" t="s">
        <v>159</v>
      </c>
      <c r="C123" s="123">
        <v>5</v>
      </c>
      <c r="F123" s="123" t="s">
        <v>159</v>
      </c>
      <c r="G123" s="123">
        <v>0.34</v>
      </c>
      <c r="J123" s="123" t="s">
        <v>159</v>
      </c>
      <c r="K123" s="123">
        <v>0.51</v>
      </c>
    </row>
    <row r="140" spans="1:12" ht="13.8" x14ac:dyDescent="0.3">
      <c r="A140" s="114" t="s">
        <v>31</v>
      </c>
    </row>
    <row r="141" spans="1:12" ht="13.8" x14ac:dyDescent="0.3">
      <c r="B141" s="131" t="s">
        <v>166</v>
      </c>
      <c r="C141" s="131" t="s">
        <v>193</v>
      </c>
      <c r="D141" s="131" t="s">
        <v>194</v>
      </c>
      <c r="G141" s="131" t="s">
        <v>166</v>
      </c>
      <c r="H141" s="131" t="s">
        <v>195</v>
      </c>
      <c r="K141" s="131" t="s">
        <v>166</v>
      </c>
      <c r="L141" s="131" t="s">
        <v>196</v>
      </c>
    </row>
    <row r="142" spans="1:12" ht="15.75" customHeight="1" x14ac:dyDescent="0.3">
      <c r="B142" s="2" t="s">
        <v>28</v>
      </c>
      <c r="C142" s="138">
        <v>8.0690080098582875E-2</v>
      </c>
      <c r="D142" s="138">
        <v>7.6713022915376392E-2</v>
      </c>
      <c r="G142" s="6" t="s">
        <v>28</v>
      </c>
      <c r="H142" s="134">
        <v>1.504185588444493</v>
      </c>
      <c r="K142" s="118" t="s">
        <v>28</v>
      </c>
      <c r="L142" s="139">
        <v>14.060258780036969</v>
      </c>
    </row>
    <row r="143" spans="1:12" ht="15.75" customHeight="1" x14ac:dyDescent="0.3">
      <c r="B143" s="2" t="s">
        <v>170</v>
      </c>
      <c r="C143" s="138">
        <v>3.070144268353351E-2</v>
      </c>
      <c r="D143" s="138">
        <v>3.2683936344822667E-2</v>
      </c>
      <c r="G143" s="6" t="s">
        <v>170</v>
      </c>
      <c r="H143" s="134">
        <v>1.3079875978148532</v>
      </c>
      <c r="K143" s="118" t="s">
        <v>170</v>
      </c>
      <c r="L143" s="139">
        <v>9.9349726387605717</v>
      </c>
    </row>
    <row r="144" spans="1:12" ht="15.75" customHeight="1" x14ac:dyDescent="0.3">
      <c r="B144" s="2" t="s">
        <v>171</v>
      </c>
      <c r="C144" s="138">
        <v>4.2156207589883685E-3</v>
      </c>
      <c r="D144" s="138">
        <v>1.9394285291522001E-3</v>
      </c>
      <c r="G144" s="6" t="s">
        <v>171</v>
      </c>
      <c r="H144" s="134">
        <v>4.0708964808630874</v>
      </c>
      <c r="K144" s="118" t="s">
        <v>171</v>
      </c>
      <c r="L144" s="139">
        <v>12.312836153069426</v>
      </c>
    </row>
    <row r="145" spans="2:12" ht="15.75" customHeight="1" x14ac:dyDescent="0.3">
      <c r="B145" s="2" t="s">
        <v>172</v>
      </c>
      <c r="C145" s="138">
        <v>3.901895206243032E-2</v>
      </c>
      <c r="D145" s="138">
        <v>4.6645935139937804E-2</v>
      </c>
      <c r="G145" s="6" t="s">
        <v>172</v>
      </c>
      <c r="H145" s="134">
        <v>2.2567567567567566</v>
      </c>
      <c r="K145" s="118" t="s">
        <v>172</v>
      </c>
      <c r="L145" s="139">
        <v>35.265700483091784</v>
      </c>
    </row>
    <row r="146" spans="2:12" ht="15.75" customHeight="1" x14ac:dyDescent="0.3">
      <c r="B146" s="2" t="s">
        <v>173</v>
      </c>
      <c r="C146" s="138">
        <v>7.6142131979695438E-2</v>
      </c>
      <c r="D146" s="138">
        <v>8.3109919571045576E-2</v>
      </c>
      <c r="G146" s="6" t="s">
        <v>173</v>
      </c>
      <c r="H146" s="134">
        <v>4.3733333333333331</v>
      </c>
      <c r="K146" s="118" t="s">
        <v>173</v>
      </c>
      <c r="L146" s="139">
        <v>6.9479695431472086</v>
      </c>
    </row>
    <row r="147" spans="2:12" ht="15.75" customHeight="1" x14ac:dyDescent="0.3">
      <c r="B147" s="2" t="s">
        <v>174</v>
      </c>
      <c r="C147" s="138">
        <v>3.8753985773853326E-2</v>
      </c>
      <c r="D147" s="138">
        <v>3.6062378167641324E-2</v>
      </c>
      <c r="G147" s="6" t="s">
        <v>174</v>
      </c>
      <c r="H147" s="134">
        <v>1.434059633027523</v>
      </c>
      <c r="K147" s="118" t="s">
        <v>174</v>
      </c>
      <c r="L147" s="139">
        <v>4.0286975717439297</v>
      </c>
    </row>
    <row r="148" spans="2:12" ht="15.75" customHeight="1" x14ac:dyDescent="0.3">
      <c r="B148" s="2" t="s">
        <v>175</v>
      </c>
      <c r="C148" s="138">
        <v>2.5372660957817952E-2</v>
      </c>
      <c r="D148" s="138">
        <v>3.3391915641476276E-2</v>
      </c>
      <c r="G148" s="6" t="s">
        <v>175</v>
      </c>
      <c r="H148" s="134">
        <v>1.6090425531914894</v>
      </c>
      <c r="K148" s="118" t="s">
        <v>175</v>
      </c>
      <c r="L148" s="139">
        <v>0.57881382810022197</v>
      </c>
    </row>
    <row r="149" spans="2:12" ht="15.75" customHeight="1" x14ac:dyDescent="0.3">
      <c r="B149" s="2" t="s">
        <v>176</v>
      </c>
      <c r="C149" s="138">
        <v>6.8811438784629128E-2</v>
      </c>
      <c r="D149" s="138">
        <v>9.7794822627037398E-2</v>
      </c>
      <c r="G149" s="6" t="s">
        <v>176</v>
      </c>
      <c r="H149" s="134">
        <v>2.831578947368421</v>
      </c>
      <c r="K149" s="118" t="s">
        <v>176</v>
      </c>
      <c r="L149" s="139">
        <v>24.463806970509385</v>
      </c>
    </row>
    <row r="150" spans="2:12" ht="15.75" customHeight="1" x14ac:dyDescent="0.3">
      <c r="B150" s="2" t="s">
        <v>178</v>
      </c>
      <c r="C150" s="138">
        <v>8.2086534573392642E-2</v>
      </c>
      <c r="D150" s="138">
        <v>-0.59961315280464211</v>
      </c>
      <c r="G150" s="6" t="s">
        <v>178</v>
      </c>
      <c r="H150" s="134">
        <v>1.4263183834401183</v>
      </c>
      <c r="K150" s="118" t="s">
        <v>178</v>
      </c>
      <c r="L150" s="139">
        <v>1.1645167812373636</v>
      </c>
    </row>
    <row r="151" spans="2:12" ht="15.75" customHeight="1" x14ac:dyDescent="0.3">
      <c r="B151" s="2" t="s">
        <v>179</v>
      </c>
      <c r="C151" s="138">
        <v>0.15947467166979362</v>
      </c>
      <c r="D151" s="138">
        <v>0.16043956043956045</v>
      </c>
      <c r="G151" s="6" t="s">
        <v>179</v>
      </c>
      <c r="H151" s="134">
        <v>6.4591836734693882</v>
      </c>
      <c r="K151" s="118" t="s">
        <v>179</v>
      </c>
      <c r="L151" s="139">
        <v>83.54596622889305</v>
      </c>
    </row>
    <row r="152" spans="2:12" ht="15.75" customHeight="1" thickBot="1" x14ac:dyDescent="0.35">
      <c r="B152" s="140" t="s">
        <v>180</v>
      </c>
      <c r="C152" s="141">
        <v>5.9945504087193457E-2</v>
      </c>
      <c r="D152" s="141">
        <v>7.0000000000000007E-2</v>
      </c>
      <c r="G152" s="120" t="s">
        <v>180</v>
      </c>
      <c r="H152" s="137">
        <v>1.8378378378378379</v>
      </c>
      <c r="K152" s="118" t="s">
        <v>180</v>
      </c>
      <c r="L152" s="139">
        <v>0.99455040871934597</v>
      </c>
    </row>
    <row r="153" spans="2:12" ht="14.4" thickBot="1" x14ac:dyDescent="0.35">
      <c r="C153" s="138"/>
      <c r="D153" s="138"/>
    </row>
    <row r="154" spans="2:12" ht="13.8" x14ac:dyDescent="0.3">
      <c r="B154" s="123" t="s">
        <v>159</v>
      </c>
      <c r="C154" s="142">
        <v>1.4500000000000001E-2</v>
      </c>
      <c r="D154" s="142">
        <v>1.5299999999999999E-2</v>
      </c>
      <c r="G154" s="123" t="s">
        <v>159</v>
      </c>
      <c r="H154" s="123">
        <v>1.78</v>
      </c>
      <c r="K154" s="123" t="s">
        <v>159</v>
      </c>
      <c r="L154" s="123">
        <v>12</v>
      </c>
    </row>
    <row r="171" spans="1:14" ht="13.8" x14ac:dyDescent="0.3">
      <c r="A171" s="114" t="s">
        <v>197</v>
      </c>
    </row>
    <row r="172" spans="1:14" ht="13.8" x14ac:dyDescent="0.3">
      <c r="B172" s="131" t="s">
        <v>166</v>
      </c>
      <c r="C172" s="131" t="s">
        <v>137</v>
      </c>
      <c r="D172" s="131" t="s">
        <v>48</v>
      </c>
      <c r="M172" s="131" t="s">
        <v>166</v>
      </c>
      <c r="N172" s="131" t="s">
        <v>198</v>
      </c>
    </row>
    <row r="173" spans="1:14" ht="13.8" x14ac:dyDescent="0.3">
      <c r="B173" s="2" t="s">
        <v>28</v>
      </c>
      <c r="C173" s="40">
        <v>96.396454265159292</v>
      </c>
      <c r="D173" s="40">
        <v>26.59755854707663</v>
      </c>
      <c r="M173" s="2" t="s">
        <v>28</v>
      </c>
      <c r="N173" s="138">
        <v>1.0373825548077564E-2</v>
      </c>
    </row>
    <row r="174" spans="1:14" ht="13.8" x14ac:dyDescent="0.3">
      <c r="B174" s="2" t="s">
        <v>170</v>
      </c>
      <c r="C174" s="40">
        <v>78.297665369649806</v>
      </c>
      <c r="D174" s="40">
        <v>8.4925937307928692</v>
      </c>
      <c r="M174" s="2" t="s">
        <v>170</v>
      </c>
      <c r="N174" s="138">
        <v>1.2771772891042366E-2</v>
      </c>
    </row>
    <row r="175" spans="1:14" ht="13.8" x14ac:dyDescent="0.3">
      <c r="B175" s="2" t="s">
        <v>171</v>
      </c>
      <c r="C175" s="40">
        <v>13.123238018525978</v>
      </c>
      <c r="D175" s="40">
        <v>0.61960855025899952</v>
      </c>
      <c r="M175" s="2" t="s">
        <v>171</v>
      </c>
      <c r="N175" s="138">
        <v>7.6200705846248259E-2</v>
      </c>
    </row>
    <row r="176" spans="1:14" ht="13.8" x14ac:dyDescent="0.3">
      <c r="B176" s="2" t="s">
        <v>172</v>
      </c>
      <c r="C176" s="40">
        <v>54.638242894056845</v>
      </c>
      <c r="D176" s="40">
        <v>5.5511933174224337</v>
      </c>
      <c r="M176" s="2" t="s">
        <v>172</v>
      </c>
      <c r="N176" s="138">
        <v>1.8302199101442422E-2</v>
      </c>
    </row>
    <row r="177" spans="1:42" ht="13.8" x14ac:dyDescent="0.3">
      <c r="B177" s="2" t="s">
        <v>173</v>
      </c>
      <c r="C177" s="40">
        <v>86.158575031525842</v>
      </c>
      <c r="D177" s="40">
        <v>9.0966497829232988</v>
      </c>
      <c r="M177" s="2" t="s">
        <v>173</v>
      </c>
      <c r="N177" s="138">
        <v>1.1606505790446222E-2</v>
      </c>
    </row>
    <row r="178" spans="1:42" ht="13.8" x14ac:dyDescent="0.3">
      <c r="B178" s="2" t="s">
        <v>174</v>
      </c>
      <c r="C178" s="40">
        <v>33.697665056360705</v>
      </c>
      <c r="D178" s="40">
        <v>4.6827972027972029</v>
      </c>
      <c r="M178" s="2" t="s">
        <v>174</v>
      </c>
      <c r="N178" s="138">
        <v>2.9675646616092229E-2</v>
      </c>
    </row>
    <row r="179" spans="1:42" ht="13.8" x14ac:dyDescent="0.3">
      <c r="B179" s="2" t="s">
        <v>175</v>
      </c>
      <c r="C179" s="40">
        <v>28.646060078363085</v>
      </c>
      <c r="D179" s="40">
        <v>7.4962025316455705</v>
      </c>
      <c r="M179" s="2" t="s">
        <v>175</v>
      </c>
      <c r="N179" s="138">
        <v>3.4908814589665653E-2</v>
      </c>
    </row>
    <row r="180" spans="1:42" ht="13.8" x14ac:dyDescent="0.3">
      <c r="B180" s="2" t="s">
        <v>176</v>
      </c>
      <c r="C180" s="40">
        <v>34.621232508073206</v>
      </c>
      <c r="D180" s="40">
        <v>3.9789432989690718</v>
      </c>
      <c r="M180" s="2" t="s">
        <v>176</v>
      </c>
      <c r="N180" s="138">
        <v>2.8884009249723088E-2</v>
      </c>
    </row>
    <row r="181" spans="1:42" ht="13.8" x14ac:dyDescent="0.3">
      <c r="B181" s="2" t="s">
        <v>178</v>
      </c>
      <c r="C181" s="40">
        <v>-3.5720022948938612</v>
      </c>
      <c r="D181" s="40">
        <v>0.77971720980339354</v>
      </c>
      <c r="M181" s="2" t="s">
        <v>178</v>
      </c>
      <c r="N181" s="138">
        <v>-0.27995502730485061</v>
      </c>
    </row>
    <row r="182" spans="1:42" ht="13.8" x14ac:dyDescent="0.3">
      <c r="B182" s="2" t="s">
        <v>179</v>
      </c>
      <c r="C182" s="40">
        <v>23.175182481751822</v>
      </c>
      <c r="D182" s="40">
        <v>3.2366504854368934</v>
      </c>
      <c r="M182" s="2" t="s">
        <v>179</v>
      </c>
      <c r="N182" s="138">
        <v>4.3149606299212599E-2</v>
      </c>
    </row>
    <row r="183" spans="1:42" ht="13.8" x14ac:dyDescent="0.3">
      <c r="B183" s="2" t="s">
        <v>180</v>
      </c>
      <c r="C183" s="40">
        <v>142.01754385964915</v>
      </c>
      <c r="D183" s="40">
        <v>5.0593750000000002</v>
      </c>
      <c r="M183" s="2" t="s">
        <v>180</v>
      </c>
      <c r="N183" s="138">
        <v>7.0413835701050023E-3</v>
      </c>
    </row>
    <row r="185" spans="1:42" ht="13.8" x14ac:dyDescent="0.3">
      <c r="B185" s="123" t="s">
        <v>159</v>
      </c>
      <c r="C185" s="123">
        <v>35</v>
      </c>
      <c r="D185" s="123">
        <v>5</v>
      </c>
      <c r="M185" s="123" t="s">
        <v>159</v>
      </c>
      <c r="N185" s="142">
        <v>1.7999999999999999E-2</v>
      </c>
    </row>
    <row r="187" spans="1:42" ht="15.75" customHeight="1" x14ac:dyDescent="0.3">
      <c r="A187" s="143" t="s">
        <v>199</v>
      </c>
      <c r="B187" s="143" t="s">
        <v>166</v>
      </c>
      <c r="C187" s="144" t="s">
        <v>6</v>
      </c>
      <c r="D187" s="144" t="s">
        <v>167</v>
      </c>
      <c r="E187" s="145" t="s">
        <v>200</v>
      </c>
      <c r="F187" s="146" t="s">
        <v>201</v>
      </c>
      <c r="G187" s="146" t="s">
        <v>202</v>
      </c>
      <c r="H187" s="146" t="s">
        <v>203</v>
      </c>
      <c r="I187" s="146" t="s">
        <v>204</v>
      </c>
      <c r="J187" s="146" t="s">
        <v>205</v>
      </c>
      <c r="K187" s="146" t="s">
        <v>206</v>
      </c>
      <c r="L187" s="146" t="s">
        <v>207</v>
      </c>
      <c r="M187" s="146" t="s">
        <v>13</v>
      </c>
      <c r="N187" s="146" t="s">
        <v>208</v>
      </c>
      <c r="O187" s="146" t="s">
        <v>12</v>
      </c>
      <c r="P187" s="147" t="s">
        <v>209</v>
      </c>
      <c r="Q187" s="146" t="s">
        <v>210</v>
      </c>
      <c r="R187" s="146" t="s">
        <v>168</v>
      </c>
      <c r="S187" s="146" t="s">
        <v>169</v>
      </c>
      <c r="T187" s="146" t="s">
        <v>211</v>
      </c>
      <c r="U187" s="146" t="s">
        <v>212</v>
      </c>
      <c r="V187" s="146" t="s">
        <v>213</v>
      </c>
      <c r="W187" s="146" t="s">
        <v>214</v>
      </c>
      <c r="X187" s="146" t="s">
        <v>215</v>
      </c>
      <c r="Y187" s="146" t="s">
        <v>216</v>
      </c>
      <c r="Z187" s="148" t="s">
        <v>192</v>
      </c>
      <c r="AA187" s="149" t="s">
        <v>217</v>
      </c>
      <c r="AB187" s="148" t="s">
        <v>191</v>
      </c>
      <c r="AC187" s="148" t="s">
        <v>193</v>
      </c>
      <c r="AD187" s="148" t="s">
        <v>194</v>
      </c>
      <c r="AE187" s="150" t="s">
        <v>41</v>
      </c>
      <c r="AF187" s="149" t="s">
        <v>195</v>
      </c>
      <c r="AG187" s="150" t="s">
        <v>196</v>
      </c>
      <c r="AH187" s="151" t="s">
        <v>39</v>
      </c>
      <c r="AI187" s="148" t="s">
        <v>40</v>
      </c>
      <c r="AJ187" s="148" t="s">
        <v>42</v>
      </c>
      <c r="AK187" s="148" t="s">
        <v>43</v>
      </c>
      <c r="AL187" s="148" t="s">
        <v>44</v>
      </c>
      <c r="AM187" s="148" t="s">
        <v>137</v>
      </c>
      <c r="AN187" s="148" t="s">
        <v>198</v>
      </c>
      <c r="AO187" s="148" t="s">
        <v>47</v>
      </c>
      <c r="AP187" s="148" t="s">
        <v>48</v>
      </c>
    </row>
    <row r="188" spans="1:42" ht="15.75" customHeight="1" x14ac:dyDescent="0.3">
      <c r="A188" s="152">
        <v>500114</v>
      </c>
      <c r="B188" s="153" t="s">
        <v>28</v>
      </c>
      <c r="C188" s="12">
        <f ca="1">IFERROR(__xludf.DUMMYFUNCTION("GOOGLEFINANCE(""bom:""&amp;A188,""price"")"),3769.1)</f>
        <v>3769.1</v>
      </c>
      <c r="D188" s="154">
        <f ca="1">IFERROR(__xludf.DUMMYFUNCTION("GOOGLEFINANCE(""bom:""&amp;A188,""marketcap"")/10000000"),334200.4177662)</f>
        <v>334200.41776619997</v>
      </c>
      <c r="E188" s="12">
        <v>27492</v>
      </c>
      <c r="F188" s="12">
        <v>18277</v>
      </c>
      <c r="G188" s="12">
        <v>32932</v>
      </c>
      <c r="H188" s="12">
        <v>20467</v>
      </c>
      <c r="I188" s="12">
        <v>89</v>
      </c>
      <c r="J188" s="12">
        <v>12465</v>
      </c>
      <c r="K188" s="12">
        <v>5500</v>
      </c>
      <c r="L188" s="12">
        <v>1563</v>
      </c>
      <c r="M188" s="12">
        <v>1</v>
      </c>
      <c r="N188" s="12"/>
      <c r="O188" s="154">
        <f ca="1">IFERROR(__xludf.DUMMYFUNCTION("GOOGLEFINANCE(""bom:""&amp;A188,""eps"")"),38.96)</f>
        <v>38.96</v>
      </c>
      <c r="P188" s="106">
        <f t="shared" ref="P188:P245" ca="1" si="0">D188/$D$247</f>
        <v>0.69281861563741487</v>
      </c>
      <c r="Q188" s="155">
        <v>16156</v>
      </c>
      <c r="R188" s="12">
        <v>40575</v>
      </c>
      <c r="S188" s="12">
        <v>3274</v>
      </c>
      <c r="T188" s="12">
        <v>35522</v>
      </c>
      <c r="U188" s="12">
        <v>28709</v>
      </c>
      <c r="V188" s="12">
        <v>2725</v>
      </c>
      <c r="W188" s="12">
        <v>2538</v>
      </c>
      <c r="X188" s="12">
        <v>300</v>
      </c>
      <c r="Y188" s="12">
        <v>36437</v>
      </c>
      <c r="Z188" s="156">
        <f t="shared" ref="Z188:Z198" si="1">(T188/U188)-1</f>
        <v>0.23731234107771093</v>
      </c>
      <c r="AA188" s="156">
        <f t="shared" ref="AA188:AA198" si="2">(V188/W188)-1</f>
        <v>7.3680063041765109E-2</v>
      </c>
      <c r="AB188" s="156">
        <f t="shared" ref="AB188:AB198" si="3">(R188/Q188)^(1/5)-1</f>
        <v>0.20222273564068716</v>
      </c>
      <c r="AC188" s="156">
        <f t="shared" ref="AC188:AC198" si="4">S188/R188</f>
        <v>8.0690080098582875E-2</v>
      </c>
      <c r="AD188" s="156">
        <f t="shared" ref="AD188:AD198" si="5">V188/T188</f>
        <v>7.6713022915376392E-2</v>
      </c>
      <c r="AE188" s="154">
        <f t="shared" ref="AE188:AE198" si="6">(R188-Y188+X188)/X188</f>
        <v>14.793333333333333</v>
      </c>
      <c r="AF188" s="157">
        <f t="shared" ref="AF188:AF198" si="7">E188/F188</f>
        <v>1.504185588444493</v>
      </c>
      <c r="AG188" s="154">
        <f t="shared" ref="AG188:AG198" si="8">(L188/R188)*365</f>
        <v>14.060258780036969</v>
      </c>
      <c r="AH188" s="157">
        <f t="shared" ref="AH188:AH198" si="9">K188/J188</f>
        <v>0.44123545928600078</v>
      </c>
      <c r="AI188" s="157">
        <f t="shared" ref="AI188:AI198" si="10">H188/G188</f>
        <v>0.62149277298676064</v>
      </c>
      <c r="AJ188" s="156">
        <f t="shared" ref="AJ188:AJ198" si="11">S188/J188</f>
        <v>0.26265543521861212</v>
      </c>
      <c r="AK188" s="157">
        <f t="shared" ref="AK188:AK198" si="12">S188/I188</f>
        <v>36.786516853932582</v>
      </c>
      <c r="AL188" s="156">
        <f t="shared" ref="AL188:AL198" si="13">S188/G188</f>
        <v>9.9416980444552411E-2</v>
      </c>
      <c r="AM188" s="154">
        <f t="shared" ref="AM188:AM198" ca="1" si="14">C188/O188</f>
        <v>96.742813141683769</v>
      </c>
      <c r="AN188" s="156">
        <f t="shared" ref="AN188:AN198" ca="1" si="15">O188/C188</f>
        <v>1.0336685150301133E-2</v>
      </c>
      <c r="AO188" s="154">
        <f t="shared" ref="AO188:AO198" si="16">(I188+J188)/(I188/M188)</f>
        <v>141.0561797752809</v>
      </c>
      <c r="AP188" s="154">
        <f t="shared" ref="AP188:AP198" ca="1" si="17">C188/AO188</f>
        <v>26.720559184323722</v>
      </c>
    </row>
    <row r="189" spans="1:42" ht="15.75" customHeight="1" x14ac:dyDescent="0.3">
      <c r="A189" s="152">
        <v>543278</v>
      </c>
      <c r="B189" s="153" t="s">
        <v>170</v>
      </c>
      <c r="C189" s="12">
        <f ca="1">IFERROR(__xludf.DUMMYFUNCTION("GOOGLEFINANCE(""bom:""&amp;A189,""price"")"),713.1)</f>
        <v>713.1</v>
      </c>
      <c r="D189" s="154">
        <f ca="1">IFERROR(__xludf.DUMMYFUNCTION("GOOGLEFINANCE(""bom:""&amp;A189,""marketcap"")/10000000"),73526.8416)</f>
        <v>73526.8416</v>
      </c>
      <c r="E189" s="12">
        <v>8859</v>
      </c>
      <c r="F189" s="12">
        <v>6773</v>
      </c>
      <c r="G189" s="12">
        <v>11476</v>
      </c>
      <c r="H189" s="12">
        <v>7624</v>
      </c>
      <c r="I189" s="12">
        <v>1030</v>
      </c>
      <c r="J189" s="12">
        <v>3851</v>
      </c>
      <c r="K189" s="12">
        <v>1562</v>
      </c>
      <c r="L189" s="12">
        <v>383</v>
      </c>
      <c r="M189" s="12">
        <v>10</v>
      </c>
      <c r="N189" s="12"/>
      <c r="O189" s="154">
        <f ca="1">IFERROR(__xludf.DUMMYFUNCTION("GOOGLEFINANCE(""bom:""&amp;A189,""eps"")"),6.11)</f>
        <v>6.11</v>
      </c>
      <c r="P189" s="106">
        <f t="shared" ca="1" si="0"/>
        <v>0.15242579572459017</v>
      </c>
      <c r="Q189" s="155">
        <v>10580</v>
      </c>
      <c r="R189" s="12">
        <v>14071</v>
      </c>
      <c r="S189" s="12">
        <v>432</v>
      </c>
      <c r="T189" s="12">
        <v>14013</v>
      </c>
      <c r="U189" s="12">
        <v>10690</v>
      </c>
      <c r="V189" s="12">
        <v>458</v>
      </c>
      <c r="W189" s="12">
        <v>362</v>
      </c>
      <c r="X189" s="12">
        <v>303</v>
      </c>
      <c r="Y189" s="12">
        <v>13505</v>
      </c>
      <c r="Z189" s="156">
        <f t="shared" si="1"/>
        <v>0.31085126286248821</v>
      </c>
      <c r="AA189" s="156">
        <f t="shared" si="2"/>
        <v>0.26519337016574585</v>
      </c>
      <c r="AB189" s="156">
        <f t="shared" si="3"/>
        <v>5.8687679670643256E-2</v>
      </c>
      <c r="AC189" s="156">
        <f t="shared" si="4"/>
        <v>3.070144268353351E-2</v>
      </c>
      <c r="AD189" s="156">
        <f t="shared" si="5"/>
        <v>3.2683936344822667E-2</v>
      </c>
      <c r="AE189" s="154">
        <f t="shared" si="6"/>
        <v>2.8679867986798682</v>
      </c>
      <c r="AF189" s="157">
        <f t="shared" si="7"/>
        <v>1.3079875978148532</v>
      </c>
      <c r="AG189" s="154">
        <f t="shared" si="8"/>
        <v>9.9349726387605717</v>
      </c>
      <c r="AH189" s="157">
        <f t="shared" si="9"/>
        <v>0.40560893274474163</v>
      </c>
      <c r="AI189" s="157">
        <f t="shared" si="10"/>
        <v>0.66434297664691533</v>
      </c>
      <c r="AJ189" s="156">
        <f t="shared" si="11"/>
        <v>0.11217865489483252</v>
      </c>
      <c r="AK189" s="157">
        <f t="shared" si="12"/>
        <v>0.41941747572815535</v>
      </c>
      <c r="AL189" s="156">
        <f t="shared" si="13"/>
        <v>3.7643778319972114E-2</v>
      </c>
      <c r="AM189" s="154">
        <f t="shared" ca="1" si="14"/>
        <v>116.71031096563011</v>
      </c>
      <c r="AN189" s="156">
        <f t="shared" ca="1" si="15"/>
        <v>8.56822325059599E-3</v>
      </c>
      <c r="AO189" s="154">
        <f t="shared" si="16"/>
        <v>47.38834951456311</v>
      </c>
      <c r="AP189" s="154">
        <f t="shared" ca="1" si="17"/>
        <v>15.048002458512599</v>
      </c>
    </row>
    <row r="190" spans="1:42" ht="15.75" customHeight="1" x14ac:dyDescent="0.3">
      <c r="A190" s="152">
        <v>531500</v>
      </c>
      <c r="B190" s="153" t="s">
        <v>171</v>
      </c>
      <c r="C190" s="12">
        <f ca="1">IFERROR(__xludf.DUMMYFUNCTION("GOOGLEFINANCE(""bom:""&amp;A190,""price"")"),293.8)</f>
        <v>293.8</v>
      </c>
      <c r="D190" s="154">
        <f ca="1">IFERROR(__xludf.DUMMYFUNCTION("GOOGLEFINANCE(""bom:""&amp;A190,""marketcap"")/10000000"),8658.4965675)</f>
        <v>8658.4965675000003</v>
      </c>
      <c r="E190" s="12">
        <v>15848</v>
      </c>
      <c r="F190" s="12">
        <v>3893</v>
      </c>
      <c r="G190" s="12">
        <v>19224</v>
      </c>
      <c r="H190" s="12">
        <v>4002</v>
      </c>
      <c r="I190" s="12">
        <v>29</v>
      </c>
      <c r="J190" s="12">
        <v>15222</v>
      </c>
      <c r="K190" s="12">
        <v>626</v>
      </c>
      <c r="L190" s="12">
        <v>11459</v>
      </c>
      <c r="M190" s="12">
        <v>1</v>
      </c>
      <c r="N190" s="12"/>
      <c r="O190" s="154">
        <f ca="1">IFERROR(__xludf.DUMMYFUNCTION("GOOGLEFINANCE(""bom:""&amp;A190,""eps"")"),1.33)</f>
        <v>1.33</v>
      </c>
      <c r="P190" s="106">
        <f t="shared" ca="1" si="0"/>
        <v>1.7949611330507906E-2</v>
      </c>
      <c r="Q190" s="155">
        <v>187685</v>
      </c>
      <c r="R190" s="12">
        <v>339689</v>
      </c>
      <c r="S190" s="12">
        <v>1432</v>
      </c>
      <c r="T190" s="12">
        <v>189231</v>
      </c>
      <c r="U190" s="12">
        <v>224241</v>
      </c>
      <c r="V190" s="12">
        <v>367</v>
      </c>
      <c r="W190" s="12">
        <v>1066</v>
      </c>
      <c r="X190" s="12">
        <v>238</v>
      </c>
      <c r="Y190" s="12">
        <v>338235</v>
      </c>
      <c r="Z190" s="156">
        <f t="shared" si="1"/>
        <v>-0.156126667290995</v>
      </c>
      <c r="AA190" s="156">
        <f t="shared" si="2"/>
        <v>-0.65572232645403372</v>
      </c>
      <c r="AB190" s="156">
        <f t="shared" si="3"/>
        <v>0.12597924100766988</v>
      </c>
      <c r="AC190" s="156">
        <f t="shared" si="4"/>
        <v>4.2156207589883685E-3</v>
      </c>
      <c r="AD190" s="156">
        <f t="shared" si="5"/>
        <v>1.9394285291522001E-3</v>
      </c>
      <c r="AE190" s="154">
        <f t="shared" si="6"/>
        <v>7.1092436974789912</v>
      </c>
      <c r="AF190" s="157">
        <f t="shared" si="7"/>
        <v>4.0708964808630874</v>
      </c>
      <c r="AG190" s="154">
        <f t="shared" si="8"/>
        <v>12.312836153069426</v>
      </c>
      <c r="AH190" s="157">
        <f t="shared" si="9"/>
        <v>4.1124687951648926E-2</v>
      </c>
      <c r="AI190" s="157">
        <f t="shared" si="10"/>
        <v>0.20817727840199751</v>
      </c>
      <c r="AJ190" s="156">
        <f t="shared" si="11"/>
        <v>9.4074366049139407E-2</v>
      </c>
      <c r="AK190" s="157">
        <f t="shared" si="12"/>
        <v>49.379310344827587</v>
      </c>
      <c r="AL190" s="156">
        <f t="shared" si="13"/>
        <v>7.4490220557636294E-2</v>
      </c>
      <c r="AM190" s="154">
        <f t="shared" ca="1" si="14"/>
        <v>220.90225563909775</v>
      </c>
      <c r="AN190" s="156">
        <f t="shared" ca="1" si="15"/>
        <v>4.5268890401633762E-3</v>
      </c>
      <c r="AO190" s="154">
        <f t="shared" si="16"/>
        <v>525.89655172413791</v>
      </c>
      <c r="AP190" s="154">
        <f t="shared" ca="1" si="17"/>
        <v>0.55866500557340504</v>
      </c>
    </row>
    <row r="191" spans="1:42" ht="15.75" customHeight="1" x14ac:dyDescent="0.3">
      <c r="A191" s="152">
        <v>532156</v>
      </c>
      <c r="B191" s="153" t="s">
        <v>172</v>
      </c>
      <c r="C191" s="12">
        <f ca="1">IFERROR(__xludf.DUMMYFUNCTION("GOOGLEFINANCE(""bom:""&amp;A191,""price"")"),309.4)</f>
        <v>309.39999999999998</v>
      </c>
      <c r="D191" s="154">
        <f ca="1">IFERROR(__xludf.DUMMYFUNCTION("GOOGLEFINANCE(""bom:""&amp;A191,""marketcap"")/10000000"),5144.3352884)</f>
        <v>5144.3352883999996</v>
      </c>
      <c r="E191" s="12">
        <v>1169</v>
      </c>
      <c r="F191" s="12">
        <v>518</v>
      </c>
      <c r="G191" s="12">
        <v>1822</v>
      </c>
      <c r="H191" s="12">
        <v>598</v>
      </c>
      <c r="I191" s="12">
        <v>33</v>
      </c>
      <c r="J191" s="12">
        <v>1224</v>
      </c>
      <c r="K191" s="12">
        <v>120</v>
      </c>
      <c r="L191" s="12">
        <v>260</v>
      </c>
      <c r="M191" s="12">
        <v>2</v>
      </c>
      <c r="N191" s="12"/>
      <c r="O191" s="154">
        <f ca="1">IFERROR(__xludf.DUMMYFUNCTION("GOOGLEFINANCE(""bom:""&amp;A191,""eps"")"),7.48)</f>
        <v>7.48</v>
      </c>
      <c r="P191" s="106">
        <f t="shared" ca="1" si="0"/>
        <v>1.066453260802731E-2</v>
      </c>
      <c r="Q191" s="155">
        <v>1575</v>
      </c>
      <c r="R191" s="12">
        <v>2691</v>
      </c>
      <c r="S191" s="12">
        <v>105</v>
      </c>
      <c r="T191" s="12">
        <v>2251</v>
      </c>
      <c r="U191" s="12">
        <v>1998</v>
      </c>
      <c r="V191" s="12">
        <v>105</v>
      </c>
      <c r="W191" s="12">
        <v>82</v>
      </c>
      <c r="X191" s="12">
        <v>8</v>
      </c>
      <c r="Y191" s="12">
        <v>2577</v>
      </c>
      <c r="Z191" s="156">
        <f t="shared" si="1"/>
        <v>0.12662662662662671</v>
      </c>
      <c r="AA191" s="156">
        <f t="shared" si="2"/>
        <v>0.28048780487804881</v>
      </c>
      <c r="AB191" s="156">
        <f t="shared" si="3"/>
        <v>0.11308063709977656</v>
      </c>
      <c r="AC191" s="156">
        <f t="shared" si="4"/>
        <v>3.901895206243032E-2</v>
      </c>
      <c r="AD191" s="156">
        <f t="shared" si="5"/>
        <v>4.6645935139937804E-2</v>
      </c>
      <c r="AE191" s="154">
        <f t="shared" si="6"/>
        <v>15.25</v>
      </c>
      <c r="AF191" s="157">
        <f t="shared" si="7"/>
        <v>2.2567567567567566</v>
      </c>
      <c r="AG191" s="154">
        <f t="shared" si="8"/>
        <v>35.265700483091784</v>
      </c>
      <c r="AH191" s="157">
        <f t="shared" si="9"/>
        <v>9.8039215686274508E-2</v>
      </c>
      <c r="AI191" s="157">
        <f t="shared" si="10"/>
        <v>0.32821075740944017</v>
      </c>
      <c r="AJ191" s="156">
        <f t="shared" si="11"/>
        <v>8.5784313725490197E-2</v>
      </c>
      <c r="AK191" s="157">
        <f t="shared" si="12"/>
        <v>3.1818181818181817</v>
      </c>
      <c r="AL191" s="156">
        <f t="shared" si="13"/>
        <v>5.7628979143798026E-2</v>
      </c>
      <c r="AM191" s="154">
        <f t="shared" ca="1" si="14"/>
        <v>41.36363636363636</v>
      </c>
      <c r="AN191" s="156">
        <f t="shared" ca="1" si="15"/>
        <v>2.417582417582418E-2</v>
      </c>
      <c r="AO191" s="154">
        <f t="shared" si="16"/>
        <v>76.181818181818187</v>
      </c>
      <c r="AP191" s="154">
        <f t="shared" ca="1" si="17"/>
        <v>4.0613365155131262</v>
      </c>
    </row>
    <row r="192" spans="1:42" ht="15.75" customHeight="1" x14ac:dyDescent="0.3">
      <c r="A192" s="152">
        <v>543532</v>
      </c>
      <c r="B192" s="153" t="s">
        <v>173</v>
      </c>
      <c r="C192" s="12">
        <f ca="1">IFERROR(__xludf.DUMMYFUNCTION("GOOGLEFINANCE(""bom:""&amp;A192,""price"")"),3380)</f>
        <v>3380</v>
      </c>
      <c r="D192" s="154">
        <f ca="1">IFERROR(__xludf.DUMMYFUNCTION("GOOGLEFINANCE(""bom:""&amp;A192,""marketcap"")/10000000"),8264.7190657)</f>
        <v>8264.7190656999992</v>
      </c>
      <c r="E192" s="12">
        <v>656</v>
      </c>
      <c r="F192" s="12">
        <v>150</v>
      </c>
      <c r="G192" s="12">
        <v>935</v>
      </c>
      <c r="H192" s="12">
        <v>267</v>
      </c>
      <c r="I192" s="12">
        <v>23</v>
      </c>
      <c r="J192" s="12">
        <v>668</v>
      </c>
      <c r="K192" s="12">
        <v>6.88</v>
      </c>
      <c r="L192" s="12">
        <v>15</v>
      </c>
      <c r="M192" s="12">
        <v>10</v>
      </c>
      <c r="N192" s="12"/>
      <c r="O192" s="154">
        <f ca="1">IFERROR(__xludf.DUMMYFUNCTION("GOOGLEFINANCE(""bom:""&amp;A192,""eps"")"),36.65)</f>
        <v>36.65</v>
      </c>
      <c r="P192" s="106">
        <f t="shared" ca="1" si="0"/>
        <v>1.7133285649379965E-2</v>
      </c>
      <c r="Q192" s="155">
        <v>356</v>
      </c>
      <c r="R192" s="12">
        <v>788</v>
      </c>
      <c r="S192" s="12">
        <v>60</v>
      </c>
      <c r="T192" s="12">
        <v>746</v>
      </c>
      <c r="U192" s="12">
        <v>581</v>
      </c>
      <c r="V192" s="12">
        <v>62</v>
      </c>
      <c r="W192" s="12">
        <v>47</v>
      </c>
      <c r="X192" s="12">
        <v>14</v>
      </c>
      <c r="Y192" s="12">
        <v>723</v>
      </c>
      <c r="Z192" s="156">
        <f t="shared" si="1"/>
        <v>0.28399311531841653</v>
      </c>
      <c r="AA192" s="156">
        <f t="shared" si="2"/>
        <v>0.31914893617021267</v>
      </c>
      <c r="AB192" s="156">
        <f t="shared" si="3"/>
        <v>0.17223651077836721</v>
      </c>
      <c r="AC192" s="156">
        <f t="shared" si="4"/>
        <v>7.6142131979695438E-2</v>
      </c>
      <c r="AD192" s="156">
        <f t="shared" si="5"/>
        <v>8.3109919571045576E-2</v>
      </c>
      <c r="AE192" s="154">
        <f t="shared" si="6"/>
        <v>5.6428571428571432</v>
      </c>
      <c r="AF192" s="157">
        <f t="shared" si="7"/>
        <v>4.3733333333333331</v>
      </c>
      <c r="AG192" s="154">
        <f t="shared" si="8"/>
        <v>6.9479695431472086</v>
      </c>
      <c r="AH192" s="157">
        <f t="shared" si="9"/>
        <v>1.029940119760479E-2</v>
      </c>
      <c r="AI192" s="157">
        <f t="shared" si="10"/>
        <v>0.28556149732620323</v>
      </c>
      <c r="AJ192" s="156">
        <f t="shared" si="11"/>
        <v>8.9820359281437126E-2</v>
      </c>
      <c r="AK192" s="157">
        <f t="shared" si="12"/>
        <v>2.6086956521739131</v>
      </c>
      <c r="AL192" s="156">
        <f t="shared" si="13"/>
        <v>6.4171122994652413E-2</v>
      </c>
      <c r="AM192" s="154">
        <f t="shared" ca="1" si="14"/>
        <v>92.2237380627558</v>
      </c>
      <c r="AN192" s="156">
        <f t="shared" ca="1" si="15"/>
        <v>1.0843195266272188E-2</v>
      </c>
      <c r="AO192" s="154">
        <f t="shared" si="16"/>
        <v>300.43478260869568</v>
      </c>
      <c r="AP192" s="154">
        <f t="shared" ca="1" si="17"/>
        <v>11.250361794500723</v>
      </c>
    </row>
    <row r="193" spans="1:42" ht="15.75" customHeight="1" x14ac:dyDescent="0.3">
      <c r="A193" s="152">
        <v>543936</v>
      </c>
      <c r="B193" s="153" t="s">
        <v>174</v>
      </c>
      <c r="C193" s="12">
        <f ca="1">IFERROR(__xludf.DUMMYFUNCTION("GOOGLEFINANCE(""bom:""&amp;A193,""price"")"),1279.5)</f>
        <v>1279.5</v>
      </c>
      <c r="D193" s="154">
        <f ca="1">IFERROR(__xludf.DUMMYFUNCTION("GOOGLEFINANCE(""bom:""&amp;A193,""marketcap"")/10000000"),9986.1675136)</f>
        <v>9986.1675135999994</v>
      </c>
      <c r="E193" s="12">
        <v>2501</v>
      </c>
      <c r="F193" s="12">
        <v>1744</v>
      </c>
      <c r="G193" s="12">
        <v>2905</v>
      </c>
      <c r="H193" s="12">
        <v>1959</v>
      </c>
      <c r="I193" s="12">
        <v>56</v>
      </c>
      <c r="J193" s="12">
        <v>945</v>
      </c>
      <c r="K193" s="12">
        <v>1177.45</v>
      </c>
      <c r="L193" s="12">
        <v>45</v>
      </c>
      <c r="M193" s="12">
        <v>10</v>
      </c>
      <c r="N193" s="12"/>
      <c r="O193" s="154">
        <v>24.84</v>
      </c>
      <c r="P193" s="106">
        <f t="shared" ca="1" si="0"/>
        <v>2.0701957222374855E-2</v>
      </c>
      <c r="Q193" s="12">
        <v>2215</v>
      </c>
      <c r="R193" s="12">
        <v>4077</v>
      </c>
      <c r="S193" s="12">
        <v>158</v>
      </c>
      <c r="T193" s="12">
        <v>4104</v>
      </c>
      <c r="U193" s="12">
        <v>3263</v>
      </c>
      <c r="V193" s="12">
        <v>148</v>
      </c>
      <c r="W193" s="12">
        <v>132</v>
      </c>
      <c r="X193" s="12">
        <v>86</v>
      </c>
      <c r="Y193" s="12">
        <v>3892</v>
      </c>
      <c r="Z193" s="156">
        <f t="shared" si="1"/>
        <v>0.25773827765859636</v>
      </c>
      <c r="AA193" s="156">
        <f t="shared" si="2"/>
        <v>0.1212121212121211</v>
      </c>
      <c r="AB193" s="156">
        <f t="shared" si="3"/>
        <v>0.12977873528413553</v>
      </c>
      <c r="AC193" s="156">
        <f t="shared" si="4"/>
        <v>3.8753985773853326E-2</v>
      </c>
      <c r="AD193" s="156">
        <f t="shared" si="5"/>
        <v>3.6062378167641324E-2</v>
      </c>
      <c r="AE193" s="154">
        <f t="shared" si="6"/>
        <v>3.1511627906976742</v>
      </c>
      <c r="AF193" s="157">
        <f t="shared" si="7"/>
        <v>1.434059633027523</v>
      </c>
      <c r="AG193" s="154">
        <f t="shared" si="8"/>
        <v>4.0286975717439297</v>
      </c>
      <c r="AH193" s="157">
        <f t="shared" si="9"/>
        <v>1.245978835978836</v>
      </c>
      <c r="AI193" s="157">
        <f t="shared" si="10"/>
        <v>0.67435456110154901</v>
      </c>
      <c r="AJ193" s="156">
        <f t="shared" si="11"/>
        <v>0.1671957671957672</v>
      </c>
      <c r="AK193" s="157">
        <f t="shared" si="12"/>
        <v>2.8214285714285716</v>
      </c>
      <c r="AL193" s="156">
        <f t="shared" si="13"/>
        <v>5.4388984509466436E-2</v>
      </c>
      <c r="AM193" s="154">
        <f t="shared" ca="1" si="14"/>
        <v>51.509661835748794</v>
      </c>
      <c r="AN193" s="156">
        <f t="shared" ca="1" si="15"/>
        <v>1.9413833528722158E-2</v>
      </c>
      <c r="AO193" s="154">
        <f t="shared" si="16"/>
        <v>178.75</v>
      </c>
      <c r="AP193" s="154">
        <f t="shared" ca="1" si="17"/>
        <v>7.1580419580419576</v>
      </c>
    </row>
    <row r="194" spans="1:42" ht="15.75" customHeight="1" x14ac:dyDescent="0.3">
      <c r="A194" s="152">
        <v>533158</v>
      </c>
      <c r="B194" s="153" t="s">
        <v>175</v>
      </c>
      <c r="C194" s="12">
        <f ca="1">IFERROR(__xludf.DUMMYFUNCTION("GOOGLEFINANCE(""bom:""&amp;A194,""price"")"),2238.7)</f>
        <v>2238.6999999999998</v>
      </c>
      <c r="D194" s="154">
        <f ca="1">IFERROR(__xludf.DUMMYFUNCTION("GOOGLEFINANCE(""bom:""&amp;A194,""marketcap"")/10000000"),6131.6916214)</f>
        <v>6131.6916214000003</v>
      </c>
      <c r="E194" s="12">
        <v>1210</v>
      </c>
      <c r="F194" s="12">
        <v>752</v>
      </c>
      <c r="G194" s="12">
        <v>1357</v>
      </c>
      <c r="H194" s="12">
        <v>910</v>
      </c>
      <c r="I194" s="12">
        <v>27</v>
      </c>
      <c r="J194" s="12">
        <v>447</v>
      </c>
      <c r="K194" s="12">
        <v>504</v>
      </c>
      <c r="L194" s="12">
        <v>5</v>
      </c>
      <c r="M194" s="12">
        <v>10</v>
      </c>
      <c r="N194" s="12"/>
      <c r="O194" s="154">
        <f ca="1">IFERROR(__xludf.DUMMYFUNCTION("GOOGLEFINANCE(""bom:""&amp;A194,""eps"")"),44.17)</f>
        <v>44.17</v>
      </c>
      <c r="P194" s="106">
        <f t="shared" ca="1" si="0"/>
        <v>1.2711384770397882E-2</v>
      </c>
      <c r="Q194" s="12">
        <v>1379</v>
      </c>
      <c r="R194" s="12">
        <v>3153</v>
      </c>
      <c r="S194" s="12">
        <v>80</v>
      </c>
      <c r="T194" s="12">
        <v>2845</v>
      </c>
      <c r="U194" s="12">
        <v>2382</v>
      </c>
      <c r="V194" s="12">
        <v>95</v>
      </c>
      <c r="W194" s="12">
        <v>49</v>
      </c>
      <c r="X194" s="12">
        <v>35</v>
      </c>
      <c r="Y194" s="12">
        <v>3048</v>
      </c>
      <c r="Z194" s="156">
        <f t="shared" si="1"/>
        <v>0.19437447523089846</v>
      </c>
      <c r="AA194" s="156">
        <f t="shared" si="2"/>
        <v>0.93877551020408156</v>
      </c>
      <c r="AB194" s="156">
        <f t="shared" si="3"/>
        <v>0.17986397493065875</v>
      </c>
      <c r="AC194" s="156">
        <f t="shared" si="4"/>
        <v>2.5372660957817952E-2</v>
      </c>
      <c r="AD194" s="156">
        <f t="shared" si="5"/>
        <v>3.3391915641476276E-2</v>
      </c>
      <c r="AE194" s="154">
        <f t="shared" si="6"/>
        <v>4</v>
      </c>
      <c r="AF194" s="157">
        <f t="shared" si="7"/>
        <v>1.6090425531914894</v>
      </c>
      <c r="AG194" s="154">
        <f t="shared" si="8"/>
        <v>0.57881382810022197</v>
      </c>
      <c r="AH194" s="157">
        <f t="shared" si="9"/>
        <v>1.1275167785234899</v>
      </c>
      <c r="AI194" s="157">
        <f t="shared" si="10"/>
        <v>0.67059690493736179</v>
      </c>
      <c r="AJ194" s="156">
        <f t="shared" si="11"/>
        <v>0.17897091722595079</v>
      </c>
      <c r="AK194" s="157">
        <f t="shared" si="12"/>
        <v>2.9629629629629628</v>
      </c>
      <c r="AL194" s="156">
        <f t="shared" si="13"/>
        <v>5.8953574060427415E-2</v>
      </c>
      <c r="AM194" s="154">
        <f t="shared" ca="1" si="14"/>
        <v>50.683721983246542</v>
      </c>
      <c r="AN194" s="156">
        <f t="shared" ca="1" si="15"/>
        <v>1.9730200562826643E-2</v>
      </c>
      <c r="AO194" s="154">
        <f t="shared" si="16"/>
        <v>175.55555555555554</v>
      </c>
      <c r="AP194" s="154">
        <f t="shared" ca="1" si="17"/>
        <v>12.752088607594937</v>
      </c>
    </row>
    <row r="195" spans="1:42" ht="15.75" customHeight="1" x14ac:dyDescent="0.3">
      <c r="A195" s="152">
        <v>532054</v>
      </c>
      <c r="B195" s="153" t="s">
        <v>176</v>
      </c>
      <c r="C195" s="12">
        <f ca="1">IFERROR(__xludf.DUMMYFUNCTION("GOOGLEFINANCE(""bom:""&amp;A195,""price"")"),3090)</f>
        <v>3090</v>
      </c>
      <c r="D195" s="154">
        <f ca="1">IFERROR(__xludf.DUMMYFUNCTION("GOOGLEFINANCE(""bom:""&amp;A195,""marketcap"")/10000000"),3879.2952617)</f>
        <v>3879.2952617000001</v>
      </c>
      <c r="E195" s="12">
        <v>807</v>
      </c>
      <c r="F195" s="12">
        <v>285</v>
      </c>
      <c r="G195" s="12">
        <v>1236</v>
      </c>
      <c r="H195" s="12">
        <v>472</v>
      </c>
      <c r="I195" s="12">
        <v>12</v>
      </c>
      <c r="J195" s="12">
        <v>764</v>
      </c>
      <c r="K195" s="12">
        <v>108</v>
      </c>
      <c r="L195" s="12">
        <v>75</v>
      </c>
      <c r="M195" s="12">
        <v>10</v>
      </c>
      <c r="N195" s="12"/>
      <c r="O195" s="154">
        <f ca="1">IFERROR(__xludf.DUMMYFUNCTION("GOOGLEFINANCE(""bom:""&amp;A195,""eps"")"),75.11)</f>
        <v>75.11</v>
      </c>
      <c r="P195" s="106">
        <f t="shared" ca="1" si="0"/>
        <v>8.0420245756245672E-3</v>
      </c>
      <c r="Q195" s="12">
        <v>503</v>
      </c>
      <c r="R195" s="12">
        <v>1119</v>
      </c>
      <c r="S195" s="12">
        <v>77</v>
      </c>
      <c r="T195" s="12">
        <v>1043</v>
      </c>
      <c r="U195" s="12">
        <v>820</v>
      </c>
      <c r="V195" s="12">
        <v>102</v>
      </c>
      <c r="W195" s="12">
        <v>55</v>
      </c>
      <c r="X195" s="12">
        <v>24</v>
      </c>
      <c r="Y195" s="12">
        <v>1032</v>
      </c>
      <c r="Z195" s="156">
        <f t="shared" si="1"/>
        <v>0.27195121951219514</v>
      </c>
      <c r="AA195" s="156">
        <f t="shared" si="2"/>
        <v>0.8545454545454545</v>
      </c>
      <c r="AB195" s="156">
        <f t="shared" si="3"/>
        <v>0.17341712018673738</v>
      </c>
      <c r="AC195" s="156">
        <f t="shared" si="4"/>
        <v>6.8811438784629128E-2</v>
      </c>
      <c r="AD195" s="156">
        <f t="shared" si="5"/>
        <v>9.7794822627037398E-2</v>
      </c>
      <c r="AE195" s="154">
        <f t="shared" si="6"/>
        <v>4.625</v>
      </c>
      <c r="AF195" s="157">
        <f t="shared" si="7"/>
        <v>2.831578947368421</v>
      </c>
      <c r="AG195" s="154">
        <f t="shared" si="8"/>
        <v>24.463806970509385</v>
      </c>
      <c r="AH195" s="157">
        <f t="shared" si="9"/>
        <v>0.14136125654450263</v>
      </c>
      <c r="AI195" s="157">
        <f t="shared" si="10"/>
        <v>0.3818770226537217</v>
      </c>
      <c r="AJ195" s="156">
        <f t="shared" si="11"/>
        <v>0.10078534031413612</v>
      </c>
      <c r="AK195" s="157">
        <f t="shared" si="12"/>
        <v>6.416666666666667</v>
      </c>
      <c r="AL195" s="156">
        <f t="shared" si="13"/>
        <v>6.2297734627831718E-2</v>
      </c>
      <c r="AM195" s="154">
        <f t="shared" ca="1" si="14"/>
        <v>41.139661829316999</v>
      </c>
      <c r="AN195" s="156">
        <f t="shared" ca="1" si="15"/>
        <v>2.4307443365695791E-2</v>
      </c>
      <c r="AO195" s="154">
        <f t="shared" si="16"/>
        <v>646.66666666666674</v>
      </c>
      <c r="AP195" s="154">
        <f t="shared" ca="1" si="17"/>
        <v>4.7783505154639165</v>
      </c>
    </row>
    <row r="196" spans="1:42" ht="15.75" customHeight="1" x14ac:dyDescent="0.3">
      <c r="A196" s="152">
        <v>534809</v>
      </c>
      <c r="B196" s="153" t="s">
        <v>178</v>
      </c>
      <c r="C196" s="12">
        <f ca="1">IFERROR(__xludf.DUMMYFUNCTION("GOOGLEFINANCE(""bom:""&amp;A196,""price"")"),151.4)</f>
        <v>151.4</v>
      </c>
      <c r="D196" s="154">
        <f ca="1">IFERROR(__xludf.DUMMYFUNCTION("GOOGLEFINANCE(""bom:""&amp;A196,""marketcap"")/10000000"),7069.4834379)</f>
        <v>7069.4834379000004</v>
      </c>
      <c r="E196" s="12">
        <v>5788</v>
      </c>
      <c r="F196" s="12">
        <v>4058</v>
      </c>
      <c r="G196" s="12">
        <v>7352</v>
      </c>
      <c r="H196" s="12">
        <v>4103</v>
      </c>
      <c r="I196" s="12">
        <v>465</v>
      </c>
      <c r="J196" s="12">
        <v>3248</v>
      </c>
      <c r="K196" s="12">
        <v>3840</v>
      </c>
      <c r="L196" s="12">
        <v>7.89</v>
      </c>
      <c r="M196" s="12">
        <v>10</v>
      </c>
      <c r="N196" s="12"/>
      <c r="O196" s="154">
        <f ca="1">IFERROR(__xludf.DUMMYFUNCTION("GOOGLEFINANCE(""bom:""&amp;A196,""eps"")"),-6.48)</f>
        <v>-6.48</v>
      </c>
      <c r="P196" s="106">
        <f t="shared" ca="1" si="0"/>
        <v>1.465548655341288E-2</v>
      </c>
      <c r="Q196" s="12">
        <v>9615</v>
      </c>
      <c r="R196" s="12">
        <v>2473</v>
      </c>
      <c r="S196" s="12">
        <v>203</v>
      </c>
      <c r="T196" s="12">
        <v>517</v>
      </c>
      <c r="U196" s="12">
        <v>1445</v>
      </c>
      <c r="V196" s="12">
        <v>-310</v>
      </c>
      <c r="W196" s="12">
        <v>160</v>
      </c>
      <c r="X196" s="12">
        <v>492</v>
      </c>
      <c r="Y196" s="12">
        <v>2744</v>
      </c>
      <c r="Z196" s="156">
        <f t="shared" si="1"/>
        <v>-0.64221453287197239</v>
      </c>
      <c r="AA196" s="156">
        <f t="shared" si="2"/>
        <v>-2.9375</v>
      </c>
      <c r="AB196" s="156">
        <f t="shared" si="3"/>
        <v>-0.23782453296181305</v>
      </c>
      <c r="AC196" s="156">
        <f t="shared" si="4"/>
        <v>8.2086534573392642E-2</v>
      </c>
      <c r="AD196" s="156">
        <f t="shared" si="5"/>
        <v>-0.59961315280464211</v>
      </c>
      <c r="AE196" s="154">
        <f t="shared" si="6"/>
        <v>0.44918699186991867</v>
      </c>
      <c r="AF196" s="157">
        <f t="shared" si="7"/>
        <v>1.4263183834401183</v>
      </c>
      <c r="AG196" s="154">
        <f t="shared" si="8"/>
        <v>1.1645167812373636</v>
      </c>
      <c r="AH196" s="157">
        <f t="shared" si="9"/>
        <v>1.1822660098522169</v>
      </c>
      <c r="AI196" s="157">
        <f t="shared" si="10"/>
        <v>0.55807943416757344</v>
      </c>
      <c r="AJ196" s="156">
        <f t="shared" si="11"/>
        <v>6.25E-2</v>
      </c>
      <c r="AK196" s="157">
        <f t="shared" si="12"/>
        <v>0.43655913978494626</v>
      </c>
      <c r="AL196" s="156">
        <f t="shared" si="13"/>
        <v>2.7611534276387378E-2</v>
      </c>
      <c r="AM196" s="154">
        <f t="shared" ca="1" si="14"/>
        <v>-23.364197530864196</v>
      </c>
      <c r="AN196" s="156">
        <f t="shared" ca="1" si="15"/>
        <v>-4.2800528401585207E-2</v>
      </c>
      <c r="AO196" s="154">
        <f t="shared" si="16"/>
        <v>79.849462365591393</v>
      </c>
      <c r="AP196" s="154">
        <f t="shared" ca="1" si="17"/>
        <v>1.8960678696471858</v>
      </c>
    </row>
    <row r="197" spans="1:42" ht="15.75" customHeight="1" x14ac:dyDescent="0.3">
      <c r="A197" s="152">
        <v>526729</v>
      </c>
      <c r="B197" s="153" t="s">
        <v>179</v>
      </c>
      <c r="C197" s="12">
        <f ca="1">IFERROR(__xludf.DUMMYFUNCTION("GOOGLEFINANCE(""bom:""&amp;A197,""price"")"),368.7)</f>
        <v>368.7</v>
      </c>
      <c r="D197" s="154">
        <f ca="1">IFERROR(__xludf.DUMMYFUNCTION("GOOGLEFINANCE(""bom:""&amp;A197,""marketcap"")/10000000"),3960.4963486)</f>
        <v>3960.4963486000001</v>
      </c>
      <c r="E197" s="12">
        <v>633</v>
      </c>
      <c r="F197" s="12">
        <v>98</v>
      </c>
      <c r="G197" s="12">
        <v>699</v>
      </c>
      <c r="H197" s="12">
        <v>102</v>
      </c>
      <c r="I197" s="12">
        <v>21</v>
      </c>
      <c r="J197" s="12">
        <v>597</v>
      </c>
      <c r="K197" s="12">
        <v>0.8</v>
      </c>
      <c r="L197" s="12">
        <v>122</v>
      </c>
      <c r="M197" s="12">
        <v>2</v>
      </c>
      <c r="N197" s="12"/>
      <c r="O197" s="154">
        <f ca="1">IFERROR(__xludf.DUMMYFUNCTION("GOOGLEFINANCE(""bom:""&amp;A197,""eps"")"),8.86)</f>
        <v>8.86</v>
      </c>
      <c r="P197" s="106">
        <f t="shared" ca="1" si="0"/>
        <v>8.2103595675145774E-3</v>
      </c>
      <c r="Q197" s="12">
        <v>319</v>
      </c>
      <c r="R197" s="12">
        <v>533</v>
      </c>
      <c r="S197" s="12">
        <v>85</v>
      </c>
      <c r="T197" s="12">
        <v>455</v>
      </c>
      <c r="U197" s="12">
        <v>419</v>
      </c>
      <c r="V197" s="12">
        <v>73</v>
      </c>
      <c r="W197" s="12">
        <v>68</v>
      </c>
      <c r="X197" s="12">
        <v>1</v>
      </c>
      <c r="Y197" s="12">
        <v>437</v>
      </c>
      <c r="Z197" s="156">
        <f t="shared" si="1"/>
        <v>8.591885441527447E-2</v>
      </c>
      <c r="AA197" s="156">
        <f t="shared" si="2"/>
        <v>7.3529411764705843E-2</v>
      </c>
      <c r="AB197" s="156">
        <f t="shared" si="3"/>
        <v>0.10812130599375092</v>
      </c>
      <c r="AC197" s="156">
        <f t="shared" si="4"/>
        <v>0.15947467166979362</v>
      </c>
      <c r="AD197" s="156">
        <f t="shared" si="5"/>
        <v>0.16043956043956045</v>
      </c>
      <c r="AE197" s="154">
        <f t="shared" si="6"/>
        <v>97</v>
      </c>
      <c r="AF197" s="157">
        <f t="shared" si="7"/>
        <v>6.4591836734693882</v>
      </c>
      <c r="AG197" s="154">
        <f t="shared" si="8"/>
        <v>83.54596622889305</v>
      </c>
      <c r="AH197" s="157">
        <f t="shared" si="9"/>
        <v>1.340033500837521E-3</v>
      </c>
      <c r="AI197" s="157">
        <f t="shared" si="10"/>
        <v>0.14592274678111589</v>
      </c>
      <c r="AJ197" s="156">
        <f t="shared" si="11"/>
        <v>0.14237855946398659</v>
      </c>
      <c r="AK197" s="157">
        <f t="shared" si="12"/>
        <v>4.0476190476190474</v>
      </c>
      <c r="AL197" s="156">
        <f t="shared" si="13"/>
        <v>0.12160228898426323</v>
      </c>
      <c r="AM197" s="154">
        <f t="shared" ca="1" si="14"/>
        <v>41.613995485327315</v>
      </c>
      <c r="AN197" s="156">
        <f t="shared" ca="1" si="15"/>
        <v>2.4030377000271223E-2</v>
      </c>
      <c r="AO197" s="154">
        <f t="shared" si="16"/>
        <v>58.857142857142854</v>
      </c>
      <c r="AP197" s="154">
        <f t="shared" ca="1" si="17"/>
        <v>6.2643203883495149</v>
      </c>
    </row>
    <row r="198" spans="1:42" ht="15.75" customHeight="1" x14ac:dyDescent="0.3">
      <c r="A198" s="152">
        <v>544053</v>
      </c>
      <c r="B198" s="153" t="s">
        <v>180</v>
      </c>
      <c r="C198" s="12">
        <f ca="1">IFERROR(__xludf.DUMMYFUNCTION("GOOGLEFINANCE(""bom:""&amp;A198,""price"")"),257.4)</f>
        <v>257.39999999999998</v>
      </c>
      <c r="D198" s="154">
        <f ca="1">IFERROR(__xludf.DUMMYFUNCTION("GOOGLEFINANCE(""bom:""&amp;A198,""marketcap"")/10000000"),2529.0771661)</f>
        <v>2529.0771660999999</v>
      </c>
      <c r="E198" s="12">
        <v>340</v>
      </c>
      <c r="F198" s="12">
        <v>185</v>
      </c>
      <c r="G198" s="12">
        <v>348</v>
      </c>
      <c r="H198" s="12">
        <v>205</v>
      </c>
      <c r="I198" s="12">
        <v>65</v>
      </c>
      <c r="J198" s="12">
        <v>143</v>
      </c>
      <c r="K198" s="12">
        <v>166</v>
      </c>
      <c r="L198" s="154">
        <v>1</v>
      </c>
      <c r="M198" s="12">
        <v>10</v>
      </c>
      <c r="N198" s="12"/>
      <c r="O198" s="154">
        <v>1.1399999999999999</v>
      </c>
      <c r="P198" s="106">
        <f t="shared" ca="1" si="0"/>
        <v>5.2429370159656624E-3</v>
      </c>
      <c r="Q198" s="12">
        <v>223</v>
      </c>
      <c r="R198" s="12">
        <v>367</v>
      </c>
      <c r="S198" s="12">
        <v>22</v>
      </c>
      <c r="T198" s="12">
        <v>300</v>
      </c>
      <c r="U198" s="12">
        <v>275</v>
      </c>
      <c r="V198" s="12">
        <v>21</v>
      </c>
      <c r="W198" s="12">
        <v>19</v>
      </c>
      <c r="X198" s="154">
        <v>17</v>
      </c>
      <c r="Y198" s="12">
        <v>336</v>
      </c>
      <c r="Z198" s="156">
        <f t="shared" si="1"/>
        <v>9.0909090909090828E-2</v>
      </c>
      <c r="AA198" s="156">
        <f t="shared" si="2"/>
        <v>0.10526315789473695</v>
      </c>
      <c r="AB198" s="156">
        <f t="shared" si="3"/>
        <v>0.10477093553144079</v>
      </c>
      <c r="AC198" s="156">
        <f t="shared" si="4"/>
        <v>5.9945504087193457E-2</v>
      </c>
      <c r="AD198" s="156">
        <f t="shared" si="5"/>
        <v>7.0000000000000007E-2</v>
      </c>
      <c r="AE198" s="154">
        <f t="shared" si="6"/>
        <v>2.8235294117647061</v>
      </c>
      <c r="AF198" s="157">
        <f t="shared" si="7"/>
        <v>1.8378378378378379</v>
      </c>
      <c r="AG198" s="154">
        <f t="shared" si="8"/>
        <v>0.99455040871934597</v>
      </c>
      <c r="AH198" s="157">
        <f t="shared" si="9"/>
        <v>1.1608391608391608</v>
      </c>
      <c r="AI198" s="157">
        <f t="shared" si="10"/>
        <v>0.58908045977011492</v>
      </c>
      <c r="AJ198" s="156">
        <f t="shared" si="11"/>
        <v>0.15384615384615385</v>
      </c>
      <c r="AK198" s="157">
        <f t="shared" si="12"/>
        <v>0.33846153846153848</v>
      </c>
      <c r="AL198" s="156">
        <f t="shared" si="13"/>
        <v>6.3218390804597707E-2</v>
      </c>
      <c r="AM198" s="154">
        <f t="shared" ca="1" si="14"/>
        <v>225.78947368421052</v>
      </c>
      <c r="AN198" s="156">
        <f t="shared" ca="1" si="15"/>
        <v>4.4289044289044293E-3</v>
      </c>
      <c r="AO198" s="154">
        <f t="shared" si="16"/>
        <v>32</v>
      </c>
      <c r="AP198" s="154">
        <f t="shared" ca="1" si="17"/>
        <v>8.0437499999999993</v>
      </c>
    </row>
    <row r="199" spans="1:42" ht="15.75" customHeight="1" x14ac:dyDescent="0.3">
      <c r="A199" s="152">
        <v>543995</v>
      </c>
      <c r="B199" s="153" t="s">
        <v>185</v>
      </c>
      <c r="C199" s="12">
        <f ca="1">IFERROR(__xludf.DUMMYFUNCTION("GOOGLEFINANCE(""bom:""&amp;A199,""price"")"),300.95)</f>
        <v>300.95</v>
      </c>
      <c r="D199" s="154">
        <f ca="1">IFERROR(__xludf.DUMMYFUNCTION("GOOGLEFINANCE(""bom:""&amp;A199,""marketcap"")/10000000"),1471.4802348)</f>
        <v>1471.4802348000001</v>
      </c>
      <c r="P199" s="106">
        <f t="shared" ca="1" si="0"/>
        <v>3.0504716481987004E-3</v>
      </c>
    </row>
    <row r="200" spans="1:42" ht="15.75" customHeight="1" x14ac:dyDescent="0.3">
      <c r="A200" s="152">
        <v>541967</v>
      </c>
      <c r="B200" s="153" t="s">
        <v>181</v>
      </c>
      <c r="C200" s="12">
        <f ca="1">IFERROR(__xludf.DUMMYFUNCTION("GOOGLEFINANCE(""bom:""&amp;A200,""price"")"),2590)</f>
        <v>2590</v>
      </c>
      <c r="D200" s="154">
        <f ca="1">IFERROR(__xludf.DUMMYFUNCTION("GOOGLEFINANCE(""bom:""&amp;A200,""marketcap"")/10000000"),3525.653868)</f>
        <v>3525.6538679999999</v>
      </c>
      <c r="P200" s="106">
        <f t="shared" ca="1" si="0"/>
        <v>7.3089035865696586E-3</v>
      </c>
    </row>
    <row r="201" spans="1:42" ht="15.75" customHeight="1" x14ac:dyDescent="0.3">
      <c r="A201" s="152">
        <v>500414</v>
      </c>
      <c r="B201" s="153" t="s">
        <v>182</v>
      </c>
      <c r="C201" s="12">
        <f ca="1">IFERROR(__xludf.DUMMYFUNCTION("GOOGLEFINANCE(""bom:""&amp;A201,""price"")"),146.7)</f>
        <v>146.69999999999999</v>
      </c>
      <c r="D201" s="154">
        <f ca="1">IFERROR(__xludf.DUMMYFUNCTION("GOOGLEFINANCE(""bom:""&amp;A201,""marketcap"")/10000000"),1488.5062446)</f>
        <v>1488.5062445999999</v>
      </c>
      <c r="P201" s="106">
        <f t="shared" ca="1" si="0"/>
        <v>3.0857676439916119E-3</v>
      </c>
    </row>
    <row r="202" spans="1:42" ht="15.75" customHeight="1" x14ac:dyDescent="0.3">
      <c r="A202" s="152">
        <v>531847</v>
      </c>
      <c r="B202" s="153" t="s">
        <v>183</v>
      </c>
      <c r="C202" s="12">
        <f ca="1">IFERROR(__xludf.DUMMYFUNCTION("GOOGLEFINANCE(""bom:""&amp;A202,""price"")"),863)</f>
        <v>863</v>
      </c>
      <c r="D202" s="154">
        <f ca="1">IFERROR(__xludf.DUMMYFUNCTION("GOOGLEFINANCE(""bom:""&amp;A202,""marketcap"")/10000000"),1392.9108853)</f>
        <v>1392.9108853</v>
      </c>
      <c r="P202" s="106">
        <f t="shared" ca="1" si="0"/>
        <v>2.8875924144863016E-3</v>
      </c>
    </row>
    <row r="203" spans="1:42" ht="15.75" customHeight="1" x14ac:dyDescent="0.3">
      <c r="A203" s="152">
        <v>532923</v>
      </c>
      <c r="B203" s="153" t="s">
        <v>184</v>
      </c>
      <c r="C203" s="12">
        <f ca="1">IFERROR(__xludf.DUMMYFUNCTION("GOOGLEFINANCE(""bom:""&amp;A203,""price"")"),143.5)</f>
        <v>143.5</v>
      </c>
      <c r="D203" s="154">
        <f ca="1">IFERROR(__xludf.DUMMYFUNCTION("GOOGLEFINANCE(""bom:""&amp;A203,""marketcap"")/10000000"),1382.0813226)</f>
        <v>1382.0813226</v>
      </c>
      <c r="P203" s="106">
        <f t="shared" ca="1" si="0"/>
        <v>2.8651420456689246E-3</v>
      </c>
    </row>
    <row r="204" spans="1:42" ht="15.75" customHeight="1" x14ac:dyDescent="0.3">
      <c r="A204" s="152">
        <v>534369</v>
      </c>
      <c r="B204" s="153" t="s">
        <v>186</v>
      </c>
      <c r="C204" s="12">
        <f ca="1">IFERROR(__xludf.DUMMYFUNCTION("GOOGLEFINANCE(""bom:""&amp;A204,""price"")"),306.55)</f>
        <v>306.55</v>
      </c>
      <c r="D204" s="154">
        <f ca="1">IFERROR(__xludf.DUMMYFUNCTION("GOOGLEFINANCE(""bom:""&amp;A204,""marketcap"")/10000000"),2044.8928291)</f>
        <v>2044.8928291</v>
      </c>
      <c r="P204" s="106">
        <f t="shared" ca="1" si="0"/>
        <v>4.2391922441433394E-3</v>
      </c>
    </row>
    <row r="205" spans="1:42" ht="15.75" customHeight="1" x14ac:dyDescent="0.3">
      <c r="A205" s="152">
        <v>543953</v>
      </c>
      <c r="B205" s="153" t="s">
        <v>187</v>
      </c>
      <c r="C205" s="12">
        <f ca="1">IFERROR(__xludf.DUMMYFUNCTION("GOOGLEFINANCE(""bom:""&amp;A205,""price"")"),540)</f>
        <v>540</v>
      </c>
      <c r="D205" s="154">
        <f ca="1">IFERROR(__xludf.DUMMYFUNCTION("GOOGLEFINANCE(""bom:""&amp;A205,""marketcap"")/10000000"),1346.230816)</f>
        <v>1346.230816</v>
      </c>
      <c r="P205" s="106">
        <f t="shared" ca="1" si="0"/>
        <v>2.79082167671628E-3</v>
      </c>
    </row>
    <row r="206" spans="1:42" ht="15.75" customHeight="1" x14ac:dyDescent="0.3">
      <c r="A206" s="152">
        <v>540125</v>
      </c>
      <c r="B206" s="153" t="s">
        <v>188</v>
      </c>
      <c r="C206" s="12">
        <f ca="1">IFERROR(__xludf.DUMMYFUNCTION("GOOGLEFINANCE(""bom:""&amp;A206,""price"")"),128.1)</f>
        <v>128.1</v>
      </c>
      <c r="D206" s="154">
        <f ca="1">IFERROR(__xludf.DUMMYFUNCTION("GOOGLEFINANCE(""bom:""&amp;A206,""marketcap"")/10000000"),1528.1)</f>
        <v>1528.1</v>
      </c>
      <c r="P206" s="106">
        <f t="shared" ca="1" si="0"/>
        <v>3.1678480045951845E-3</v>
      </c>
    </row>
    <row r="207" spans="1:42" ht="15.75" customHeight="1" x14ac:dyDescent="0.3">
      <c r="A207" s="152">
        <v>544060</v>
      </c>
      <c r="B207" s="153" t="s">
        <v>189</v>
      </c>
      <c r="C207" s="12">
        <f ca="1">IFERROR(__xludf.DUMMYFUNCTION("GOOGLEFINANCE(""bom:""&amp;A207,""price"")"),169.5)</f>
        <v>169.5</v>
      </c>
      <c r="D207" s="154">
        <f ca="1">IFERROR(__xludf.DUMMYFUNCTION("GOOGLEFINANCE(""bom:""&amp;A207,""marketcap"")/10000000"),678.5408745)</f>
        <v>678.54087449999997</v>
      </c>
      <c r="P207" s="106">
        <f t="shared" ca="1" si="0"/>
        <v>1.4066581737589795E-3</v>
      </c>
    </row>
    <row r="208" spans="1:42" ht="15.75" customHeight="1" x14ac:dyDescent="0.3">
      <c r="A208" s="152">
        <v>543709</v>
      </c>
      <c r="B208" s="153" t="s">
        <v>190</v>
      </c>
      <c r="C208" s="12">
        <f ca="1">IFERROR(__xludf.DUMMYFUNCTION("GOOGLEFINANCE(""bom:""&amp;A208,""price"")"),855.3)</f>
        <v>855.3</v>
      </c>
      <c r="D208" s="154">
        <f ca="1">IFERROR(__xludf.DUMMYFUNCTION("GOOGLEFINANCE(""bom:""&amp;A208,""marketcap"")/10000000"),885.5919)</f>
        <v>885.59190000000001</v>
      </c>
      <c r="P208" s="106">
        <f t="shared" ca="1" si="0"/>
        <v>1.8358880526802292E-3</v>
      </c>
    </row>
    <row r="209" spans="1:16" ht="15.75" customHeight="1" x14ac:dyDescent="0.3">
      <c r="A209" s="152">
        <v>539518</v>
      </c>
      <c r="B209" s="153" t="s">
        <v>218</v>
      </c>
      <c r="C209" s="12">
        <f ca="1">IFERROR(__xludf.DUMMYFUNCTION("GOOGLEFINANCE(""bom:""&amp;A209,""price"")"),157.8)</f>
        <v>157.80000000000001</v>
      </c>
      <c r="D209" s="154">
        <f ca="1">IFERROR(__xludf.DUMMYFUNCTION("GOOGLEFINANCE(""bom:""&amp;A209,""marketcap"")/10000000"),347.94602)</f>
        <v>347.94601999999998</v>
      </c>
      <c r="P209" s="106">
        <f t="shared" ca="1" si="0"/>
        <v>7.213141189476057E-4</v>
      </c>
    </row>
    <row r="210" spans="1:16" ht="15.75" customHeight="1" x14ac:dyDescent="0.3">
      <c r="A210" s="152">
        <v>542579</v>
      </c>
      <c r="B210" s="153" t="s">
        <v>219</v>
      </c>
      <c r="C210" s="12">
        <f ca="1">IFERROR(__xludf.DUMMYFUNCTION("GOOGLEFINANCE(""bom:""&amp;A210,""price"")"),7.73)</f>
        <v>7.73</v>
      </c>
      <c r="D210" s="154">
        <f ca="1">IFERROR(__xludf.DUMMYFUNCTION("GOOGLEFINANCE(""bom:""&amp;A210,""marketcap"")/10000000"),257.6521864)</f>
        <v>257.65218640000001</v>
      </c>
      <c r="P210" s="106">
        <f t="shared" ca="1" si="0"/>
        <v>5.3412928772123989E-4</v>
      </c>
    </row>
    <row r="211" spans="1:16" ht="15.75" customHeight="1" x14ac:dyDescent="0.3">
      <c r="A211" s="152">
        <v>542020</v>
      </c>
      <c r="B211" s="153" t="s">
        <v>220</v>
      </c>
      <c r="C211" s="12">
        <f ca="1">IFERROR(__xludf.DUMMYFUNCTION("GOOGLEFINANCE(""bom:""&amp;A211,""price"")"),19.2)</f>
        <v>19.2</v>
      </c>
      <c r="D211" s="154">
        <f ca="1">IFERROR(__xludf.DUMMYFUNCTION("GOOGLEFINANCE(""bom:""&amp;A211,""marketcap"")/10000000"),169.8932581)</f>
        <v>169.8932581</v>
      </c>
      <c r="P211" s="106">
        <f t="shared" ca="1" si="0"/>
        <v>3.5219947560124316E-4</v>
      </c>
    </row>
    <row r="212" spans="1:16" ht="15.75" customHeight="1" x14ac:dyDescent="0.3">
      <c r="A212" s="152">
        <v>530525</v>
      </c>
      <c r="B212" s="153" t="s">
        <v>221</v>
      </c>
      <c r="C212" s="12">
        <f ca="1">IFERROR(__xludf.DUMMYFUNCTION("GOOGLEFINANCE(""bom:""&amp;A212,""price"")"),65.14)</f>
        <v>65.14</v>
      </c>
      <c r="D212" s="154">
        <f ca="1">IFERROR(__xludf.DUMMYFUNCTION("GOOGLEFINANCE(""bom:""&amp;A212,""marketcap"")/10000000"),203.775)</f>
        <v>203.77500000000001</v>
      </c>
      <c r="P212" s="106">
        <f t="shared" ca="1" si="0"/>
        <v>4.2243847073907714E-4</v>
      </c>
    </row>
    <row r="213" spans="1:16" ht="15.75" customHeight="1" x14ac:dyDescent="0.3">
      <c r="A213" s="152">
        <v>506184</v>
      </c>
      <c r="B213" s="153" t="s">
        <v>222</v>
      </c>
      <c r="C213" s="12">
        <f ca="1">IFERROR(__xludf.DUMMYFUNCTION("GOOGLEFINANCE(""bom:""&amp;A213,""price"")"),2.88)</f>
        <v>2.88</v>
      </c>
      <c r="D213" s="154">
        <f ca="1">IFERROR(__xludf.DUMMYFUNCTION("GOOGLEFINANCE(""bom:""&amp;A213,""marketcap"")/10000000"),56.9845885)</f>
        <v>56.984588500000001</v>
      </c>
      <c r="P213" s="106">
        <f t="shared" ca="1" si="0"/>
        <v>1.1813265818493732E-4</v>
      </c>
    </row>
    <row r="214" spans="1:16" ht="15.75" customHeight="1" x14ac:dyDescent="0.3">
      <c r="A214" s="152">
        <v>512099</v>
      </c>
      <c r="B214" s="153" t="s">
        <v>223</v>
      </c>
      <c r="C214" s="12">
        <f ca="1">IFERROR(__xludf.DUMMYFUNCTION("GOOGLEFINANCE(""bom:""&amp;A214,""price"")"),963.9)</f>
        <v>963.9</v>
      </c>
      <c r="D214" s="154">
        <f ca="1">IFERROR(__xludf.DUMMYFUNCTION("GOOGLEFINANCE(""bom:""&amp;A214,""marketcap"")/10000000"),175.3695606)</f>
        <v>175.3695606</v>
      </c>
      <c r="P214" s="106">
        <f t="shared" ca="1" si="0"/>
        <v>3.6355219724719872E-4</v>
      </c>
    </row>
    <row r="215" spans="1:16" ht="15.75" customHeight="1" x14ac:dyDescent="0.3">
      <c r="A215" s="152">
        <v>523676</v>
      </c>
      <c r="B215" s="153" t="s">
        <v>224</v>
      </c>
      <c r="C215" s="12">
        <f ca="1">IFERROR(__xludf.DUMMYFUNCTION("GOOGLEFINANCE(""bom:""&amp;A215,""price"")"),273.9)</f>
        <v>273.89999999999998</v>
      </c>
      <c r="D215" s="154">
        <f ca="1">IFERROR(__xludf.DUMMYFUNCTION("GOOGLEFINANCE(""bom:""&amp;A215,""marketcap"")/10000000"),190.7461469)</f>
        <v>190.74614690000001</v>
      </c>
      <c r="P215" s="106">
        <f t="shared" ca="1" si="0"/>
        <v>3.9542883374215368E-4</v>
      </c>
    </row>
    <row r="216" spans="1:16" ht="15.75" customHeight="1" x14ac:dyDescent="0.3">
      <c r="A216" s="152">
        <v>519455</v>
      </c>
      <c r="B216" s="153" t="s">
        <v>225</v>
      </c>
      <c r="C216" s="12">
        <f ca="1">IFERROR(__xludf.DUMMYFUNCTION("GOOGLEFINANCE(""bom:""&amp;A216,""price"")"),77.44)</f>
        <v>77.44</v>
      </c>
      <c r="D216" s="154">
        <f ca="1">IFERROR(__xludf.DUMMYFUNCTION("GOOGLEFINANCE(""bom:""&amp;A216,""marketcap"")/10000000"),159.737615)</f>
        <v>159.73761500000001</v>
      </c>
      <c r="P216" s="106">
        <f t="shared" ca="1" si="0"/>
        <v>3.3114618476313322E-4</v>
      </c>
    </row>
    <row r="217" spans="1:16" ht="15.75" customHeight="1" x14ac:dyDescent="0.3">
      <c r="A217" s="152">
        <v>539401</v>
      </c>
      <c r="B217" s="153" t="s">
        <v>226</v>
      </c>
      <c r="C217" s="12">
        <f ca="1">IFERROR(__xludf.DUMMYFUNCTION("GOOGLEFINANCE(""bom:""&amp;A217,""price"")"),255.55)</f>
        <v>255.55</v>
      </c>
      <c r="D217" s="154">
        <f ca="1">IFERROR(__xludf.DUMMYFUNCTION("GOOGLEFINANCE(""bom:""&amp;A217,""marketcap"")/10000000"),110.3209)</f>
        <v>110.32089999999999</v>
      </c>
      <c r="P217" s="106">
        <f t="shared" ca="1" si="0"/>
        <v>2.2870220727056143E-4</v>
      </c>
    </row>
    <row r="218" spans="1:16" ht="15.75" customHeight="1" x14ac:dyDescent="0.3">
      <c r="A218" s="152">
        <v>542850</v>
      </c>
      <c r="B218" s="153" t="s">
        <v>227</v>
      </c>
      <c r="C218" s="12">
        <f ca="1">IFERROR(__xludf.DUMMYFUNCTION("GOOGLEFINANCE(""bom:""&amp;A218,""price"")"),37.99)</f>
        <v>37.99</v>
      </c>
      <c r="D218" s="154">
        <f ca="1">IFERROR(__xludf.DUMMYFUNCTION("GOOGLEFINANCE(""bom:""&amp;A218,""marketcap"")/10000000"),52.4978894)</f>
        <v>52.497889399999998</v>
      </c>
      <c r="P218" s="106">
        <f t="shared" ca="1" si="0"/>
        <v>1.0883144701344722E-4</v>
      </c>
    </row>
    <row r="219" spans="1:16" ht="15.75" customHeight="1" x14ac:dyDescent="0.3">
      <c r="A219" s="152">
        <v>543848</v>
      </c>
      <c r="B219" s="153" t="s">
        <v>228</v>
      </c>
      <c r="C219" s="12">
        <f ca="1">IFERROR(__xludf.DUMMYFUNCTION("GOOGLEFINANCE(""bom:""&amp;A219,""price"")"),87.5)</f>
        <v>87.5</v>
      </c>
      <c r="D219" s="154">
        <f ca="1">IFERROR(__xludf.DUMMYFUNCTION("GOOGLEFINANCE(""bom:""&amp;A219,""marketcap"")/10000000"),78.1299662)</f>
        <v>78.129966199999998</v>
      </c>
      <c r="P219" s="106">
        <f t="shared" ca="1" si="0"/>
        <v>1.6196836432547557E-4</v>
      </c>
    </row>
    <row r="220" spans="1:16" ht="15.75" customHeight="1" x14ac:dyDescent="0.3">
      <c r="A220" s="152">
        <v>540953</v>
      </c>
      <c r="B220" s="153" t="s">
        <v>229</v>
      </c>
      <c r="C220" s="12">
        <f ca="1">IFERROR(__xludf.DUMMYFUNCTION("GOOGLEFINANCE(""bom:""&amp;A220,""price"")"),5.6)</f>
        <v>5.6</v>
      </c>
      <c r="D220" s="154">
        <f ca="1">IFERROR(__xludf.DUMMYFUNCTION("GOOGLEFINANCE(""bom:""&amp;A220,""marketcap"")/10000000"),70.6464778)</f>
        <v>70.6464778</v>
      </c>
      <c r="P220" s="106">
        <f t="shared" ca="1" si="0"/>
        <v>1.4645461928565408E-4</v>
      </c>
    </row>
    <row r="221" spans="1:16" ht="15.75" customHeight="1" x14ac:dyDescent="0.3">
      <c r="A221" s="152">
        <v>526365</v>
      </c>
      <c r="B221" s="153" t="s">
        <v>230</v>
      </c>
      <c r="C221" s="12">
        <f ca="1">IFERROR(__xludf.DUMMYFUNCTION("GOOGLEFINANCE(""bom:""&amp;A221,""price"")"),60.25)</f>
        <v>60.25</v>
      </c>
      <c r="D221" s="154">
        <f ca="1">IFERROR(__xludf.DUMMYFUNCTION("GOOGLEFINANCE(""bom:""&amp;A221,""marketcap"")/10000000"),126.9308816)</f>
        <v>126.93088160000001</v>
      </c>
      <c r="P221" s="106">
        <f t="shared" ca="1" si="0"/>
        <v>2.6313575027685866E-4</v>
      </c>
    </row>
    <row r="222" spans="1:16" ht="15.75" customHeight="1" x14ac:dyDescent="0.3">
      <c r="A222" s="152">
        <v>526849</v>
      </c>
      <c r="B222" s="153" t="s">
        <v>231</v>
      </c>
      <c r="C222" s="12">
        <f ca="1">IFERROR(__xludf.DUMMYFUNCTION("GOOGLEFINANCE(""bom:""&amp;A222,""price"")"),101)</f>
        <v>101</v>
      </c>
      <c r="D222" s="154">
        <f ca="1">IFERROR(__xludf.DUMMYFUNCTION("GOOGLEFINANCE(""bom:""&amp;A222,""marketcap"")/10000000"),66.8267535)</f>
        <v>66.826753499999995</v>
      </c>
      <c r="P222" s="106">
        <f t="shared" ca="1" si="0"/>
        <v>1.3853608908353463E-4</v>
      </c>
    </row>
    <row r="223" spans="1:16" ht="15.75" customHeight="1" x14ac:dyDescent="0.3">
      <c r="A223" s="152">
        <v>540252</v>
      </c>
      <c r="B223" s="153" t="s">
        <v>232</v>
      </c>
      <c r="C223" s="12">
        <f ca="1">IFERROR(__xludf.DUMMYFUNCTION("GOOGLEFINANCE(""bom:""&amp;A223,""price"")"),11.54)</f>
        <v>11.54</v>
      </c>
      <c r="D223" s="154">
        <f ca="1">IFERROR(__xludf.DUMMYFUNCTION("GOOGLEFINANCE(""bom:""&amp;A223,""marketcap"")/10000000"),94.92927)</f>
        <v>94.929270000000002</v>
      </c>
      <c r="P223" s="106">
        <f t="shared" ca="1" si="0"/>
        <v>1.9679438423347788E-4</v>
      </c>
    </row>
    <row r="224" spans="1:16" ht="15.75" customHeight="1" x14ac:dyDescent="0.3">
      <c r="A224" s="152">
        <v>540715</v>
      </c>
      <c r="B224" s="153" t="s">
        <v>233</v>
      </c>
      <c r="C224" s="12">
        <f ca="1">IFERROR(__xludf.DUMMYFUNCTION("GOOGLEFINANCE(""bom:""&amp;A224,""price"")"),24.99)</f>
        <v>24.99</v>
      </c>
      <c r="D224" s="154">
        <f ca="1">IFERROR(__xludf.DUMMYFUNCTION("GOOGLEFINANCE(""bom:""&amp;A224,""marketcap"")/10000000"),31.5967809)</f>
        <v>31.596780899999999</v>
      </c>
      <c r="P224" s="106">
        <f t="shared" ca="1" si="0"/>
        <v>6.5502126382891332E-5</v>
      </c>
    </row>
    <row r="225" spans="1:16" ht="15.75" customHeight="1" x14ac:dyDescent="0.3">
      <c r="A225" s="152">
        <v>531119</v>
      </c>
      <c r="B225" s="153" t="s">
        <v>234</v>
      </c>
      <c r="C225" s="12">
        <f ca="1">IFERROR(__xludf.DUMMYFUNCTION("GOOGLEFINANCE(""bom:""&amp;A225,""price"")"),1422)</f>
        <v>1422</v>
      </c>
      <c r="D225" s="154">
        <f ca="1">IFERROR(__xludf.DUMMYFUNCTION("GOOGLEFINANCE(""bom:""&amp;A225,""marketcap"")/10000000"),476.37)</f>
        <v>476.37</v>
      </c>
      <c r="P225" s="106">
        <f t="shared" ca="1" si="0"/>
        <v>9.8754515669721103E-4</v>
      </c>
    </row>
    <row r="226" spans="1:16" ht="15.75" customHeight="1" x14ac:dyDescent="0.3">
      <c r="A226" s="152">
        <v>540936</v>
      </c>
      <c r="B226" s="153" t="s">
        <v>235</v>
      </c>
      <c r="C226" s="12">
        <f ca="1">IFERROR(__xludf.DUMMYFUNCTION("GOOGLEFINANCE(""bom:""&amp;A226,""price"")"),7.66)</f>
        <v>7.66</v>
      </c>
      <c r="D226" s="154">
        <f ca="1">IFERROR(__xludf.DUMMYFUNCTION("GOOGLEFINANCE(""bom:""&amp;A226,""marketcap"")/10000000"),35.2725439)</f>
        <v>35.272543900000002</v>
      </c>
      <c r="P226" s="106">
        <f t="shared" ca="1" si="0"/>
        <v>7.3122215699634229E-5</v>
      </c>
    </row>
    <row r="227" spans="1:16" ht="15.75" customHeight="1" x14ac:dyDescent="0.3">
      <c r="A227" s="152">
        <v>543518</v>
      </c>
      <c r="B227" s="153" t="s">
        <v>236</v>
      </c>
      <c r="C227" s="12">
        <f ca="1">IFERROR(__xludf.DUMMYFUNCTION("GOOGLEFINANCE(""bom:""&amp;A227,""price"")"),54.44)</f>
        <v>54.44</v>
      </c>
      <c r="D227" s="154">
        <f ca="1">IFERROR(__xludf.DUMMYFUNCTION("GOOGLEFINANCE(""bom:""&amp;A227,""marketcap"")/10000000"),55.5246611)</f>
        <v>55.524661100000003</v>
      </c>
      <c r="P227" s="106">
        <f t="shared" ca="1" si="0"/>
        <v>1.1510613629439099E-4</v>
      </c>
    </row>
    <row r="228" spans="1:16" ht="15.75" customHeight="1" x14ac:dyDescent="0.3">
      <c r="A228" s="152">
        <v>539220</v>
      </c>
      <c r="B228" s="153" t="s">
        <v>237</v>
      </c>
      <c r="C228" s="12">
        <f ca="1">IFERROR(__xludf.DUMMYFUNCTION("GOOGLEFINANCE(""bom:""&amp;A228,""price"")"),58.66)</f>
        <v>58.66</v>
      </c>
      <c r="D228" s="154">
        <f ca="1">IFERROR(__xludf.DUMMYFUNCTION("GOOGLEFINANCE(""bom:""&amp;A228,""marketcap"")/10000000"),88.8675)</f>
        <v>88.867500000000007</v>
      </c>
      <c r="P228" s="106">
        <f t="shared" ca="1" si="0"/>
        <v>1.8422795140917651E-4</v>
      </c>
    </row>
    <row r="229" spans="1:16" ht="15.75" customHeight="1" x14ac:dyDescent="0.3">
      <c r="A229" s="152">
        <v>541338</v>
      </c>
      <c r="B229" s="153" t="s">
        <v>238</v>
      </c>
      <c r="C229" s="12">
        <f ca="1">IFERROR(__xludf.DUMMYFUNCTION("GOOGLEFINANCE(""bom:""&amp;A229,""price"")"),18.03)</f>
        <v>18.03</v>
      </c>
      <c r="D229" s="154">
        <f ca="1">IFERROR(__xludf.DUMMYFUNCTION("GOOGLEFINANCE(""bom:""&amp;A229,""marketcap"")/10000000"),18.3797826)</f>
        <v>18.379782599999999</v>
      </c>
      <c r="P229" s="106">
        <f t="shared" ca="1" si="0"/>
        <v>3.8102452479748245E-5</v>
      </c>
    </row>
    <row r="230" spans="1:16" ht="15.75" customHeight="1" x14ac:dyDescent="0.3">
      <c r="A230" s="152">
        <v>512587</v>
      </c>
      <c r="B230" s="153" t="s">
        <v>239</v>
      </c>
      <c r="C230" s="12">
        <f ca="1">IFERROR(__xludf.DUMMYFUNCTION("GOOGLEFINANCE(""bom:""&amp;A230,""price"")"),93.75)</f>
        <v>93.75</v>
      </c>
      <c r="D230" s="154">
        <f ca="1">IFERROR(__xludf.DUMMYFUNCTION("GOOGLEFINANCE(""bom:""&amp;A230,""marketcap"")/10000000"),49.7009376)</f>
        <v>49.700937600000003</v>
      </c>
      <c r="P230" s="106">
        <f t="shared" ca="1" si="0"/>
        <v>1.0303318892917336E-4</v>
      </c>
    </row>
    <row r="231" spans="1:16" ht="15.75" customHeight="1" x14ac:dyDescent="0.3">
      <c r="A231" s="152">
        <v>539559</v>
      </c>
      <c r="B231" s="153" t="s">
        <v>240</v>
      </c>
      <c r="C231" s="12">
        <f ca="1">IFERROR(__xludf.DUMMYFUNCTION("GOOGLEFINANCE(""bom:""&amp;A231,""price"")"),10.67)</f>
        <v>10.67</v>
      </c>
      <c r="D231" s="154">
        <f ca="1">IFERROR(__xludf.DUMMYFUNCTION("GOOGLEFINANCE(""bom:""&amp;A231,""marketcap"")/10000000"),51.2693503)</f>
        <v>51.269350299999999</v>
      </c>
      <c r="P231" s="106">
        <f t="shared" ca="1" si="0"/>
        <v>1.0628460771202574E-4</v>
      </c>
    </row>
    <row r="232" spans="1:16" ht="15.75" customHeight="1" x14ac:dyDescent="0.3">
      <c r="A232" s="152">
        <v>540545</v>
      </c>
      <c r="B232" s="153" t="s">
        <v>241</v>
      </c>
      <c r="C232" s="12">
        <f ca="1">IFERROR(__xludf.DUMMYFUNCTION("GOOGLEFINANCE(""bom:""&amp;A232,""price"")"),18.13)</f>
        <v>18.13</v>
      </c>
      <c r="D232" s="154">
        <f ca="1">IFERROR(__xludf.DUMMYFUNCTION("GOOGLEFINANCE(""bom:""&amp;A232,""marketcap"")/10000000"),27.3568694)</f>
        <v>27.356869400000001</v>
      </c>
      <c r="P232" s="106">
        <f t="shared" ca="1" si="0"/>
        <v>5.6712521523958556E-5</v>
      </c>
    </row>
    <row r="233" spans="1:16" ht="15.75" customHeight="1" x14ac:dyDescent="0.3">
      <c r="A233" s="152">
        <v>533189</v>
      </c>
      <c r="B233" s="153" t="s">
        <v>242</v>
      </c>
      <c r="C233" s="12">
        <f ca="1">IFERROR(__xludf.DUMMYFUNCTION("GOOGLEFINANCE(""bom:""&amp;A233,""price"")"),1.18)</f>
        <v>1.18</v>
      </c>
      <c r="D233" s="154">
        <f ca="1">IFERROR(__xludf.DUMMYFUNCTION("GOOGLEFINANCE(""bom:""&amp;A233,""marketcap"")/10000000"),37.7230018)</f>
        <v>37.723001799999999</v>
      </c>
      <c r="P233" s="106">
        <f t="shared" ca="1" si="0"/>
        <v>7.8202170001616755E-5</v>
      </c>
    </row>
    <row r="234" spans="1:16" ht="15.75" customHeight="1" x14ac:dyDescent="0.3">
      <c r="A234" s="152">
        <v>543171</v>
      </c>
      <c r="B234" s="153" t="s">
        <v>243</v>
      </c>
      <c r="C234" s="12">
        <f ca="1">IFERROR(__xludf.DUMMYFUNCTION("GOOGLEFINANCE(""bom:""&amp;A234,""price"")"),3.43)</f>
        <v>3.43</v>
      </c>
      <c r="D234" s="154">
        <f ca="1">IFERROR(__xludf.DUMMYFUNCTION("GOOGLEFINANCE(""bom:""&amp;A234,""marketcap"")/10000000"),17.1518002)</f>
        <v>17.1518002</v>
      </c>
      <c r="P234" s="106">
        <f t="shared" ca="1" si="0"/>
        <v>3.5556767252657088E-5</v>
      </c>
    </row>
    <row r="235" spans="1:16" ht="15.75" customHeight="1" x14ac:dyDescent="0.3">
      <c r="A235" s="152">
        <v>512595</v>
      </c>
      <c r="B235" s="153" t="s">
        <v>244</v>
      </c>
      <c r="C235" s="12">
        <f ca="1">IFERROR(__xludf.DUMMYFUNCTION("GOOGLEFINANCE(""bom:""&amp;A235,""price"")"),692)</f>
        <v>692</v>
      </c>
      <c r="D235" s="154">
        <f ca="1">IFERROR(__xludf.DUMMYFUNCTION("GOOGLEFINANCE(""bom:""&amp;A235,""marketcap"")/10000000"),34.67266)</f>
        <v>34.67266</v>
      </c>
      <c r="P235" s="106">
        <f t="shared" ca="1" si="0"/>
        <v>7.1878618411757924E-5</v>
      </c>
    </row>
    <row r="236" spans="1:16" ht="15.75" customHeight="1" x14ac:dyDescent="0.3">
      <c r="A236" s="152">
        <v>543545</v>
      </c>
      <c r="B236" s="153" t="s">
        <v>245</v>
      </c>
      <c r="C236" s="12">
        <f ca="1">IFERROR(__xludf.DUMMYFUNCTION("GOOGLEFINANCE(""bom:""&amp;A236,""price"")"),1.95)</f>
        <v>1.95</v>
      </c>
      <c r="D236" s="154">
        <f ca="1">IFERROR(__xludf.DUMMYFUNCTION("GOOGLEFINANCE(""bom:""&amp;A236,""marketcap"")/10000000"),25.5552381)</f>
        <v>25.5552381</v>
      </c>
      <c r="P236" s="106">
        <f t="shared" ca="1" si="0"/>
        <v>5.2977625824252234E-5</v>
      </c>
    </row>
    <row r="237" spans="1:16" ht="15.75" customHeight="1" x14ac:dyDescent="0.3">
      <c r="A237" s="152">
        <v>521210</v>
      </c>
      <c r="B237" s="153" t="s">
        <v>246</v>
      </c>
      <c r="C237" s="12">
        <f ca="1">IFERROR(__xludf.DUMMYFUNCTION("GOOGLEFINANCE(""bom:""&amp;A237,""price"")"),21.4)</f>
        <v>21.4</v>
      </c>
      <c r="D237" s="154">
        <f ca="1">IFERROR(__xludf.DUMMYFUNCTION("GOOGLEFINANCE(""bom:""&amp;A237,""marketcap"")/10000000"),25.0403321)</f>
        <v>25.040332100000001</v>
      </c>
      <c r="P237" s="106">
        <f t="shared" ca="1" si="0"/>
        <v>5.1910193100834865E-5</v>
      </c>
    </row>
    <row r="238" spans="1:16" ht="15.75" customHeight="1" x14ac:dyDescent="0.3">
      <c r="A238" s="152">
        <v>542034</v>
      </c>
      <c r="B238" s="153" t="s">
        <v>247</v>
      </c>
      <c r="C238" s="12">
        <f ca="1">IFERROR(__xludf.DUMMYFUNCTION("GOOGLEFINANCE(""bom:""&amp;A238,""price"")"),25.73)</f>
        <v>25.73</v>
      </c>
      <c r="D238" s="154">
        <f ca="1">IFERROR(__xludf.DUMMYFUNCTION("GOOGLEFINANCE(""bom:""&amp;A238,""marketcap"")/10000000"),25.8465882)</f>
        <v>25.846588199999999</v>
      </c>
      <c r="P238" s="106">
        <f t="shared" ca="1" si="0"/>
        <v>5.358161301941198E-5</v>
      </c>
    </row>
    <row r="239" spans="1:16" ht="15.75" customHeight="1" x14ac:dyDescent="0.3">
      <c r="A239" s="152">
        <v>534532</v>
      </c>
      <c r="B239" s="153" t="s">
        <v>248</v>
      </c>
      <c r="C239" s="12">
        <f ca="1">IFERROR(__xludf.DUMMYFUNCTION("GOOGLEFINANCE(""bom:""&amp;A239,""price"")"),9.42)</f>
        <v>9.42</v>
      </c>
      <c r="D239" s="154">
        <f ca="1">IFERROR(__xludf.DUMMYFUNCTION("GOOGLEFINANCE(""bom:""&amp;A239,""marketcap"")/10000000"),27.7149588)</f>
        <v>27.714958800000002</v>
      </c>
      <c r="P239" s="106">
        <f t="shared" ca="1" si="0"/>
        <v>5.7454863511561913E-5</v>
      </c>
    </row>
    <row r="240" spans="1:16" ht="15.75" customHeight="1" x14ac:dyDescent="0.3">
      <c r="A240" s="152">
        <v>531626</v>
      </c>
      <c r="B240" s="153" t="s">
        <v>249</v>
      </c>
      <c r="C240" s="12">
        <f ca="1">IFERROR(__xludf.DUMMYFUNCTION("GOOGLEFINANCE(""bom:""&amp;A240,""price"")"),4.43)</f>
        <v>4.43</v>
      </c>
      <c r="D240" s="154">
        <f ca="1">IFERROR(__xludf.DUMMYFUNCTION("GOOGLEFINANCE(""bom:""&amp;A240,""marketcap"")/10000000"),17.476668)</f>
        <v>17.476668</v>
      </c>
      <c r="P240" s="106">
        <f t="shared" ca="1" si="0"/>
        <v>3.6230238761057865E-5</v>
      </c>
    </row>
    <row r="241" spans="1:42" ht="15.75" customHeight="1" x14ac:dyDescent="0.3">
      <c r="A241" s="152">
        <v>539884</v>
      </c>
      <c r="B241" s="153" t="s">
        <v>250</v>
      </c>
      <c r="C241" s="12">
        <f ca="1">IFERROR(__xludf.DUMMYFUNCTION("GOOGLEFINANCE(""bom:""&amp;A241,""price"")"),4.94)</f>
        <v>4.9400000000000004</v>
      </c>
      <c r="D241" s="154">
        <f ca="1">IFERROR(__xludf.DUMMYFUNCTION("GOOGLEFINANCE(""bom:""&amp;A241,""marketcap"")/10000000"),24.5643953)</f>
        <v>24.564395300000001</v>
      </c>
      <c r="P241" s="106">
        <f t="shared" ca="1" si="0"/>
        <v>5.092354599515237E-5</v>
      </c>
    </row>
    <row r="242" spans="1:42" ht="15.75" customHeight="1" x14ac:dyDescent="0.3">
      <c r="A242" s="152">
        <v>540269</v>
      </c>
      <c r="B242" s="153" t="s">
        <v>251</v>
      </c>
      <c r="C242" s="12">
        <f ca="1">IFERROR(__xludf.DUMMYFUNCTION("GOOGLEFINANCE(""bom:""&amp;A242,""price"")"),12.8)</f>
        <v>12.8</v>
      </c>
      <c r="D242" s="154">
        <f ca="1">IFERROR(__xludf.DUMMYFUNCTION("GOOGLEFINANCE(""bom:""&amp;A242,""marketcap"")/10000000"),15.863117)</f>
        <v>15.863117000000001</v>
      </c>
      <c r="P242" s="106">
        <f t="shared" ca="1" si="0"/>
        <v>3.2885245425763996E-5</v>
      </c>
    </row>
    <row r="243" spans="1:42" ht="15.75" customHeight="1" x14ac:dyDescent="0.3">
      <c r="A243" s="152">
        <v>530675</v>
      </c>
      <c r="B243" s="153" t="s">
        <v>252</v>
      </c>
      <c r="C243" s="12">
        <f ca="1">IFERROR(__xludf.DUMMYFUNCTION("GOOGLEFINANCE(""bom:""&amp;A243,""price"")"),51.15)</f>
        <v>51.15</v>
      </c>
      <c r="D243" s="154">
        <f ca="1">IFERROR(__xludf.DUMMYFUNCTION("GOOGLEFINANCE(""bom:""&amp;A243,""marketcap"")/10000000"),17.20072)</f>
        <v>17.20072</v>
      </c>
      <c r="P243" s="106">
        <f t="shared" ca="1" si="0"/>
        <v>3.5658181093907783E-5</v>
      </c>
    </row>
    <row r="244" spans="1:42" ht="15.75" customHeight="1" x14ac:dyDescent="0.3">
      <c r="A244" s="152">
        <v>540148</v>
      </c>
      <c r="B244" s="153" t="s">
        <v>253</v>
      </c>
      <c r="C244" s="12">
        <f ca="1">IFERROR(__xludf.DUMMYFUNCTION("GOOGLEFINANCE(""bom:""&amp;A244,""price"")"),25.84)</f>
        <v>25.84</v>
      </c>
      <c r="D244" s="154">
        <f ca="1">IFERROR(__xludf.DUMMYFUNCTION("GOOGLEFINANCE(""bom:""&amp;A244,""marketcap"")/10000000"),11.88743)</f>
        <v>11.88743</v>
      </c>
      <c r="P244" s="106">
        <f t="shared" ca="1" si="0"/>
        <v>2.46433946765689E-5</v>
      </c>
    </row>
    <row r="245" spans="1:42" ht="15.75" customHeight="1" x14ac:dyDescent="0.3">
      <c r="A245" s="152">
        <v>526115</v>
      </c>
      <c r="B245" s="153" t="s">
        <v>254</v>
      </c>
      <c r="C245" s="12">
        <f ca="1">IFERROR(__xludf.DUMMYFUNCTION("GOOGLEFINANCE(""bom:""&amp;A245,""price"")"),6.69)</f>
        <v>6.69</v>
      </c>
      <c r="D245" s="154">
        <f ca="1">IFERROR(__xludf.DUMMYFUNCTION("GOOGLEFINANCE(""bom:""&amp;A245,""marketcap"")/10000000"),5.509215)</f>
        <v>5.5092150000000002</v>
      </c>
      <c r="P245" s="106">
        <f t="shared" ca="1" si="0"/>
        <v>1.1420951341296944E-5</v>
      </c>
    </row>
    <row r="246" spans="1:42" ht="13.8" x14ac:dyDescent="0.3">
      <c r="A246" s="12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06"/>
      <c r="Q246" s="159"/>
      <c r="R246" s="159"/>
      <c r="S246" s="159"/>
      <c r="T246" s="159"/>
      <c r="U246" s="159"/>
      <c r="V246" s="159"/>
      <c r="W246" s="159"/>
      <c r="X246" s="159"/>
      <c r="Y246" s="159"/>
      <c r="Z246" s="160"/>
      <c r="AA246" s="160"/>
      <c r="AB246" s="160"/>
      <c r="AC246" s="160"/>
      <c r="AD246" s="160"/>
      <c r="AE246" s="161"/>
      <c r="AF246" s="162"/>
      <c r="AG246" s="161"/>
      <c r="AH246" s="162"/>
      <c r="AI246" s="162"/>
      <c r="AJ246" s="160"/>
      <c r="AK246" s="162"/>
      <c r="AL246" s="160"/>
      <c r="AM246" s="159"/>
      <c r="AN246" s="159"/>
      <c r="AO246" s="161"/>
      <c r="AP246" s="159"/>
    </row>
    <row r="247" spans="1:42" ht="13.8" x14ac:dyDescent="0.3">
      <c r="A247" s="12"/>
      <c r="B247" s="158" t="s">
        <v>159</v>
      </c>
      <c r="C247" s="158"/>
      <c r="D247" s="163">
        <f t="shared" ref="D247:L247" ca="1" si="18">SUM(D188:D245)</f>
        <v>482377.94167630019</v>
      </c>
      <c r="E247" s="158">
        <f t="shared" si="18"/>
        <v>65303</v>
      </c>
      <c r="F247" s="158">
        <f t="shared" si="18"/>
        <v>36733</v>
      </c>
      <c r="G247" s="158">
        <f t="shared" si="18"/>
        <v>80286</v>
      </c>
      <c r="H247" s="158">
        <f t="shared" si="18"/>
        <v>40709</v>
      </c>
      <c r="I247" s="158">
        <f t="shared" si="18"/>
        <v>1850</v>
      </c>
      <c r="J247" s="158">
        <f t="shared" si="18"/>
        <v>39574</v>
      </c>
      <c r="K247" s="158">
        <f t="shared" si="18"/>
        <v>13611.13</v>
      </c>
      <c r="L247" s="158">
        <f t="shared" si="18"/>
        <v>13935.89</v>
      </c>
      <c r="M247" s="158">
        <f>MEDIAN(M188:M198)</f>
        <v>10</v>
      </c>
      <c r="N247" s="158"/>
      <c r="O247" s="163">
        <f ca="1">SUM(O188:O245)</f>
        <v>238.17000000000002</v>
      </c>
      <c r="P247" s="106">
        <f ca="1">D247/$D$247</f>
        <v>1</v>
      </c>
      <c r="Q247" s="158">
        <f t="shared" ref="Q247:Y247" si="19">SUM(Q188:Q245)</f>
        <v>230606</v>
      </c>
      <c r="R247" s="158">
        <f t="shared" si="19"/>
        <v>409536</v>
      </c>
      <c r="S247" s="158">
        <f t="shared" si="19"/>
        <v>5928</v>
      </c>
      <c r="T247" s="158">
        <f t="shared" si="19"/>
        <v>251027</v>
      </c>
      <c r="U247" s="158">
        <f t="shared" si="19"/>
        <v>274823</v>
      </c>
      <c r="V247" s="158">
        <f t="shared" si="19"/>
        <v>3846</v>
      </c>
      <c r="W247" s="158">
        <f t="shared" si="19"/>
        <v>4578</v>
      </c>
      <c r="X247" s="158">
        <f t="shared" si="19"/>
        <v>1518</v>
      </c>
      <c r="Y247" s="158">
        <f t="shared" si="19"/>
        <v>402966</v>
      </c>
      <c r="Z247" s="156">
        <f>(T247/U247)-1</f>
        <v>-8.6586639400632381E-2</v>
      </c>
      <c r="AA247" s="164">
        <f>(V247/W247)-1</f>
        <v>-0.15989515072083882</v>
      </c>
      <c r="AB247" s="164">
        <f>(R247/Q247)^(1/5)-1</f>
        <v>0.1217195685849366</v>
      </c>
      <c r="AC247" s="164">
        <f>S247/R247</f>
        <v>1.4474917955930615E-2</v>
      </c>
      <c r="AD247" s="164">
        <f>V247/T247</f>
        <v>1.5321061081078927E-2</v>
      </c>
      <c r="AE247" s="163">
        <f>(R247-Y247+X247)/X247</f>
        <v>5.3280632411067197</v>
      </c>
      <c r="AF247" s="165">
        <f>E247/F247</f>
        <v>1.7777747529469414</v>
      </c>
      <c r="AG247" s="163">
        <f>(L247/R247)*365</f>
        <v>12.420397352125331</v>
      </c>
      <c r="AH247" s="165">
        <f>K247/J247</f>
        <v>0.34394122403598321</v>
      </c>
      <c r="AI247" s="165">
        <f>H247/G247</f>
        <v>0.50704979697581143</v>
      </c>
      <c r="AJ247" s="164">
        <f>S247/J247</f>
        <v>0.14979532015970082</v>
      </c>
      <c r="AK247" s="165">
        <f>S247/I247</f>
        <v>3.2043243243243245</v>
      </c>
      <c r="AL247" s="164">
        <f>S247/G247</f>
        <v>7.3836036170689789E-2</v>
      </c>
      <c r="AM247" s="163">
        <f t="shared" ref="AM247:AN247" ca="1" si="20">MEDIAN(AM188:AM198)</f>
        <v>51.509661835748794</v>
      </c>
      <c r="AN247" s="164">
        <f t="shared" ca="1" si="20"/>
        <v>1.0843195266272188E-2</v>
      </c>
      <c r="AO247" s="163">
        <f>(I247+J247)/(I247/M247)</f>
        <v>223.91351351351352</v>
      </c>
      <c r="AP247" s="163">
        <f ca="1">MEDIAN(AP188:AP198)</f>
        <v>7.1580419580419576</v>
      </c>
    </row>
  </sheetData>
  <mergeCells count="6">
    <mergeCell ref="B2:M4"/>
    <mergeCell ref="B7:E7"/>
    <mergeCell ref="G7:J7"/>
    <mergeCell ref="L7:O7"/>
    <mergeCell ref="B20:E20"/>
    <mergeCell ref="G20:J20"/>
  </mergeCells>
  <conditionalFormatting sqref="C38:C5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0:C9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11:C12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42:C15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72:C183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142:D15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3:D183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38:G48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0:G9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1:G121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42:H152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8:K4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1:K121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42:L152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173:N183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TITAN</vt:lpstr>
      <vt:lpstr>Copy of Gems,Jewellery And Watc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2024-09-17T09:50:46Z</dcterms:created>
  <dcterms:modified xsi:type="dcterms:W3CDTF">2024-09-17T09:51:16Z</dcterms:modified>
</cp:coreProperties>
</file>