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Annual Result\FY_24\"/>
    </mc:Choice>
  </mc:AlternateContent>
  <xr:revisionPtr revIDLastSave="0" documentId="8_{E277DED9-1B2C-4288-93C4-54EDBEA1C6EF}" xr6:coauthVersionLast="47" xr6:coauthVersionMax="47" xr10:uidLastSave="{00000000-0000-0000-0000-000000000000}"/>
  <bookViews>
    <workbookView xWindow="-108" yWindow="-108" windowWidth="23256" windowHeight="12456" xr2:uid="{42CA935F-07D3-4DCD-AAA4-4A2F13E0DD88}"/>
  </bookViews>
  <sheets>
    <sheet name="Pageind" sheetId="1" r:id="rId1"/>
    <sheet name="GARMENTS &amp; APPAREL" sheetId="2" r:id="rId2"/>
  </sheets>
  <externalReferences>
    <externalReference r:id="rId3"/>
  </externalReferences>
  <definedNames>
    <definedName name="_xlnm._FilterDatabase" localSheetId="1" hidden="1">'GARMENTS &amp; APPAREL'!$A$103:$AO$139</definedName>
    <definedName name="_xlnm._FilterDatabase" localSheetId="0" hidden="1">Pageind!$O$45:$S$52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41" i="2" l="1"/>
  <c r="D139" i="2"/>
  <c r="C139" i="2"/>
  <c r="D138" i="2"/>
  <c r="C138" i="2"/>
  <c r="D137" i="2"/>
  <c r="C137" i="2"/>
  <c r="D136" i="2"/>
  <c r="C136" i="2"/>
  <c r="D135" i="2"/>
  <c r="C135" i="2"/>
  <c r="D134" i="2"/>
  <c r="C134" i="2"/>
  <c r="D133" i="2"/>
  <c r="C133" i="2"/>
  <c r="D132" i="2"/>
  <c r="C132" i="2"/>
  <c r="D131" i="2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D124" i="2"/>
  <c r="C124" i="2"/>
  <c r="D123" i="2"/>
  <c r="C123" i="2"/>
  <c r="D122" i="2"/>
  <c r="C122" i="2"/>
  <c r="D121" i="2"/>
  <c r="C121" i="2"/>
  <c r="AG120" i="2"/>
  <c r="D120" i="2"/>
  <c r="C120" i="2"/>
  <c r="AG119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K22" i="2"/>
  <c r="G22" i="2"/>
  <c r="C22" i="2"/>
  <c r="E111" i="1"/>
  <c r="Q63" i="1"/>
  <c r="R63" i="1" s="1"/>
  <c r="P63" i="1"/>
  <c r="R61" i="1"/>
  <c r="R60" i="1"/>
  <c r="R59" i="1"/>
  <c r="R58" i="1"/>
  <c r="R57" i="1"/>
  <c r="S54" i="1"/>
  <c r="R54" i="1"/>
  <c r="Q54" i="1"/>
  <c r="P54" i="1"/>
  <c r="I54" i="1"/>
  <c r="H54" i="1"/>
  <c r="S52" i="1"/>
  <c r="R52" i="1"/>
  <c r="S51" i="1"/>
  <c r="R51" i="1"/>
  <c r="S50" i="1"/>
  <c r="R50" i="1"/>
  <c r="S49" i="1"/>
  <c r="R49" i="1"/>
  <c r="E49" i="1"/>
  <c r="F49" i="1" s="1"/>
  <c r="C49" i="1"/>
  <c r="D49" i="1" s="1"/>
  <c r="D45" i="1" s="1"/>
  <c r="S48" i="1"/>
  <c r="R48" i="1"/>
  <c r="S47" i="1"/>
  <c r="R47" i="1"/>
  <c r="S46" i="1"/>
  <c r="R46" i="1"/>
  <c r="M44" i="1"/>
  <c r="AA43" i="1"/>
  <c r="Z43" i="1"/>
  <c r="AB43" i="1" s="1"/>
  <c r="W43" i="1"/>
  <c r="V43" i="1"/>
  <c r="U43" i="1"/>
  <c r="R43" i="1"/>
  <c r="Q43" i="1"/>
  <c r="P43" i="1"/>
  <c r="AA42" i="1"/>
  <c r="Z42" i="1"/>
  <c r="AB42" i="1" s="1"/>
  <c r="V42" i="1"/>
  <c r="U42" i="1"/>
  <c r="W42" i="1" s="1"/>
  <c r="R42" i="1"/>
  <c r="Q42" i="1"/>
  <c r="P42" i="1"/>
  <c r="AB41" i="1"/>
  <c r="W41" i="1"/>
  <c r="R41" i="1"/>
  <c r="AB40" i="1"/>
  <c r="W40" i="1"/>
  <c r="R40" i="1"/>
  <c r="J40" i="1"/>
  <c r="I40" i="1"/>
  <c r="H40" i="1"/>
  <c r="G40" i="1"/>
  <c r="E40" i="1"/>
  <c r="D40" i="1"/>
  <c r="C40" i="1"/>
  <c r="AB39" i="1"/>
  <c r="W39" i="1"/>
  <c r="R39" i="1"/>
  <c r="K39" i="1"/>
  <c r="H39" i="1"/>
  <c r="G39" i="1"/>
  <c r="F39" i="1"/>
  <c r="E39" i="1"/>
  <c r="D39" i="1"/>
  <c r="C39" i="1"/>
  <c r="AB38" i="1"/>
  <c r="W38" i="1"/>
  <c r="R38" i="1"/>
  <c r="K38" i="1"/>
  <c r="H38" i="1"/>
  <c r="G38" i="1"/>
  <c r="F38" i="1"/>
  <c r="E38" i="1"/>
  <c r="D38" i="1"/>
  <c r="C38" i="1"/>
  <c r="AB37" i="1"/>
  <c r="W37" i="1"/>
  <c r="R37" i="1"/>
  <c r="B10" i="1" s="1"/>
  <c r="K37" i="1"/>
  <c r="H37" i="1"/>
  <c r="G37" i="1"/>
  <c r="F37" i="1"/>
  <c r="F44" i="1" s="1"/>
  <c r="E37" i="1"/>
  <c r="D37" i="1"/>
  <c r="C37" i="1"/>
  <c r="C44" i="1" s="1"/>
  <c r="C50" i="1" s="1"/>
  <c r="L33" i="1"/>
  <c r="J33" i="1"/>
  <c r="I33" i="1"/>
  <c r="L32" i="1"/>
  <c r="L40" i="1" s="1"/>
  <c r="J32" i="1"/>
  <c r="I32" i="1"/>
  <c r="L31" i="1"/>
  <c r="J31" i="1"/>
  <c r="I31" i="1"/>
  <c r="F31" i="1"/>
  <c r="L30" i="1"/>
  <c r="J30" i="1"/>
  <c r="I30" i="1"/>
  <c r="F30" i="1"/>
  <c r="L29" i="1"/>
  <c r="J29" i="1"/>
  <c r="I29" i="1"/>
  <c r="F29" i="1"/>
  <c r="L28" i="1"/>
  <c r="L39" i="1" s="1"/>
  <c r="J28" i="1"/>
  <c r="J39" i="1" s="1"/>
  <c r="I28" i="1"/>
  <c r="I39" i="1" s="1"/>
  <c r="F28" i="1"/>
  <c r="L27" i="1"/>
  <c r="J27" i="1"/>
  <c r="I27" i="1"/>
  <c r="F27" i="1"/>
  <c r="L26" i="1"/>
  <c r="J26" i="1"/>
  <c r="I26" i="1"/>
  <c r="F26" i="1"/>
  <c r="L25" i="1"/>
  <c r="J25" i="1"/>
  <c r="I25" i="1"/>
  <c r="F25" i="1"/>
  <c r="L24" i="1"/>
  <c r="J24" i="1"/>
  <c r="I24" i="1"/>
  <c r="F24" i="1"/>
  <c r="L23" i="1"/>
  <c r="J23" i="1"/>
  <c r="J38" i="1" s="1"/>
  <c r="I23" i="1"/>
  <c r="I38" i="1" s="1"/>
  <c r="M38" i="1" s="1"/>
  <c r="F23" i="1"/>
  <c r="L22" i="1"/>
  <c r="J22" i="1"/>
  <c r="I22" i="1"/>
  <c r="F22" i="1"/>
  <c r="L21" i="1"/>
  <c r="J21" i="1"/>
  <c r="I21" i="1"/>
  <c r="F21" i="1"/>
  <c r="L20" i="1"/>
  <c r="J20" i="1"/>
  <c r="I20" i="1"/>
  <c r="F20" i="1"/>
  <c r="L19" i="1"/>
  <c r="J19" i="1"/>
  <c r="I19" i="1"/>
  <c r="F19" i="1"/>
  <c r="L18" i="1"/>
  <c r="L37" i="1" s="1"/>
  <c r="J18" i="1"/>
  <c r="J37" i="1" s="1"/>
  <c r="I18" i="1"/>
  <c r="I37" i="1" s="1"/>
  <c r="F18" i="1"/>
  <c r="L17" i="1"/>
  <c r="J17" i="1"/>
  <c r="I17" i="1"/>
  <c r="F17" i="1"/>
  <c r="J16" i="1"/>
  <c r="I16" i="1"/>
  <c r="F16" i="1"/>
  <c r="F15" i="1"/>
  <c r="F14" i="1"/>
  <c r="N10" i="1"/>
  <c r="L10" i="1"/>
  <c r="K10" i="1"/>
  <c r="J10" i="1"/>
  <c r="I10" i="1"/>
  <c r="H10" i="1"/>
  <c r="G10" i="1"/>
  <c r="F10" i="1"/>
  <c r="E10" i="1"/>
  <c r="D10" i="1"/>
  <c r="C10" i="1"/>
  <c r="Q5" i="1"/>
  <c r="P5" i="1"/>
  <c r="O5" i="1"/>
  <c r="N5" i="1"/>
  <c r="M5" i="1"/>
  <c r="L5" i="1"/>
  <c r="K5" i="1"/>
  <c r="I5" i="1"/>
  <c r="H5" i="1"/>
  <c r="F5" i="1"/>
  <c r="G4" i="1"/>
  <c r="G5" i="1" s="1"/>
  <c r="F4" i="1"/>
  <c r="E4" i="1"/>
  <c r="E5" i="1" s="1"/>
  <c r="D3" i="1"/>
  <c r="C3" i="1"/>
  <c r="C5" i="1" s="1"/>
  <c r="D141" i="2" l="1"/>
  <c r="D4" i="1"/>
  <c r="D5" i="1" s="1"/>
  <c r="J54" i="1"/>
  <c r="K52" i="1" s="1"/>
  <c r="P10" i="1" s="1"/>
  <c r="M10" i="1"/>
  <c r="O10" i="1"/>
  <c r="M37" i="1"/>
  <c r="M39" i="1"/>
  <c r="C51" i="1"/>
  <c r="D50" i="1"/>
  <c r="L38" i="1"/>
  <c r="E50" i="1" l="1"/>
  <c r="D51" i="1"/>
  <c r="M40" i="1"/>
  <c r="F50" i="1" l="1"/>
  <c r="E51" i="1"/>
  <c r="F51" i="1" s="1"/>
</calcChain>
</file>

<file path=xl/sharedStrings.xml><?xml version="1.0" encoding="utf-8"?>
<sst xmlns="http://schemas.openxmlformats.org/spreadsheetml/2006/main" count="401" uniqueCount="197">
  <si>
    <t>COMPANY</t>
  </si>
  <si>
    <t>PRICE</t>
  </si>
  <si>
    <t>MCAP</t>
  </si>
  <si>
    <t>SALES</t>
  </si>
  <si>
    <t>PROFIT</t>
  </si>
  <si>
    <t>EPS</t>
  </si>
  <si>
    <t>EQUITY</t>
  </si>
  <si>
    <t>RESERVE</t>
  </si>
  <si>
    <t>BORROWING</t>
  </si>
  <si>
    <t>LEASE</t>
  </si>
  <si>
    <t>FV</t>
  </si>
  <si>
    <t>CUR.ASSET</t>
  </si>
  <si>
    <t>CUR.LIABILITY</t>
  </si>
  <si>
    <t>ASSET</t>
  </si>
  <si>
    <t>LIABILITY</t>
  </si>
  <si>
    <t>TRADE REC</t>
  </si>
  <si>
    <t>PAGEIND</t>
  </si>
  <si>
    <t>Last Year_24</t>
  </si>
  <si>
    <t>Growth</t>
  </si>
  <si>
    <t>GROWTH</t>
  </si>
  <si>
    <t>LIQUIDITY</t>
  </si>
  <si>
    <t>SOLVENCY</t>
  </si>
  <si>
    <t>PROFITABILITY</t>
  </si>
  <si>
    <t>VALUATIONS</t>
  </si>
  <si>
    <t>SALES GROWTH</t>
  </si>
  <si>
    <t>PROFIT GROWTH</t>
  </si>
  <si>
    <t>P-MARGIN</t>
  </si>
  <si>
    <t>CUR.RATIO</t>
  </si>
  <si>
    <t>TRADE CYC</t>
  </si>
  <si>
    <t>DEBT2EQUITY</t>
  </si>
  <si>
    <t>DEBTRATIO</t>
  </si>
  <si>
    <t>ICR</t>
  </si>
  <si>
    <t>ROE</t>
  </si>
  <si>
    <t>ROA</t>
  </si>
  <si>
    <t>PE</t>
  </si>
  <si>
    <t>YIELD</t>
  </si>
  <si>
    <t>BOOKVALUE</t>
  </si>
  <si>
    <t>PBV</t>
  </si>
  <si>
    <t>PEG</t>
  </si>
  <si>
    <t>ActualData</t>
  </si>
  <si>
    <t>Years</t>
  </si>
  <si>
    <t>Sales</t>
  </si>
  <si>
    <t>Profit</t>
  </si>
  <si>
    <t>Margin</t>
  </si>
  <si>
    <t>High</t>
  </si>
  <si>
    <t>Low</t>
  </si>
  <si>
    <t>HPE</t>
  </si>
  <si>
    <t>LPE</t>
  </si>
  <si>
    <t>DIVIDEND</t>
  </si>
  <si>
    <t>DIV%</t>
  </si>
  <si>
    <t>FY_2004</t>
  </si>
  <si>
    <t>FY_2005</t>
  </si>
  <si>
    <t>FY_2006</t>
  </si>
  <si>
    <t>IPO</t>
  </si>
  <si>
    <t>FY_2007</t>
  </si>
  <si>
    <t>FY_2008</t>
  </si>
  <si>
    <t>FY_2009</t>
  </si>
  <si>
    <t>FY_2010</t>
  </si>
  <si>
    <t>FY_2011</t>
  </si>
  <si>
    <t>FY_2012</t>
  </si>
  <si>
    <t>FY_2013</t>
  </si>
  <si>
    <t>FY_2014</t>
  </si>
  <si>
    <t>FY_2015</t>
  </si>
  <si>
    <t>FY_2016</t>
  </si>
  <si>
    <t>FY_2017</t>
  </si>
  <si>
    <t>FY_2018</t>
  </si>
  <si>
    <t>FY_2019</t>
  </si>
  <si>
    <t>FY_2020</t>
  </si>
  <si>
    <t>FY_2021</t>
  </si>
  <si>
    <t>FY_2022</t>
  </si>
  <si>
    <t>FY_2023</t>
  </si>
  <si>
    <t>FY_2024</t>
  </si>
  <si>
    <t>RESULT</t>
  </si>
  <si>
    <t>Year</t>
  </si>
  <si>
    <t>FAIRPE</t>
  </si>
  <si>
    <t>FY_24</t>
  </si>
  <si>
    <t>FY_23</t>
  </si>
  <si>
    <t>Q4_FY24</t>
  </si>
  <si>
    <t>Q4_FY23</t>
  </si>
  <si>
    <t>9M_FY_24</t>
  </si>
  <si>
    <t>9M_FY_23</t>
  </si>
  <si>
    <t>15YEAR CAGR</t>
  </si>
  <si>
    <t>10 YEAR CAGR</t>
  </si>
  <si>
    <t>COST</t>
  </si>
  <si>
    <t>5 YEAR CAGR</t>
  </si>
  <si>
    <t>FINANCE</t>
  </si>
  <si>
    <t>Last Year</t>
  </si>
  <si>
    <t>Exp Growth</t>
  </si>
  <si>
    <t>MARGIN</t>
  </si>
  <si>
    <t>Eps</t>
  </si>
  <si>
    <t>TRAIL</t>
  </si>
  <si>
    <t>Q1_FY_24</t>
  </si>
  <si>
    <t>Q2_FY_24</t>
  </si>
  <si>
    <t>Q3_FY_24</t>
  </si>
  <si>
    <t>Q4_FY_24</t>
  </si>
  <si>
    <t>EPS_2024</t>
  </si>
  <si>
    <t>LTGrowth</t>
  </si>
  <si>
    <t>Cy Growth</t>
  </si>
  <si>
    <t>M.SHARE</t>
  </si>
  <si>
    <t>TREND</t>
  </si>
  <si>
    <t>H1_FY_24</t>
  </si>
  <si>
    <t>FY_25</t>
  </si>
  <si>
    <t>RAWMATERIAL</t>
  </si>
  <si>
    <t>ESTIMATION</t>
  </si>
  <si>
    <t>TRADED GOODS</t>
  </si>
  <si>
    <t>FAIRVALUE</t>
  </si>
  <si>
    <t>OTHER</t>
  </si>
  <si>
    <t>FY_2025</t>
  </si>
  <si>
    <t>EMPLOYEE</t>
  </si>
  <si>
    <t>FY_2030</t>
  </si>
  <si>
    <t xml:space="preserve"> </t>
  </si>
  <si>
    <t>D&amp;A</t>
  </si>
  <si>
    <t>FY_2035</t>
  </si>
  <si>
    <t>EPS_23</t>
  </si>
  <si>
    <t>EPS_24</t>
  </si>
  <si>
    <t>F_EPS_25</t>
  </si>
  <si>
    <t>F_PEG</t>
  </si>
  <si>
    <t>INVENTORY</t>
  </si>
  <si>
    <t>F_PE</t>
  </si>
  <si>
    <t>TOTAL</t>
  </si>
  <si>
    <t>SHP</t>
  </si>
  <si>
    <t>FY_07</t>
  </si>
  <si>
    <t>PROMOTER</t>
  </si>
  <si>
    <t>MF&amp;INSURANCE</t>
  </si>
  <si>
    <t>FII</t>
  </si>
  <si>
    <t>RETAIL</t>
  </si>
  <si>
    <t>OTHERS</t>
  </si>
  <si>
    <t>7%0</t>
  </si>
  <si>
    <t>GARMENTS &amp; APPAREL</t>
  </si>
  <si>
    <t>MARKET</t>
  </si>
  <si>
    <t>MARKETCAP</t>
  </si>
  <si>
    <t>SALES_23</t>
  </si>
  <si>
    <t>PROFIT_23</t>
  </si>
  <si>
    <t>KPRMILL</t>
  </si>
  <si>
    <t>RAYMOND</t>
  </si>
  <si>
    <t>ARVIND</t>
  </si>
  <si>
    <t>GOKEX</t>
  </si>
  <si>
    <t>KKCL</t>
  </si>
  <si>
    <t>LUXIND</t>
  </si>
  <si>
    <t>DOLLAR</t>
  </si>
  <si>
    <t>PGIL</t>
  </si>
  <si>
    <t>TCNSBRANDS</t>
  </si>
  <si>
    <t>RUPA</t>
  </si>
  <si>
    <t>OTHER_25</t>
  </si>
  <si>
    <t>CANTABIL</t>
  </si>
  <si>
    <t>INDUSTRY</t>
  </si>
  <si>
    <t>MARGIN_23</t>
  </si>
  <si>
    <t>CY_MARGIN</t>
  </si>
  <si>
    <t>CY_SALES GR</t>
  </si>
  <si>
    <t>CY_PROFIT_GR</t>
  </si>
  <si>
    <t>SALES_5Y_GR</t>
  </si>
  <si>
    <t>WWW.PROFITFROMIT.IN</t>
  </si>
  <si>
    <t>Security Code</t>
  </si>
  <si>
    <t>CMP</t>
  </si>
  <si>
    <t>CUR ASSET</t>
  </si>
  <si>
    <t>CUR LIABILITY</t>
  </si>
  <si>
    <t>TOT. ASSET</t>
  </si>
  <si>
    <t>TOT. LIABILITY</t>
  </si>
  <si>
    <t>TOT. EQUITY</t>
  </si>
  <si>
    <t>TRADE REC.</t>
  </si>
  <si>
    <t>TRAIL_EPS</t>
  </si>
  <si>
    <t>Companies weightage</t>
  </si>
  <si>
    <t>SALES_18</t>
  </si>
  <si>
    <t>9M_FY24_SALES</t>
  </si>
  <si>
    <t>9M_FY23_SALES</t>
  </si>
  <si>
    <t>9M_FY24_PROFIT</t>
  </si>
  <si>
    <t>9M_FY23_PROFIT</t>
  </si>
  <si>
    <t>EXPENSE</t>
  </si>
  <si>
    <t>CY_PRPFIT_GR</t>
  </si>
  <si>
    <t>CUR. RATIO</t>
  </si>
  <si>
    <t>TR.DAYS</t>
  </si>
  <si>
    <t>ROPE</t>
  </si>
  <si>
    <t>TRAIL_PE</t>
  </si>
  <si>
    <t>VIVIDHA</t>
  </si>
  <si>
    <t>ADDIND</t>
  </si>
  <si>
    <t>ZODIACLOTH</t>
  </si>
  <si>
    <t>SAMTEX</t>
  </si>
  <si>
    <t>KITEX</t>
  </si>
  <si>
    <t>SPENTA</t>
  </si>
  <si>
    <t>VIRAT</t>
  </si>
  <si>
    <t>SCOOBEEDAY</t>
  </si>
  <si>
    <t>VIPCLOTHNG</t>
  </si>
  <si>
    <t>CELEBRITY</t>
  </si>
  <si>
    <t>BANG</t>
  </si>
  <si>
    <t>INDTERRAIN</t>
  </si>
  <si>
    <t>LOVABLE</t>
  </si>
  <si>
    <t>THOMASCOTT</t>
  </si>
  <si>
    <t>VISHAL</t>
  </si>
  <si>
    <t>MONTECARLO</t>
  </si>
  <si>
    <t>GARMNTMNTR</t>
  </si>
  <si>
    <t>BELLACASA</t>
  </si>
  <si>
    <t>SPAL</t>
  </si>
  <si>
    <t>LAL</t>
  </si>
  <si>
    <t>ACTIVE</t>
  </si>
  <si>
    <t>VINNY</t>
  </si>
  <si>
    <t>BIZOTIC</t>
  </si>
  <si>
    <t>MISHDESIGN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</si>
</sst>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2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Arial"/>
    </font>
    <font>
      <sz val="11"/>
      <color rgb="FFFFFFFF"/>
      <name val="Arial"/>
    </font>
    <font>
      <sz val="11"/>
      <color rgb="FF000000"/>
      <name val="Arial"/>
    </font>
    <font>
      <sz val="9"/>
      <color theme="1"/>
      <name val="Arial"/>
    </font>
    <font>
      <b/>
      <i/>
      <u/>
      <sz val="11"/>
      <color theme="1"/>
      <name val="Arial"/>
    </font>
    <font>
      <i/>
      <sz val="11"/>
      <color theme="1"/>
      <name val="Arial"/>
    </font>
    <font>
      <b/>
      <sz val="14"/>
      <color rgb="FFFFFFFF"/>
      <name val="Calibri"/>
    </font>
    <font>
      <b/>
      <sz val="11"/>
      <color rgb="FFFFFFFF"/>
      <name val="Calibri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i/>
      <sz val="11"/>
      <color theme="1"/>
      <name val="Calibri"/>
    </font>
    <font>
      <b/>
      <sz val="24"/>
      <color theme="1"/>
      <name val="Calibri"/>
      <scheme val="minor"/>
    </font>
    <font>
      <b/>
      <i/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b/>
      <u/>
      <sz val="29"/>
      <color rgb="FFFFFFFF"/>
      <name val="Arial"/>
    </font>
    <font>
      <b/>
      <sz val="11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20124D"/>
        <bgColor rgb="FF20124D"/>
      </patternFill>
    </fill>
    <fill>
      <patternFill patternType="solid">
        <fgColor rgb="FFB7B7B7"/>
        <bgColor rgb="FFB7B7B7"/>
      </patternFill>
    </fill>
    <fill>
      <patternFill patternType="solid">
        <fgColor rgb="FF073763"/>
        <bgColor rgb="FF073763"/>
      </patternFill>
    </fill>
    <fill>
      <patternFill patternType="solid">
        <fgColor theme="0"/>
        <bgColor theme="0"/>
      </patternFill>
    </fill>
    <fill>
      <patternFill patternType="solid">
        <fgColor rgb="FF4C1130"/>
        <bgColor rgb="FF4C113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2" borderId="3" xfId="0" applyFont="1" applyFill="1" applyBorder="1"/>
    <xf numFmtId="0" fontId="4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5" fillId="0" borderId="4" xfId="0" applyFont="1" applyBorder="1"/>
    <xf numFmtId="0" fontId="2" fillId="0" borderId="4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6" fillId="3" borderId="4" xfId="0" applyFont="1" applyFill="1" applyBorder="1"/>
    <xf numFmtId="9" fontId="6" fillId="3" borderId="4" xfId="0" applyNumberFormat="1" applyFont="1" applyFill="1" applyBorder="1" applyAlignment="1">
      <alignment horizontal="center"/>
    </xf>
    <xf numFmtId="0" fontId="3" fillId="2" borderId="1" xfId="0" applyFont="1" applyFill="1" applyBorder="1"/>
    <xf numFmtId="9" fontId="2" fillId="0" borderId="0" xfId="0" applyNumberFormat="1" applyFont="1"/>
    <xf numFmtId="9" fontId="2" fillId="3" borderId="4" xfId="0" applyNumberFormat="1" applyFont="1" applyFill="1" applyBorder="1"/>
    <xf numFmtId="1" fontId="2" fillId="3" borderId="4" xfId="0" applyNumberFormat="1" applyFont="1" applyFill="1" applyBorder="1" applyAlignment="1">
      <alignment horizontal="right"/>
    </xf>
    <xf numFmtId="164" fontId="2" fillId="3" borderId="4" xfId="0" applyNumberFormat="1" applyFont="1" applyFill="1" applyBorder="1"/>
    <xf numFmtId="165" fontId="2" fillId="3" borderId="4" xfId="0" applyNumberFormat="1" applyFont="1" applyFill="1" applyBorder="1"/>
    <xf numFmtId="1" fontId="2" fillId="3" borderId="4" xfId="0" applyNumberFormat="1" applyFont="1" applyFill="1" applyBorder="1"/>
    <xf numFmtId="0" fontId="2" fillId="3" borderId="4" xfId="0" applyFont="1" applyFill="1" applyBorder="1"/>
    <xf numFmtId="9" fontId="7" fillId="3" borderId="4" xfId="0" applyNumberFormat="1" applyFont="1" applyFill="1" applyBorder="1" applyAlignment="1">
      <alignment horizontal="right"/>
    </xf>
    <xf numFmtId="165" fontId="7" fillId="3" borderId="4" xfId="0" applyNumberFormat="1" applyFont="1" applyFill="1" applyBorder="1" applyAlignment="1">
      <alignment horizontal="right"/>
    </xf>
    <xf numFmtId="166" fontId="7" fillId="3" borderId="4" xfId="0" applyNumberFormat="1" applyFont="1" applyFill="1" applyBorder="1" applyAlignment="1">
      <alignment horizontal="right"/>
    </xf>
    <xf numFmtId="3" fontId="7" fillId="3" borderId="4" xfId="0" applyNumberFormat="1" applyFont="1" applyFill="1" applyBorder="1" applyAlignment="1">
      <alignment horizontal="right"/>
    </xf>
    <xf numFmtId="0" fontId="8" fillId="4" borderId="0" xfId="0" applyFont="1" applyFill="1"/>
    <xf numFmtId="0" fontId="9" fillId="4" borderId="4" xfId="0" applyFont="1" applyFill="1" applyBorder="1" applyAlignment="1">
      <alignment horizontal="left"/>
    </xf>
    <xf numFmtId="0" fontId="9" fillId="4" borderId="4" xfId="0" applyFont="1" applyFill="1" applyBorder="1"/>
    <xf numFmtId="0" fontId="10" fillId="5" borderId="4" xfId="0" applyFont="1" applyFill="1" applyBorder="1" applyAlignment="1">
      <alignment horizontal="left"/>
    </xf>
    <xf numFmtId="0" fontId="11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4" xfId="0" applyFont="1" applyBorder="1" applyAlignment="1">
      <alignment horizontal="right"/>
    </xf>
    <xf numFmtId="1" fontId="0" fillId="0" borderId="4" xfId="0" applyNumberFormat="1" applyBorder="1" applyAlignment="1">
      <alignment horizontal="right"/>
    </xf>
    <xf numFmtId="0" fontId="1" fillId="0" borderId="4" xfId="0" applyFont="1" applyBorder="1"/>
    <xf numFmtId="165" fontId="1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1" fontId="1" fillId="0" borderId="4" xfId="0" applyNumberFormat="1" applyFont="1" applyBorder="1"/>
    <xf numFmtId="9" fontId="1" fillId="0" borderId="4" xfId="0" applyNumberFormat="1" applyFont="1" applyBorder="1"/>
    <xf numFmtId="1" fontId="11" fillId="0" borderId="4" xfId="0" applyNumberFormat="1" applyFont="1" applyBorder="1" applyAlignment="1">
      <alignment horizontal="right"/>
    </xf>
    <xf numFmtId="165" fontId="1" fillId="0" borderId="4" xfId="0" applyNumberFormat="1" applyFont="1" applyBorder="1"/>
    <xf numFmtId="0" fontId="8" fillId="4" borderId="0" xfId="0" applyFont="1" applyFill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4" borderId="4" xfId="0" applyFont="1" applyFill="1" applyBorder="1"/>
    <xf numFmtId="0" fontId="12" fillId="5" borderId="4" xfId="0" applyFont="1" applyFill="1" applyBorder="1" applyAlignment="1">
      <alignment horizontal="left"/>
    </xf>
    <xf numFmtId="0" fontId="11" fillId="0" borderId="4" xfId="0" applyFont="1" applyBorder="1"/>
    <xf numFmtId="9" fontId="0" fillId="0" borderId="4" xfId="0" applyNumberFormat="1" applyBorder="1"/>
    <xf numFmtId="3" fontId="1" fillId="0" borderId="4" xfId="0" applyNumberFormat="1" applyFont="1" applyBorder="1"/>
    <xf numFmtId="0" fontId="1" fillId="0" borderId="0" xfId="0" applyFont="1" applyAlignment="1">
      <alignment horizontal="left"/>
    </xf>
    <xf numFmtId="1" fontId="0" fillId="0" borderId="4" xfId="0" applyNumberFormat="1" applyBorder="1"/>
    <xf numFmtId="0" fontId="13" fillId="0" borderId="0" xfId="0" applyFont="1"/>
    <xf numFmtId="165" fontId="0" fillId="0" borderId="4" xfId="0" applyNumberFormat="1" applyBorder="1"/>
    <xf numFmtId="10" fontId="0" fillId="0" borderId="4" xfId="0" applyNumberFormat="1" applyBorder="1"/>
    <xf numFmtId="166" fontId="0" fillId="0" borderId="4" xfId="0" applyNumberFormat="1" applyBorder="1"/>
    <xf numFmtId="9" fontId="14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9" fontId="13" fillId="0" borderId="4" xfId="0" applyNumberFormat="1" applyFont="1" applyBorder="1" applyAlignment="1">
      <alignment horizontal="right"/>
    </xf>
    <xf numFmtId="0" fontId="9" fillId="4" borderId="0" xfId="0" applyFont="1" applyFill="1"/>
    <xf numFmtId="3" fontId="14" fillId="3" borderId="4" xfId="0" applyNumberFormat="1" applyFont="1" applyFill="1" applyBorder="1" applyAlignment="1">
      <alignment horizontal="right"/>
    </xf>
    <xf numFmtId="1" fontId="1" fillId="3" borderId="4" xfId="0" applyNumberFormat="1" applyFont="1" applyFill="1" applyBorder="1"/>
    <xf numFmtId="0" fontId="1" fillId="0" borderId="0" xfId="0" applyFont="1"/>
    <xf numFmtId="0" fontId="8" fillId="4" borderId="4" xfId="0" applyFont="1" applyFill="1" applyBorder="1" applyAlignment="1">
      <alignment horizontal="center"/>
    </xf>
    <xf numFmtId="1" fontId="15" fillId="3" borderId="0" xfId="0" applyNumberFormat="1" applyFont="1" applyFill="1" applyAlignment="1">
      <alignment horizontal="center" vertical="center"/>
    </xf>
    <xf numFmtId="0" fontId="0" fillId="0" borderId="0" xfId="0"/>
    <xf numFmtId="0" fontId="16" fillId="0" borderId="4" xfId="0" applyFont="1" applyBorder="1"/>
    <xf numFmtId="9" fontId="16" fillId="0" borderId="4" xfId="0" applyNumberFormat="1" applyFont="1" applyBorder="1"/>
    <xf numFmtId="9" fontId="11" fillId="0" borderId="4" xfId="0" applyNumberFormat="1" applyFont="1" applyBorder="1"/>
    <xf numFmtId="0" fontId="16" fillId="0" borderId="5" xfId="0" applyFont="1" applyBorder="1"/>
    <xf numFmtId="9" fontId="16" fillId="0" borderId="5" xfId="0" applyNumberFormat="1" applyFont="1" applyBorder="1"/>
    <xf numFmtId="1" fontId="1" fillId="0" borderId="0" xfId="0" applyNumberFormat="1" applyFont="1"/>
    <xf numFmtId="9" fontId="1" fillId="0" borderId="0" xfId="0" applyNumberFormat="1" applyFont="1"/>
    <xf numFmtId="165" fontId="1" fillId="0" borderId="0" xfId="0" applyNumberFormat="1" applyFont="1"/>
    <xf numFmtId="0" fontId="17" fillId="4" borderId="5" xfId="0" applyFont="1" applyFill="1" applyBorder="1" applyAlignment="1">
      <alignment horizontal="center" vertical="center"/>
    </xf>
    <xf numFmtId="0" fontId="18" fillId="0" borderId="5" xfId="0" applyFont="1" applyBorder="1"/>
    <xf numFmtId="0" fontId="18" fillId="0" borderId="6" xfId="0" applyFont="1" applyBorder="1"/>
    <xf numFmtId="0" fontId="18" fillId="0" borderId="2" xfId="0" applyFont="1" applyBorder="1"/>
    <xf numFmtId="0" fontId="18" fillId="0" borderId="1" xfId="0" applyFont="1" applyBorder="1"/>
    <xf numFmtId="0" fontId="18" fillId="0" borderId="3" xfId="0" applyFont="1" applyBorder="1"/>
    <xf numFmtId="0" fontId="17" fillId="4" borderId="7" xfId="0" applyFont="1" applyFill="1" applyBorder="1"/>
    <xf numFmtId="0" fontId="17" fillId="4" borderId="0" xfId="0" applyFont="1" applyFill="1"/>
    <xf numFmtId="1" fontId="17" fillId="4" borderId="0" xfId="0" applyNumberFormat="1" applyFont="1" applyFill="1"/>
    <xf numFmtId="0" fontId="17" fillId="4" borderId="4" xfId="0" applyFont="1" applyFill="1" applyBorder="1"/>
    <xf numFmtId="0" fontId="17" fillId="4" borderId="8" xfId="0" applyFont="1" applyFill="1" applyBorder="1"/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13" fillId="0" borderId="9" xfId="0" applyFont="1" applyBorder="1"/>
    <xf numFmtId="0" fontId="2" fillId="0" borderId="3" xfId="0" applyFont="1" applyBorder="1" applyAlignment="1">
      <alignment horizontal="right"/>
    </xf>
    <xf numFmtId="0" fontId="1" fillId="0" borderId="1" xfId="0" applyFont="1" applyBorder="1"/>
    <xf numFmtId="0" fontId="13" fillId="0" borderId="1" xfId="0" applyFont="1" applyBorder="1"/>
    <xf numFmtId="0" fontId="2" fillId="0" borderId="1" xfId="0" applyFont="1" applyBorder="1" applyAlignment="1">
      <alignment horizontal="right"/>
    </xf>
    <xf numFmtId="0" fontId="1" fillId="0" borderId="5" xfId="0" applyFont="1" applyBorder="1"/>
    <xf numFmtId="1" fontId="1" fillId="0" borderId="5" xfId="0" applyNumberFormat="1" applyFont="1" applyBorder="1"/>
    <xf numFmtId="165" fontId="17" fillId="4" borderId="0" xfId="0" applyNumberFormat="1" applyFont="1" applyFill="1"/>
    <xf numFmtId="165" fontId="2" fillId="0" borderId="0" xfId="0" applyNumberFormat="1" applyFont="1" applyAlignment="1">
      <alignment horizontal="right"/>
    </xf>
    <xf numFmtId="165" fontId="13" fillId="0" borderId="0" xfId="0" applyNumberFormat="1" applyFont="1"/>
    <xf numFmtId="165" fontId="2" fillId="0" borderId="1" xfId="0" applyNumberFormat="1" applyFont="1" applyBorder="1" applyAlignment="1">
      <alignment horizontal="right"/>
    </xf>
    <xf numFmtId="165" fontId="13" fillId="0" borderId="1" xfId="0" applyNumberFormat="1" applyFont="1" applyBorder="1"/>
    <xf numFmtId="10" fontId="1" fillId="0" borderId="5" xfId="0" applyNumberFormat="1" applyFont="1" applyBorder="1"/>
    <xf numFmtId="2" fontId="2" fillId="0" borderId="0" xfId="0" applyNumberFormat="1" applyFont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19" fillId="4" borderId="5" xfId="0" applyFont="1" applyFill="1" applyBorder="1" applyAlignment="1">
      <alignment horizontal="center" vertical="center"/>
    </xf>
    <xf numFmtId="1" fontId="17" fillId="4" borderId="8" xfId="0" applyNumberFormat="1" applyFont="1" applyFill="1" applyBorder="1"/>
    <xf numFmtId="0" fontId="17" fillId="6" borderId="8" xfId="0" applyFont="1" applyFill="1" applyBorder="1" applyAlignment="1">
      <alignment horizontal="center"/>
    </xf>
    <xf numFmtId="2" fontId="17" fillId="6" borderId="8" xfId="0" applyNumberFormat="1" applyFont="1" applyFill="1" applyBorder="1" applyAlignment="1">
      <alignment horizontal="center"/>
    </xf>
    <xf numFmtId="0" fontId="13" fillId="0" borderId="9" xfId="0" applyFont="1" applyBorder="1" applyAlignment="1">
      <alignment horizontal="right"/>
    </xf>
    <xf numFmtId="0" fontId="13" fillId="0" borderId="3" xfId="0" applyFont="1" applyBorder="1"/>
    <xf numFmtId="1" fontId="2" fillId="0" borderId="8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1" fontId="2" fillId="0" borderId="3" xfId="0" applyNumberFormat="1" applyFont="1" applyBorder="1" applyAlignment="1">
      <alignment horizontal="right"/>
    </xf>
    <xf numFmtId="10" fontId="2" fillId="0" borderId="3" xfId="0" applyNumberFormat="1" applyFont="1" applyBorder="1" applyAlignment="1">
      <alignment horizontal="right"/>
    </xf>
    <xf numFmtId="0" fontId="2" fillId="0" borderId="9" xfId="0" applyFont="1" applyBorder="1"/>
    <xf numFmtId="3" fontId="2" fillId="0" borderId="3" xfId="0" applyNumberFormat="1" applyFont="1" applyBorder="1"/>
    <xf numFmtId="3" fontId="2" fillId="0" borderId="0" xfId="0" applyNumberFormat="1" applyFont="1"/>
    <xf numFmtId="1" fontId="2" fillId="0" borderId="2" xfId="0" applyNumberFormat="1" applyFont="1" applyBorder="1" applyAlignment="1">
      <alignment horizontal="right"/>
    </xf>
    <xf numFmtId="10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" fontId="2" fillId="0" borderId="3" xfId="0" applyNumberFormat="1" applyFont="1" applyBorder="1"/>
    <xf numFmtId="0" fontId="20" fillId="0" borderId="3" xfId="0" applyFont="1" applyBorder="1" applyAlignment="1">
      <alignment horizontal="center"/>
    </xf>
    <xf numFmtId="1" fontId="20" fillId="0" borderId="3" xfId="0" applyNumberFormat="1" applyFont="1" applyBorder="1" applyAlignment="1">
      <alignment horizontal="right"/>
    </xf>
    <xf numFmtId="0" fontId="20" fillId="0" borderId="3" xfId="0" applyFont="1" applyBorder="1" applyAlignment="1">
      <alignment horizontal="right"/>
    </xf>
    <xf numFmtId="10" fontId="20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MARKETCAP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'GARMENTS &amp; APPAREL'!$C$8</c:f>
              <c:strCache>
                <c:ptCount val="1"/>
                <c:pt idx="0">
                  <c:v>MARKETCAP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26F7-4245-9AED-41631BE8F43E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26F7-4245-9AED-41631BE8F43E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26F7-4245-9AED-41631BE8F43E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26F7-4245-9AED-41631BE8F43E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26F7-4245-9AED-41631BE8F43E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B-26F7-4245-9AED-41631BE8F43E}"/>
              </c:ext>
            </c:extLst>
          </c:dPt>
          <c:dPt>
            <c:idx val="6"/>
            <c:bubble3D val="0"/>
            <c:spPr>
              <a:solidFill>
                <a:srgbClr val="84A7D1"/>
              </a:solidFill>
            </c:spPr>
            <c:extLst>
              <c:ext xmlns:c16="http://schemas.microsoft.com/office/drawing/2014/chart" uri="{C3380CC4-5D6E-409C-BE32-E72D297353CC}">
                <c16:uniqueId val="{0000000D-26F7-4245-9AED-41631BE8F43E}"/>
              </c:ext>
            </c:extLst>
          </c:dPt>
          <c:dPt>
            <c:idx val="7"/>
            <c:bubble3D val="0"/>
            <c:spPr>
              <a:solidFill>
                <a:srgbClr val="D38582"/>
              </a:solidFill>
            </c:spPr>
            <c:extLst>
              <c:ext xmlns:c16="http://schemas.microsoft.com/office/drawing/2014/chart" uri="{C3380CC4-5D6E-409C-BE32-E72D297353CC}">
                <c16:uniqueId val="{0000000F-26F7-4245-9AED-41631BE8F43E}"/>
              </c:ext>
            </c:extLst>
          </c:dPt>
          <c:dPt>
            <c:idx val="8"/>
            <c:bubble3D val="0"/>
            <c:spPr>
              <a:solidFill>
                <a:srgbClr val="B9CF8B"/>
              </a:solidFill>
            </c:spPr>
            <c:extLst>
              <c:ext xmlns:c16="http://schemas.microsoft.com/office/drawing/2014/chart" uri="{C3380CC4-5D6E-409C-BE32-E72D297353CC}">
                <c16:uniqueId val="{00000011-26F7-4245-9AED-41631BE8F43E}"/>
              </c:ext>
            </c:extLst>
          </c:dPt>
          <c:dPt>
            <c:idx val="9"/>
            <c:bubble3D val="0"/>
            <c:spPr>
              <a:solidFill>
                <a:srgbClr val="A693BE"/>
              </a:solidFill>
            </c:spPr>
            <c:extLst>
              <c:ext xmlns:c16="http://schemas.microsoft.com/office/drawing/2014/chart" uri="{C3380CC4-5D6E-409C-BE32-E72D297353CC}">
                <c16:uniqueId val="{00000013-26F7-4245-9AED-41631BE8F43E}"/>
              </c:ext>
            </c:extLst>
          </c:dPt>
          <c:dPt>
            <c:idx val="10"/>
            <c:bubble3D val="0"/>
            <c:spPr>
              <a:solidFill>
                <a:srgbClr val="81C5D7"/>
              </a:solidFill>
            </c:spPr>
            <c:extLst>
              <c:ext xmlns:c16="http://schemas.microsoft.com/office/drawing/2014/chart" uri="{C3380CC4-5D6E-409C-BE32-E72D297353CC}">
                <c16:uniqueId val="{00000015-26F7-4245-9AED-41631BE8F43E}"/>
              </c:ext>
            </c:extLst>
          </c:dPt>
          <c:dPt>
            <c:idx val="11"/>
            <c:bubble3D val="0"/>
            <c:spPr>
              <a:solidFill>
                <a:srgbClr val="F9B67E"/>
              </a:solidFill>
            </c:spPr>
            <c:extLst>
              <c:ext xmlns:c16="http://schemas.microsoft.com/office/drawing/2014/chart" uri="{C3380CC4-5D6E-409C-BE32-E72D297353CC}">
                <c16:uniqueId val="{00000017-26F7-4245-9AED-41631BE8F43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'GARMENTS &amp; APPAREL'!$B$9:$B$20</c:f>
              <c:strCache>
                <c:ptCount val="12"/>
                <c:pt idx="0">
                  <c:v>PAGEIND</c:v>
                </c:pt>
                <c:pt idx="1">
                  <c:v>KPRMILL</c:v>
                </c:pt>
                <c:pt idx="2">
                  <c:v>RAYMOND</c:v>
                </c:pt>
                <c:pt idx="3">
                  <c:v>ARVIND</c:v>
                </c:pt>
                <c:pt idx="4">
                  <c:v>GOKEX</c:v>
                </c:pt>
                <c:pt idx="5">
                  <c:v>KKCL</c:v>
                </c:pt>
                <c:pt idx="6">
                  <c:v>LUXIND</c:v>
                </c:pt>
                <c:pt idx="7">
                  <c:v>DOLLAR</c:v>
                </c:pt>
                <c:pt idx="8">
                  <c:v>PGIL</c:v>
                </c:pt>
                <c:pt idx="9">
                  <c:v>TCNSBRANDS</c:v>
                </c:pt>
                <c:pt idx="10">
                  <c:v>RUPA</c:v>
                </c:pt>
                <c:pt idx="11">
                  <c:v>OTHER_25</c:v>
                </c:pt>
              </c:strCache>
            </c:strRef>
          </c:cat>
          <c:val>
            <c:numRef>
              <c:f>'GARMENTS &amp; APPAREL'!$C$9:$C$20</c:f>
              <c:numCache>
                <c:formatCode>0</c:formatCode>
                <c:ptCount val="12"/>
                <c:pt idx="0">
                  <c:v>38717.313543999997</c:v>
                </c:pt>
                <c:pt idx="1">
                  <c:v>29160.142974400002</c:v>
                </c:pt>
                <c:pt idx="2">
                  <c:v>12775.387126199999</c:v>
                </c:pt>
                <c:pt idx="3">
                  <c:v>7712.8638725999999</c:v>
                </c:pt>
                <c:pt idx="4">
                  <c:v>4934.7758230999998</c:v>
                </c:pt>
                <c:pt idx="5">
                  <c:v>4510.1229081000001</c:v>
                </c:pt>
                <c:pt idx="6">
                  <c:v>3551.465408</c:v>
                </c:pt>
                <c:pt idx="7">
                  <c:v>3113.9072615</c:v>
                </c:pt>
                <c:pt idx="8">
                  <c:v>2664.0994667</c:v>
                </c:pt>
                <c:pt idx="9">
                  <c:v>2524.6094579999999</c:v>
                </c:pt>
                <c:pt idx="10">
                  <c:v>2071.2167413000002</c:v>
                </c:pt>
                <c:pt idx="11" formatCode="General">
                  <c:v>9567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6F7-4245-9AED-41631BE8F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SALES_23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'GARMENTS &amp; APPAREL'!$G$8</c:f>
              <c:strCache>
                <c:ptCount val="1"/>
                <c:pt idx="0">
                  <c:v>SALES_23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2592-4624-8A79-9207E06335AF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2592-4624-8A79-9207E06335AF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2592-4624-8A79-9207E06335AF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2592-4624-8A79-9207E06335AF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2592-4624-8A79-9207E06335AF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B-2592-4624-8A79-9207E06335AF}"/>
              </c:ext>
            </c:extLst>
          </c:dPt>
          <c:dPt>
            <c:idx val="6"/>
            <c:bubble3D val="0"/>
            <c:spPr>
              <a:solidFill>
                <a:srgbClr val="84A7D1"/>
              </a:solidFill>
            </c:spPr>
            <c:extLst>
              <c:ext xmlns:c16="http://schemas.microsoft.com/office/drawing/2014/chart" uri="{C3380CC4-5D6E-409C-BE32-E72D297353CC}">
                <c16:uniqueId val="{0000000D-2592-4624-8A79-9207E06335AF}"/>
              </c:ext>
            </c:extLst>
          </c:dPt>
          <c:dPt>
            <c:idx val="7"/>
            <c:bubble3D val="0"/>
            <c:spPr>
              <a:solidFill>
                <a:srgbClr val="D38582"/>
              </a:solidFill>
            </c:spPr>
            <c:extLst>
              <c:ext xmlns:c16="http://schemas.microsoft.com/office/drawing/2014/chart" uri="{C3380CC4-5D6E-409C-BE32-E72D297353CC}">
                <c16:uniqueId val="{0000000F-2592-4624-8A79-9207E06335AF}"/>
              </c:ext>
            </c:extLst>
          </c:dPt>
          <c:dPt>
            <c:idx val="8"/>
            <c:bubble3D val="0"/>
            <c:spPr>
              <a:solidFill>
                <a:srgbClr val="B9CF8B"/>
              </a:solidFill>
            </c:spPr>
            <c:extLst>
              <c:ext xmlns:c16="http://schemas.microsoft.com/office/drawing/2014/chart" uri="{C3380CC4-5D6E-409C-BE32-E72D297353CC}">
                <c16:uniqueId val="{00000011-2592-4624-8A79-9207E06335AF}"/>
              </c:ext>
            </c:extLst>
          </c:dPt>
          <c:dPt>
            <c:idx val="9"/>
            <c:bubble3D val="0"/>
            <c:spPr>
              <a:solidFill>
                <a:srgbClr val="A693BE"/>
              </a:solidFill>
            </c:spPr>
            <c:extLst>
              <c:ext xmlns:c16="http://schemas.microsoft.com/office/drawing/2014/chart" uri="{C3380CC4-5D6E-409C-BE32-E72D297353CC}">
                <c16:uniqueId val="{00000013-2592-4624-8A79-9207E06335AF}"/>
              </c:ext>
            </c:extLst>
          </c:dPt>
          <c:dPt>
            <c:idx val="10"/>
            <c:bubble3D val="0"/>
            <c:spPr>
              <a:solidFill>
                <a:srgbClr val="81C5D7"/>
              </a:solidFill>
            </c:spPr>
            <c:extLst>
              <c:ext xmlns:c16="http://schemas.microsoft.com/office/drawing/2014/chart" uri="{C3380CC4-5D6E-409C-BE32-E72D297353CC}">
                <c16:uniqueId val="{00000015-2592-4624-8A79-9207E06335AF}"/>
              </c:ext>
            </c:extLst>
          </c:dPt>
          <c:dPt>
            <c:idx val="11"/>
            <c:bubble3D val="0"/>
            <c:spPr>
              <a:solidFill>
                <a:srgbClr val="F9B67E"/>
              </a:solidFill>
            </c:spPr>
            <c:extLst>
              <c:ext xmlns:c16="http://schemas.microsoft.com/office/drawing/2014/chart" uri="{C3380CC4-5D6E-409C-BE32-E72D297353CC}">
                <c16:uniqueId val="{00000017-2592-4624-8A79-9207E06335A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'GARMENTS &amp; APPAREL'!$F$9:$F$20</c:f>
              <c:strCache>
                <c:ptCount val="12"/>
                <c:pt idx="0">
                  <c:v>PAGEIND</c:v>
                </c:pt>
                <c:pt idx="1">
                  <c:v>KPRMILL</c:v>
                </c:pt>
                <c:pt idx="2">
                  <c:v>RAYMOND</c:v>
                </c:pt>
                <c:pt idx="3">
                  <c:v>ARVIND</c:v>
                </c:pt>
                <c:pt idx="4">
                  <c:v>GOKEX</c:v>
                </c:pt>
                <c:pt idx="5">
                  <c:v>KKCL</c:v>
                </c:pt>
                <c:pt idx="6">
                  <c:v>LUXIND</c:v>
                </c:pt>
                <c:pt idx="7">
                  <c:v>DOLLAR</c:v>
                </c:pt>
                <c:pt idx="8">
                  <c:v>PGIL</c:v>
                </c:pt>
                <c:pt idx="9">
                  <c:v>TCNSBRANDS</c:v>
                </c:pt>
                <c:pt idx="10">
                  <c:v>RUPA</c:v>
                </c:pt>
                <c:pt idx="11">
                  <c:v>CANTABIL</c:v>
                </c:pt>
              </c:strCache>
            </c:strRef>
          </c:cat>
          <c:val>
            <c:numRef>
              <c:f>'GARMENTS &amp; APPAREL'!$G$9:$G$20</c:f>
              <c:numCache>
                <c:formatCode>General</c:formatCode>
                <c:ptCount val="12"/>
                <c:pt idx="0">
                  <c:v>4716</c:v>
                </c:pt>
                <c:pt idx="1">
                  <c:v>6248</c:v>
                </c:pt>
                <c:pt idx="2">
                  <c:v>8214</c:v>
                </c:pt>
                <c:pt idx="3">
                  <c:v>8382</c:v>
                </c:pt>
                <c:pt idx="4">
                  <c:v>2222</c:v>
                </c:pt>
                <c:pt idx="5">
                  <c:v>779</c:v>
                </c:pt>
                <c:pt idx="6">
                  <c:v>2361</c:v>
                </c:pt>
                <c:pt idx="7">
                  <c:v>1393</c:v>
                </c:pt>
                <c:pt idx="8">
                  <c:v>3155</c:v>
                </c:pt>
                <c:pt idx="9">
                  <c:v>1201</c:v>
                </c:pt>
                <c:pt idx="10">
                  <c:v>1137</c:v>
                </c:pt>
                <c:pt idx="11">
                  <c:v>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592-4624-8A79-9207E0633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PROFIT_23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'GARMENTS &amp; APPAREL'!$K$8</c:f>
              <c:strCache>
                <c:ptCount val="1"/>
                <c:pt idx="0">
                  <c:v>PROFIT_23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'GARMENTS &amp; APPAREL'!$J$9:$J$20</c:f>
              <c:strCache>
                <c:ptCount val="12"/>
                <c:pt idx="0">
                  <c:v>PAGEIND</c:v>
                </c:pt>
                <c:pt idx="1">
                  <c:v>KPRMILL</c:v>
                </c:pt>
                <c:pt idx="2">
                  <c:v>RAYMOND</c:v>
                </c:pt>
                <c:pt idx="3">
                  <c:v>ARVIND</c:v>
                </c:pt>
                <c:pt idx="4">
                  <c:v>GOKEX</c:v>
                </c:pt>
                <c:pt idx="5">
                  <c:v>KKCL</c:v>
                </c:pt>
                <c:pt idx="6">
                  <c:v>LUXIND</c:v>
                </c:pt>
                <c:pt idx="7">
                  <c:v>DOLLAR</c:v>
                </c:pt>
                <c:pt idx="8">
                  <c:v>PGIL</c:v>
                </c:pt>
                <c:pt idx="9">
                  <c:v>TCNSBRANDS</c:v>
                </c:pt>
                <c:pt idx="10">
                  <c:v>RUPA</c:v>
                </c:pt>
                <c:pt idx="11">
                  <c:v>CANTABIL</c:v>
                </c:pt>
              </c:strCache>
            </c:strRef>
          </c:cat>
          <c:val>
            <c:numRef>
              <c:f>'GARMENTS &amp; APPAREL'!$K$9:$K$20</c:f>
              <c:numCache>
                <c:formatCode>General</c:formatCode>
                <c:ptCount val="12"/>
                <c:pt idx="0">
                  <c:v>571</c:v>
                </c:pt>
                <c:pt idx="1">
                  <c:v>635</c:v>
                </c:pt>
                <c:pt idx="2">
                  <c:v>534</c:v>
                </c:pt>
                <c:pt idx="3">
                  <c:v>416</c:v>
                </c:pt>
                <c:pt idx="4">
                  <c:v>173</c:v>
                </c:pt>
                <c:pt idx="5">
                  <c:v>119</c:v>
                </c:pt>
                <c:pt idx="6">
                  <c:v>137</c:v>
                </c:pt>
                <c:pt idx="7">
                  <c:v>52</c:v>
                </c:pt>
                <c:pt idx="8">
                  <c:v>149</c:v>
                </c:pt>
                <c:pt idx="9">
                  <c:v>-16</c:v>
                </c:pt>
                <c:pt idx="10">
                  <c:v>53</c:v>
                </c:pt>
                <c:pt idx="11">
                  <c:v>67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E79-4BE2-ADE6-393BDB133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065588"/>
        <c:axId val="1848439245"/>
      </c:barChart>
      <c:catAx>
        <c:axId val="3120655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48439245"/>
        <c:crosses val="autoZero"/>
        <c:auto val="1"/>
        <c:lblAlgn val="ctr"/>
        <c:lblOffset val="100"/>
        <c:noMultiLvlLbl val="1"/>
      </c:catAx>
      <c:valAx>
        <c:axId val="184843924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PROFIT_23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1206558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MARGIN_23 and CY_MARGIN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'GARMENTS &amp; APPAREL'!$C$36</c:f>
              <c:strCache>
                <c:ptCount val="1"/>
                <c:pt idx="0">
                  <c:v>MARGIN_23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'GARMENTS &amp; APPAREL'!$B$37:$B$48</c:f>
              <c:strCache>
                <c:ptCount val="12"/>
                <c:pt idx="0">
                  <c:v>PAGEIND</c:v>
                </c:pt>
                <c:pt idx="1">
                  <c:v>KPRMILL</c:v>
                </c:pt>
                <c:pt idx="2">
                  <c:v>RAYMOND</c:v>
                </c:pt>
                <c:pt idx="3">
                  <c:v>ARVIND</c:v>
                </c:pt>
                <c:pt idx="4">
                  <c:v>GOKEX</c:v>
                </c:pt>
                <c:pt idx="5">
                  <c:v>KKCL</c:v>
                </c:pt>
                <c:pt idx="6">
                  <c:v>LUXIND</c:v>
                </c:pt>
                <c:pt idx="7">
                  <c:v>DOLLAR</c:v>
                </c:pt>
                <c:pt idx="8">
                  <c:v>PGIL</c:v>
                </c:pt>
                <c:pt idx="9">
                  <c:v>TCNSBRANDS</c:v>
                </c:pt>
                <c:pt idx="10">
                  <c:v>RUPA</c:v>
                </c:pt>
                <c:pt idx="11">
                  <c:v>CANTABIL</c:v>
                </c:pt>
              </c:strCache>
            </c:strRef>
          </c:cat>
          <c:val>
            <c:numRef>
              <c:f>'GARMENTS &amp; APPAREL'!$C$37:$C$48</c:f>
              <c:numCache>
                <c:formatCode>0.0%</c:formatCode>
                <c:ptCount val="12"/>
                <c:pt idx="0">
                  <c:v>0.1211</c:v>
                </c:pt>
                <c:pt idx="1">
                  <c:v>0.1016</c:v>
                </c:pt>
                <c:pt idx="2">
                  <c:v>6.5000000000000002E-2</c:v>
                </c:pt>
                <c:pt idx="3">
                  <c:v>4.9599999999999998E-2</c:v>
                </c:pt>
                <c:pt idx="4">
                  <c:v>7.7899999999999997E-2</c:v>
                </c:pt>
                <c:pt idx="5">
                  <c:v>0.15279999999999999</c:v>
                </c:pt>
                <c:pt idx="6">
                  <c:v>5.8000000000000003E-2</c:v>
                </c:pt>
                <c:pt idx="7">
                  <c:v>3.73E-2</c:v>
                </c:pt>
                <c:pt idx="8">
                  <c:v>4.7199999999999999E-2</c:v>
                </c:pt>
                <c:pt idx="9">
                  <c:v>-1.3299999999999999E-2</c:v>
                </c:pt>
                <c:pt idx="10">
                  <c:v>4.6600000000000003E-2</c:v>
                </c:pt>
                <c:pt idx="11">
                  <c:v>0.1216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34B-40C5-81BA-8DD447481A71}"/>
            </c:ext>
          </c:extLst>
        </c:ser>
        <c:ser>
          <c:idx val="1"/>
          <c:order val="1"/>
          <c:tx>
            <c:strRef>
              <c:f>'GARMENTS &amp; APPAREL'!$D$36</c:f>
              <c:strCache>
                <c:ptCount val="1"/>
                <c:pt idx="0">
                  <c:v>CY_MARGIN</c:v>
                </c:pt>
              </c:strCache>
            </c:strRef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'GARMENTS &amp; APPAREL'!$B$37:$B$48</c:f>
              <c:strCache>
                <c:ptCount val="12"/>
                <c:pt idx="0">
                  <c:v>PAGEIND</c:v>
                </c:pt>
                <c:pt idx="1">
                  <c:v>KPRMILL</c:v>
                </c:pt>
                <c:pt idx="2">
                  <c:v>RAYMOND</c:v>
                </c:pt>
                <c:pt idx="3">
                  <c:v>ARVIND</c:v>
                </c:pt>
                <c:pt idx="4">
                  <c:v>GOKEX</c:v>
                </c:pt>
                <c:pt idx="5">
                  <c:v>KKCL</c:v>
                </c:pt>
                <c:pt idx="6">
                  <c:v>LUXIND</c:v>
                </c:pt>
                <c:pt idx="7">
                  <c:v>DOLLAR</c:v>
                </c:pt>
                <c:pt idx="8">
                  <c:v>PGIL</c:v>
                </c:pt>
                <c:pt idx="9">
                  <c:v>TCNSBRANDS</c:v>
                </c:pt>
                <c:pt idx="10">
                  <c:v>RUPA</c:v>
                </c:pt>
                <c:pt idx="11">
                  <c:v>CANTABIL</c:v>
                </c:pt>
              </c:strCache>
            </c:strRef>
          </c:cat>
          <c:val>
            <c:numRef>
              <c:f>'GARMENTS &amp; APPAREL'!$D$37:$D$48</c:f>
              <c:numCache>
                <c:formatCode>0.0%</c:formatCode>
                <c:ptCount val="12"/>
                <c:pt idx="0">
                  <c:v>0.1283</c:v>
                </c:pt>
                <c:pt idx="1">
                  <c:v>8.3699999999999997E-2</c:v>
                </c:pt>
                <c:pt idx="2">
                  <c:v>0.22</c:v>
                </c:pt>
                <c:pt idx="3">
                  <c:v>4.3799999999999999E-2</c:v>
                </c:pt>
                <c:pt idx="4">
                  <c:v>5.4899999999999997E-2</c:v>
                </c:pt>
                <c:pt idx="5">
                  <c:v>0.18099999999999999</c:v>
                </c:pt>
                <c:pt idx="6">
                  <c:v>4.3799999999999999E-2</c:v>
                </c:pt>
                <c:pt idx="7">
                  <c:v>5.3199999999999997E-2</c:v>
                </c:pt>
                <c:pt idx="8">
                  <c:v>4.8099999999999997E-2</c:v>
                </c:pt>
                <c:pt idx="9">
                  <c:v>-0.29949999999999999</c:v>
                </c:pt>
                <c:pt idx="10">
                  <c:v>5.5500000000000001E-2</c:v>
                </c:pt>
                <c:pt idx="11">
                  <c:v>0.1021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D34B-40C5-81BA-8DD447481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426759"/>
        <c:axId val="2030633015"/>
      </c:barChart>
      <c:catAx>
        <c:axId val="19504267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30633015"/>
        <c:crosses val="autoZero"/>
        <c:auto val="1"/>
        <c:lblAlgn val="ctr"/>
        <c:lblOffset val="100"/>
        <c:noMultiLvlLbl val="1"/>
      </c:catAx>
      <c:valAx>
        <c:axId val="20306330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042675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CY_SALES GR and CY_PRPFIT_GR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'GARMENTS &amp; APPAREL'!$H$36</c:f>
              <c:strCache>
                <c:ptCount val="1"/>
                <c:pt idx="0">
                  <c:v>CY_SALES GR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'GARMENTS &amp; APPAREL'!$G$37:$G$48</c:f>
              <c:strCache>
                <c:ptCount val="12"/>
                <c:pt idx="0">
                  <c:v>PAGEIND</c:v>
                </c:pt>
                <c:pt idx="1">
                  <c:v>KPRMILL</c:v>
                </c:pt>
                <c:pt idx="2">
                  <c:v>RAYMOND</c:v>
                </c:pt>
                <c:pt idx="3">
                  <c:v>ARVIND</c:v>
                </c:pt>
                <c:pt idx="4">
                  <c:v>GOKEX</c:v>
                </c:pt>
                <c:pt idx="5">
                  <c:v>KKCL</c:v>
                </c:pt>
                <c:pt idx="6">
                  <c:v>LUXIND</c:v>
                </c:pt>
                <c:pt idx="7">
                  <c:v>DOLLAR</c:v>
                </c:pt>
                <c:pt idx="8">
                  <c:v>PGIL</c:v>
                </c:pt>
                <c:pt idx="9">
                  <c:v>TCNSBRANDS</c:v>
                </c:pt>
                <c:pt idx="10">
                  <c:v>RUPA</c:v>
                </c:pt>
                <c:pt idx="11">
                  <c:v>CANTABIL</c:v>
                </c:pt>
              </c:strCache>
            </c:strRef>
          </c:cat>
          <c:val>
            <c:numRef>
              <c:f>'GARMENTS &amp; APPAREL'!$H$37:$H$48</c:f>
              <c:numCache>
                <c:formatCode>0.0%</c:formatCode>
                <c:ptCount val="12"/>
                <c:pt idx="0">
                  <c:v>-4.3700000000000003E-2</c:v>
                </c:pt>
                <c:pt idx="1">
                  <c:v>2.98E-2</c:v>
                </c:pt>
                <c:pt idx="2">
                  <c:v>5.9499999999999997E-2</c:v>
                </c:pt>
                <c:pt idx="3">
                  <c:v>-0.12889999999999999</c:v>
                </c:pt>
                <c:pt idx="4">
                  <c:v>-7.8299999999999995E-2</c:v>
                </c:pt>
                <c:pt idx="5">
                  <c:v>0.1052</c:v>
                </c:pt>
                <c:pt idx="6">
                  <c:v>-3.15E-2</c:v>
                </c:pt>
                <c:pt idx="7">
                  <c:v>8.6099999999999996E-2</c:v>
                </c:pt>
                <c:pt idx="8">
                  <c:v>5.2299999999999999E-2</c:v>
                </c:pt>
                <c:pt idx="9">
                  <c:v>-0.1983</c:v>
                </c:pt>
                <c:pt idx="10">
                  <c:v>0.1094</c:v>
                </c:pt>
                <c:pt idx="11">
                  <c:v>0.1079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40F-4213-80C3-A5A374C6E9DC}"/>
            </c:ext>
          </c:extLst>
        </c:ser>
        <c:ser>
          <c:idx val="1"/>
          <c:order val="1"/>
          <c:tx>
            <c:strRef>
              <c:f>'GARMENTS &amp; APPAREL'!$I$36</c:f>
              <c:strCache>
                <c:ptCount val="1"/>
                <c:pt idx="0">
                  <c:v>CY_PROFIT_GR</c:v>
                </c:pt>
              </c:strCache>
            </c:strRef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'GARMENTS &amp; APPAREL'!$G$37:$G$48</c:f>
              <c:strCache>
                <c:ptCount val="12"/>
                <c:pt idx="0">
                  <c:v>PAGEIND</c:v>
                </c:pt>
                <c:pt idx="1">
                  <c:v>KPRMILL</c:v>
                </c:pt>
                <c:pt idx="2">
                  <c:v>RAYMOND</c:v>
                </c:pt>
                <c:pt idx="3">
                  <c:v>ARVIND</c:v>
                </c:pt>
                <c:pt idx="4">
                  <c:v>GOKEX</c:v>
                </c:pt>
                <c:pt idx="5">
                  <c:v>KKCL</c:v>
                </c:pt>
                <c:pt idx="6">
                  <c:v>LUXIND</c:v>
                </c:pt>
                <c:pt idx="7">
                  <c:v>DOLLAR</c:v>
                </c:pt>
                <c:pt idx="8">
                  <c:v>PGIL</c:v>
                </c:pt>
                <c:pt idx="9">
                  <c:v>TCNSBRANDS</c:v>
                </c:pt>
                <c:pt idx="10">
                  <c:v>RUPA</c:v>
                </c:pt>
                <c:pt idx="11">
                  <c:v>CANTABIL</c:v>
                </c:pt>
              </c:strCache>
            </c:strRef>
          </c:cat>
          <c:val>
            <c:numRef>
              <c:f>'GARMENTS &amp; APPAREL'!$I$37:$I$48</c:f>
              <c:numCache>
                <c:formatCode>0.0%</c:formatCode>
                <c:ptCount val="12"/>
                <c:pt idx="0">
                  <c:v>-6.5000000000000002E-2</c:v>
                </c:pt>
                <c:pt idx="1">
                  <c:v>-0.30059999999999998</c:v>
                </c:pt>
                <c:pt idx="2">
                  <c:v>-0.58530000000000004</c:v>
                </c:pt>
                <c:pt idx="3">
                  <c:v>-0.2346</c:v>
                </c:pt>
                <c:pt idx="4">
                  <c:v>-0.3175</c:v>
                </c:pt>
                <c:pt idx="5">
                  <c:v>0.33329999999999999</c:v>
                </c:pt>
                <c:pt idx="6">
                  <c:v>-0.3458</c:v>
                </c:pt>
                <c:pt idx="7">
                  <c:v>9.6199999999999994E-2</c:v>
                </c:pt>
                <c:pt idx="8">
                  <c:v>0.3226</c:v>
                </c:pt>
                <c:pt idx="9">
                  <c:v>-21.363600000000002</c:v>
                </c:pt>
                <c:pt idx="10">
                  <c:v>0.32350000000000001</c:v>
                </c:pt>
                <c:pt idx="11">
                  <c:v>-0.14000000000000001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40F-4213-80C3-A5A374C6E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265189"/>
        <c:axId val="567427881"/>
      </c:barChart>
      <c:catAx>
        <c:axId val="9212651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67427881"/>
        <c:crosses val="autoZero"/>
        <c:auto val="1"/>
        <c:lblAlgn val="ctr"/>
        <c:lblOffset val="100"/>
        <c:noMultiLvlLbl val="1"/>
      </c:catAx>
      <c:valAx>
        <c:axId val="56742788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2126518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DEBT2EQUITY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'GARMENTS &amp; APPAREL'!$C$67</c:f>
              <c:strCache>
                <c:ptCount val="1"/>
                <c:pt idx="0">
                  <c:v>DEBT2EQUITY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'GARMENTS &amp; APPAREL'!$B$68:$B$79</c:f>
              <c:strCache>
                <c:ptCount val="12"/>
                <c:pt idx="0">
                  <c:v>PAGEIND</c:v>
                </c:pt>
                <c:pt idx="1">
                  <c:v>KPRMILL</c:v>
                </c:pt>
                <c:pt idx="2">
                  <c:v>RAYMOND</c:v>
                </c:pt>
                <c:pt idx="3">
                  <c:v>ARVIND</c:v>
                </c:pt>
                <c:pt idx="4">
                  <c:v>GOKEX</c:v>
                </c:pt>
                <c:pt idx="5">
                  <c:v>KKCL</c:v>
                </c:pt>
                <c:pt idx="6">
                  <c:v>LUXIND</c:v>
                </c:pt>
                <c:pt idx="7">
                  <c:v>DOLLAR</c:v>
                </c:pt>
                <c:pt idx="8">
                  <c:v>PGIL</c:v>
                </c:pt>
                <c:pt idx="9">
                  <c:v>TCNSBRANDS</c:v>
                </c:pt>
                <c:pt idx="10">
                  <c:v>RUPA</c:v>
                </c:pt>
                <c:pt idx="11">
                  <c:v>CANTABIL</c:v>
                </c:pt>
              </c:strCache>
            </c:strRef>
          </c:cat>
          <c:val>
            <c:numRef>
              <c:f>'GARMENTS &amp; APPAREL'!$C$68:$C$79</c:f>
              <c:numCache>
                <c:formatCode>0.00</c:formatCode>
                <c:ptCount val="12"/>
                <c:pt idx="0">
                  <c:v>0.12177894048397644</c:v>
                </c:pt>
                <c:pt idx="1">
                  <c:v>0.28692988427501703</c:v>
                </c:pt>
                <c:pt idx="2" formatCode="General">
                  <c:v>0.82</c:v>
                </c:pt>
                <c:pt idx="3" formatCode="General">
                  <c:v>0.46</c:v>
                </c:pt>
                <c:pt idx="4" formatCode="General">
                  <c:v>0.15</c:v>
                </c:pt>
                <c:pt idx="5" formatCode="General">
                  <c:v>0.11</c:v>
                </c:pt>
                <c:pt idx="6" formatCode="General">
                  <c:v>0.16</c:v>
                </c:pt>
                <c:pt idx="7" formatCode="General">
                  <c:v>0.3</c:v>
                </c:pt>
                <c:pt idx="8" formatCode="General">
                  <c:v>0.68</c:v>
                </c:pt>
                <c:pt idx="9" formatCode="General">
                  <c:v>1.4</c:v>
                </c:pt>
                <c:pt idx="10" formatCode="General">
                  <c:v>0.28999999999999998</c:v>
                </c:pt>
                <c:pt idx="11" formatCode="General">
                  <c:v>1.37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722-4C5B-95A5-00BF140B8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8623427"/>
        <c:axId val="380513424"/>
      </c:barChart>
      <c:catAx>
        <c:axId val="14386234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80513424"/>
        <c:crosses val="autoZero"/>
        <c:auto val="1"/>
        <c:lblAlgn val="ctr"/>
        <c:lblOffset val="100"/>
        <c:noMultiLvlLbl val="1"/>
      </c:catAx>
      <c:valAx>
        <c:axId val="3805134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DEBT2EQUITY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3862342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ICR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'GARMENTS &amp; APPAREL'!$G$67</c:f>
              <c:strCache>
                <c:ptCount val="1"/>
                <c:pt idx="0">
                  <c:v>ICR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'GARMENTS &amp; APPAREL'!$F$68:$F$79</c:f>
              <c:strCache>
                <c:ptCount val="12"/>
                <c:pt idx="0">
                  <c:v>PAGEIND</c:v>
                </c:pt>
                <c:pt idx="1">
                  <c:v>KPRMILL</c:v>
                </c:pt>
                <c:pt idx="2">
                  <c:v>RAYMOND</c:v>
                </c:pt>
                <c:pt idx="3">
                  <c:v>ARVIND</c:v>
                </c:pt>
                <c:pt idx="4">
                  <c:v>GOKEX</c:v>
                </c:pt>
                <c:pt idx="5">
                  <c:v>KKCL</c:v>
                </c:pt>
                <c:pt idx="6">
                  <c:v>LUXIND</c:v>
                </c:pt>
                <c:pt idx="7">
                  <c:v>DOLLAR</c:v>
                </c:pt>
                <c:pt idx="8">
                  <c:v>PGIL</c:v>
                </c:pt>
                <c:pt idx="9">
                  <c:v>TCNSBRANDS</c:v>
                </c:pt>
                <c:pt idx="10">
                  <c:v>RUPA</c:v>
                </c:pt>
                <c:pt idx="11">
                  <c:v>CANTABIL</c:v>
                </c:pt>
              </c:strCache>
            </c:strRef>
          </c:cat>
          <c:val>
            <c:numRef>
              <c:f>'GARMENTS &amp; APPAREL'!$G$68:$G$79</c:f>
              <c:numCache>
                <c:formatCode>0</c:formatCode>
                <c:ptCount val="12"/>
                <c:pt idx="0">
                  <c:v>19</c:v>
                </c:pt>
                <c:pt idx="1">
                  <c:v>36</c:v>
                </c:pt>
                <c:pt idx="2">
                  <c:v>4</c:v>
                </c:pt>
                <c:pt idx="3">
                  <c:v>3</c:v>
                </c:pt>
                <c:pt idx="4">
                  <c:v>8</c:v>
                </c:pt>
                <c:pt idx="5">
                  <c:v>24</c:v>
                </c:pt>
                <c:pt idx="6">
                  <c:v>7</c:v>
                </c:pt>
                <c:pt idx="7">
                  <c:v>6</c:v>
                </c:pt>
                <c:pt idx="8">
                  <c:v>18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934-4868-BE2C-4B1DB122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8927519"/>
        <c:axId val="1329451495"/>
      </c:barChart>
      <c:catAx>
        <c:axId val="17089275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29451495"/>
        <c:crosses val="autoZero"/>
        <c:auto val="1"/>
        <c:lblAlgn val="ctr"/>
        <c:lblOffset val="100"/>
        <c:noMultiLvlLbl val="1"/>
      </c:catAx>
      <c:valAx>
        <c:axId val="13294514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ICR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0892751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SALES_5Y_GR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'GARMENTS &amp; APPAREL'!$M$36</c:f>
              <c:strCache>
                <c:ptCount val="1"/>
                <c:pt idx="0">
                  <c:v>SALES_5Y_GR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'GARMENTS &amp; APPAREL'!$L$37:$L$48</c:f>
              <c:strCache>
                <c:ptCount val="12"/>
                <c:pt idx="0">
                  <c:v>PAGEIND</c:v>
                </c:pt>
                <c:pt idx="1">
                  <c:v>KPRMILL</c:v>
                </c:pt>
                <c:pt idx="2">
                  <c:v>RAYMOND</c:v>
                </c:pt>
                <c:pt idx="3">
                  <c:v>ARVIND</c:v>
                </c:pt>
                <c:pt idx="4">
                  <c:v>GOKEX</c:v>
                </c:pt>
                <c:pt idx="5">
                  <c:v>KKCL</c:v>
                </c:pt>
                <c:pt idx="6">
                  <c:v>LUXIND</c:v>
                </c:pt>
                <c:pt idx="7">
                  <c:v>DOLLAR</c:v>
                </c:pt>
                <c:pt idx="8">
                  <c:v>PGIL</c:v>
                </c:pt>
                <c:pt idx="9">
                  <c:v>TCNSBRANDS</c:v>
                </c:pt>
                <c:pt idx="10">
                  <c:v>RUPA</c:v>
                </c:pt>
                <c:pt idx="11">
                  <c:v>CANTABIL</c:v>
                </c:pt>
              </c:strCache>
            </c:strRef>
          </c:cat>
          <c:val>
            <c:numRef>
              <c:f>'GARMENTS &amp; APPAREL'!$M$37:$M$48</c:f>
              <c:numCache>
                <c:formatCode>0.0%</c:formatCode>
                <c:ptCount val="12"/>
                <c:pt idx="0">
                  <c:v>0.13070000000000001</c:v>
                </c:pt>
                <c:pt idx="1">
                  <c:v>0.15509999999999999</c:v>
                </c:pt>
                <c:pt idx="2">
                  <c:v>6.8199999999999997E-2</c:v>
                </c:pt>
                <c:pt idx="3">
                  <c:v>4.2900000000000001E-2</c:v>
                </c:pt>
                <c:pt idx="4">
                  <c:v>0.16600000000000001</c:v>
                </c:pt>
                <c:pt idx="5">
                  <c:v>0.1106</c:v>
                </c:pt>
                <c:pt idx="6">
                  <c:v>0.15740000000000001</c:v>
                </c:pt>
                <c:pt idx="7">
                  <c:v>7.2400000000000006E-2</c:v>
                </c:pt>
                <c:pt idx="8">
                  <c:v>0.161</c:v>
                </c:pt>
                <c:pt idx="9">
                  <c:v>3.73E-2</c:v>
                </c:pt>
                <c:pt idx="10">
                  <c:v>-3.3E-3</c:v>
                </c:pt>
                <c:pt idx="11">
                  <c:v>0.22839999999999999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BA3-4F90-B29B-4C3857AE3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015905"/>
        <c:axId val="178401980"/>
      </c:barChart>
      <c:catAx>
        <c:axId val="8380159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8401980"/>
        <c:crosses val="autoZero"/>
        <c:auto val="1"/>
        <c:lblAlgn val="ctr"/>
        <c:lblOffset val="100"/>
        <c:noMultiLvlLbl val="1"/>
      </c:catAx>
      <c:valAx>
        <c:axId val="1784019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SALES_5Y_GR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3801590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337185</xdr:colOff>
      <xdr:row>51</xdr:row>
      <xdr:rowOff>74295</xdr:rowOff>
    </xdr:from>
    <xdr:ext cx="6010275" cy="601027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F0AA96BB-E05D-494F-BDA1-88D92D31ED2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185" y="10353675"/>
          <a:ext cx="6010275" cy="60102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22</xdr:row>
      <xdr:rowOff>19050</xdr:rowOff>
    </xdr:from>
    <xdr:ext cx="3486150" cy="2152650"/>
    <xdr:graphicFrame macro="">
      <xdr:nvGraphicFramePr>
        <xdr:cNvPr id="2" name="Chart 3" title="Chart">
          <a:extLst>
            <a:ext uri="{FF2B5EF4-FFF2-40B4-BE49-F238E27FC236}">
              <a16:creationId xmlns:a16="http://schemas.microsoft.com/office/drawing/2014/main" id="{E0C6DF0D-CB03-42B5-9915-3D16CA2EB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3</xdr:col>
      <xdr:colOff>695325</xdr:colOff>
      <xdr:row>22</xdr:row>
      <xdr:rowOff>19050</xdr:rowOff>
    </xdr:from>
    <xdr:ext cx="3486150" cy="2152650"/>
    <xdr:graphicFrame macro="">
      <xdr:nvGraphicFramePr>
        <xdr:cNvPr id="3" name="Chart 4" title="Chart">
          <a:extLst>
            <a:ext uri="{FF2B5EF4-FFF2-40B4-BE49-F238E27FC236}">
              <a16:creationId xmlns:a16="http://schemas.microsoft.com/office/drawing/2014/main" id="{F0133B1E-5232-4135-B8DF-926CA4093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342900</xdr:colOff>
      <xdr:row>22</xdr:row>
      <xdr:rowOff>19050</xdr:rowOff>
    </xdr:from>
    <xdr:ext cx="3438525" cy="2152650"/>
    <xdr:graphicFrame macro="">
      <xdr:nvGraphicFramePr>
        <xdr:cNvPr id="4" name="Chart 5" title="Chart">
          <a:extLst>
            <a:ext uri="{FF2B5EF4-FFF2-40B4-BE49-F238E27FC236}">
              <a16:creationId xmlns:a16="http://schemas.microsoft.com/office/drawing/2014/main" id="{071D1A61-BFB2-477D-8C5F-AD7542444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0</xdr:colOff>
      <xdr:row>50</xdr:row>
      <xdr:rowOff>19050</xdr:rowOff>
    </xdr:from>
    <xdr:ext cx="4810125" cy="2971800"/>
    <xdr:graphicFrame macro="">
      <xdr:nvGraphicFramePr>
        <xdr:cNvPr id="5" name="Chart 6" title="Chart">
          <a:extLst>
            <a:ext uri="{FF2B5EF4-FFF2-40B4-BE49-F238E27FC236}">
              <a16:creationId xmlns:a16="http://schemas.microsoft.com/office/drawing/2014/main" id="{27628188-2461-4F80-AF18-91A8DE4CA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4</xdr:col>
      <xdr:colOff>952500</xdr:colOff>
      <xdr:row>50</xdr:row>
      <xdr:rowOff>19050</xdr:rowOff>
    </xdr:from>
    <xdr:ext cx="4810125" cy="2971800"/>
    <xdr:graphicFrame macro="">
      <xdr:nvGraphicFramePr>
        <xdr:cNvPr id="6" name="Chart 7" title="Chart">
          <a:extLst>
            <a:ext uri="{FF2B5EF4-FFF2-40B4-BE49-F238E27FC236}">
              <a16:creationId xmlns:a16="http://schemas.microsoft.com/office/drawing/2014/main" id="{DF74B18E-0636-40DF-9A75-185375DD4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0</xdr:col>
      <xdr:colOff>0</xdr:colOff>
      <xdr:row>81</xdr:row>
      <xdr:rowOff>66675</xdr:rowOff>
    </xdr:from>
    <xdr:ext cx="4810125" cy="2971800"/>
    <xdr:graphicFrame macro="">
      <xdr:nvGraphicFramePr>
        <xdr:cNvPr id="7" name="Chart 8" title="Chart">
          <a:extLst>
            <a:ext uri="{FF2B5EF4-FFF2-40B4-BE49-F238E27FC236}">
              <a16:creationId xmlns:a16="http://schemas.microsoft.com/office/drawing/2014/main" id="{7093C40C-CFB0-4B60-A3FC-94CC8EFB72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5</xdr:col>
      <xdr:colOff>9525</xdr:colOff>
      <xdr:row>81</xdr:row>
      <xdr:rowOff>66675</xdr:rowOff>
    </xdr:from>
    <xdr:ext cx="4857750" cy="2971800"/>
    <xdr:graphicFrame macro="">
      <xdr:nvGraphicFramePr>
        <xdr:cNvPr id="8" name="Chart 9" title="Chart">
          <a:extLst>
            <a:ext uri="{FF2B5EF4-FFF2-40B4-BE49-F238E27FC236}">
              <a16:creationId xmlns:a16="http://schemas.microsoft.com/office/drawing/2014/main" id="{9AB99FC1-5F51-4378-A064-E0556D641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10</xdr:col>
      <xdr:colOff>0</xdr:colOff>
      <xdr:row>50</xdr:row>
      <xdr:rowOff>19050</xdr:rowOff>
    </xdr:from>
    <xdr:ext cx="4762500" cy="2971800"/>
    <xdr:graphicFrame macro="">
      <xdr:nvGraphicFramePr>
        <xdr:cNvPr id="9" name="Chart 10" title="Chart">
          <a:extLst>
            <a:ext uri="{FF2B5EF4-FFF2-40B4-BE49-F238E27FC236}">
              <a16:creationId xmlns:a16="http://schemas.microsoft.com/office/drawing/2014/main" id="{AD9212DF-77D0-4C04-A75D-F5C151006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fi\Downloads\Garments%20&amp;%20Apparels%20(6).xlsx" TargetMode="External"/><Relationship Id="rId1" Type="http://schemas.openxmlformats.org/officeDocument/2006/relationships/externalLinkPath" Target="/Users/profi/Downloads/Garments%20&amp;%20Apparels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ther Apparels &amp; Accessories"/>
      <sheetName val="Pivot Table 1"/>
      <sheetName val="GARMENTS &amp; APPAREL"/>
      <sheetName val="Pageind"/>
      <sheetName val="Sheet2"/>
      <sheetName val="TITAN"/>
      <sheetName val="CANTABIL"/>
      <sheetName val="VIPIND"/>
      <sheetName val="KITEX"/>
      <sheetName val="DOLLAR"/>
      <sheetName val="RJL"/>
      <sheetName val="THANGAMAYL"/>
      <sheetName val="PCJEWELLER"/>
      <sheetName val="Sheet5"/>
      <sheetName val="Sheet1"/>
    </sheetNames>
    <sheetDataSet>
      <sheetData sheetId="0"/>
      <sheetData sheetId="1"/>
      <sheetData sheetId="2">
        <row r="8">
          <cell r="C8" t="str">
            <v>MARKETCAP</v>
          </cell>
          <cell r="G8" t="str">
            <v>SALES_23</v>
          </cell>
          <cell r="K8" t="str">
            <v>PROFIT_23</v>
          </cell>
        </row>
        <row r="9">
          <cell r="B9" t="str">
            <v>PAGEIND</v>
          </cell>
          <cell r="C9">
            <v>38717.313543999997</v>
          </cell>
          <cell r="F9" t="str">
            <v>PAGEIND</v>
          </cell>
          <cell r="G9">
            <v>4716</v>
          </cell>
          <cell r="J9" t="str">
            <v>PAGEIND</v>
          </cell>
          <cell r="K9">
            <v>571</v>
          </cell>
        </row>
        <row r="10">
          <cell r="B10" t="str">
            <v>KPRMILL</v>
          </cell>
          <cell r="C10">
            <v>29160.142974400002</v>
          </cell>
          <cell r="F10" t="str">
            <v>KPRMILL</v>
          </cell>
          <cell r="G10">
            <v>6248</v>
          </cell>
          <cell r="J10" t="str">
            <v>KPRMILL</v>
          </cell>
          <cell r="K10">
            <v>635</v>
          </cell>
        </row>
        <row r="11">
          <cell r="B11" t="str">
            <v>RAYMOND</v>
          </cell>
          <cell r="C11">
            <v>12775.387126199999</v>
          </cell>
          <cell r="F11" t="str">
            <v>RAYMOND</v>
          </cell>
          <cell r="G11">
            <v>8214</v>
          </cell>
          <cell r="J11" t="str">
            <v>RAYMOND</v>
          </cell>
          <cell r="K11">
            <v>534</v>
          </cell>
        </row>
        <row r="12">
          <cell r="B12" t="str">
            <v>ARVIND</v>
          </cell>
          <cell r="C12">
            <v>7712.8638725999999</v>
          </cell>
          <cell r="F12" t="str">
            <v>ARVIND</v>
          </cell>
          <cell r="G12">
            <v>8382</v>
          </cell>
          <cell r="J12" t="str">
            <v>ARVIND</v>
          </cell>
          <cell r="K12">
            <v>416</v>
          </cell>
        </row>
        <row r="13">
          <cell r="B13" t="str">
            <v>GOKEX</v>
          </cell>
          <cell r="C13">
            <v>4934.7758230999998</v>
          </cell>
          <cell r="F13" t="str">
            <v>GOKEX</v>
          </cell>
          <cell r="G13">
            <v>2222</v>
          </cell>
          <cell r="J13" t="str">
            <v>GOKEX</v>
          </cell>
          <cell r="K13">
            <v>173</v>
          </cell>
        </row>
        <row r="14">
          <cell r="B14" t="str">
            <v>KKCL</v>
          </cell>
          <cell r="C14">
            <v>4510.1229081000001</v>
          </cell>
          <cell r="F14" t="str">
            <v>KKCL</v>
          </cell>
          <cell r="G14">
            <v>779</v>
          </cell>
          <cell r="J14" t="str">
            <v>KKCL</v>
          </cell>
          <cell r="K14">
            <v>119</v>
          </cell>
        </row>
        <row r="15">
          <cell r="B15" t="str">
            <v>LUXIND</v>
          </cell>
          <cell r="C15">
            <v>3551.465408</v>
          </cell>
          <cell r="F15" t="str">
            <v>LUXIND</v>
          </cell>
          <cell r="G15">
            <v>2361</v>
          </cell>
          <cell r="J15" t="str">
            <v>LUXIND</v>
          </cell>
          <cell r="K15">
            <v>137</v>
          </cell>
        </row>
        <row r="16">
          <cell r="B16" t="str">
            <v>DOLLAR</v>
          </cell>
          <cell r="C16">
            <v>3113.9072615</v>
          </cell>
          <cell r="F16" t="str">
            <v>DOLLAR</v>
          </cell>
          <cell r="G16">
            <v>1393</v>
          </cell>
          <cell r="J16" t="str">
            <v>DOLLAR</v>
          </cell>
          <cell r="K16">
            <v>52</v>
          </cell>
        </row>
        <row r="17">
          <cell r="B17" t="str">
            <v>PGIL</v>
          </cell>
          <cell r="C17">
            <v>2664.0994667</v>
          </cell>
          <cell r="F17" t="str">
            <v>PGIL</v>
          </cell>
          <cell r="G17">
            <v>3155</v>
          </cell>
          <cell r="J17" t="str">
            <v>PGIL</v>
          </cell>
          <cell r="K17">
            <v>149</v>
          </cell>
        </row>
        <row r="18">
          <cell r="B18" t="str">
            <v>TCNSBRANDS</v>
          </cell>
          <cell r="C18">
            <v>2524.6094579999999</v>
          </cell>
          <cell r="F18" t="str">
            <v>TCNSBRANDS</v>
          </cell>
          <cell r="G18">
            <v>1201</v>
          </cell>
          <cell r="J18" t="str">
            <v>TCNSBRANDS</v>
          </cell>
          <cell r="K18">
            <v>-16</v>
          </cell>
        </row>
        <row r="19">
          <cell r="B19" t="str">
            <v>RUPA</v>
          </cell>
          <cell r="C19">
            <v>2071.2167413000002</v>
          </cell>
          <cell r="F19" t="str">
            <v>RUPA</v>
          </cell>
          <cell r="G19">
            <v>1137</v>
          </cell>
          <cell r="J19" t="str">
            <v>RUPA</v>
          </cell>
          <cell r="K19">
            <v>53</v>
          </cell>
        </row>
        <row r="20">
          <cell r="B20" t="str">
            <v>OTHER_25</v>
          </cell>
          <cell r="C20">
            <v>9567</v>
          </cell>
          <cell r="F20" t="str">
            <v>CANTABIL</v>
          </cell>
          <cell r="G20">
            <v>551</v>
          </cell>
          <cell r="J20" t="str">
            <v>CANTABIL</v>
          </cell>
          <cell r="K20">
            <v>67</v>
          </cell>
        </row>
        <row r="36">
          <cell r="C36" t="str">
            <v>MARGIN_23</v>
          </cell>
          <cell r="D36" t="str">
            <v>CY_MARGIN</v>
          </cell>
          <cell r="H36" t="str">
            <v>CY_SALES GR</v>
          </cell>
          <cell r="I36" t="str">
            <v>CY_PROFIT_GR</v>
          </cell>
          <cell r="M36" t="str">
            <v>SALES_5Y_GR</v>
          </cell>
        </row>
        <row r="37">
          <cell r="B37" t="str">
            <v>PAGEIND</v>
          </cell>
          <cell r="C37">
            <v>0.1211</v>
          </cell>
          <cell r="D37">
            <v>0.1283</v>
          </cell>
          <cell r="G37" t="str">
            <v>PAGEIND</v>
          </cell>
          <cell r="H37">
            <v>-4.3700000000000003E-2</v>
          </cell>
          <cell r="I37">
            <v>-6.5000000000000002E-2</v>
          </cell>
          <cell r="L37" t="str">
            <v>PAGEIND</v>
          </cell>
          <cell r="M37">
            <v>0.13070000000000001</v>
          </cell>
        </row>
        <row r="38">
          <cell r="B38" t="str">
            <v>KPRMILL</v>
          </cell>
          <cell r="C38">
            <v>0.1016</v>
          </cell>
          <cell r="D38">
            <v>8.3699999999999997E-2</v>
          </cell>
          <cell r="G38" t="str">
            <v>KPRMILL</v>
          </cell>
          <cell r="H38">
            <v>2.98E-2</v>
          </cell>
          <cell r="I38">
            <v>-0.30059999999999998</v>
          </cell>
          <cell r="L38" t="str">
            <v>KPRMILL</v>
          </cell>
          <cell r="M38">
            <v>0.15509999999999999</v>
          </cell>
        </row>
        <row r="39">
          <cell r="B39" t="str">
            <v>RAYMOND</v>
          </cell>
          <cell r="C39">
            <v>6.5000000000000002E-2</v>
          </cell>
          <cell r="D39">
            <v>0.22</v>
          </cell>
          <cell r="G39" t="str">
            <v>RAYMOND</v>
          </cell>
          <cell r="H39">
            <v>5.9499999999999997E-2</v>
          </cell>
          <cell r="I39">
            <v>-0.58530000000000004</v>
          </cell>
          <cell r="L39" t="str">
            <v>RAYMOND</v>
          </cell>
          <cell r="M39">
            <v>6.8199999999999997E-2</v>
          </cell>
        </row>
        <row r="40">
          <cell r="B40" t="str">
            <v>ARVIND</v>
          </cell>
          <cell r="C40">
            <v>4.9599999999999998E-2</v>
          </cell>
          <cell r="D40">
            <v>4.3799999999999999E-2</v>
          </cell>
          <cell r="G40" t="str">
            <v>ARVIND</v>
          </cell>
          <cell r="H40">
            <v>-0.12889999999999999</v>
          </cell>
          <cell r="I40">
            <v>-0.2346</v>
          </cell>
          <cell r="L40" t="str">
            <v>ARVIND</v>
          </cell>
          <cell r="M40">
            <v>4.2900000000000001E-2</v>
          </cell>
        </row>
        <row r="41">
          <cell r="B41" t="str">
            <v>GOKEX</v>
          </cell>
          <cell r="C41">
            <v>7.7899999999999997E-2</v>
          </cell>
          <cell r="D41">
            <v>5.4899999999999997E-2</v>
          </cell>
          <cell r="G41" t="str">
            <v>GOKEX</v>
          </cell>
          <cell r="H41">
            <v>-7.8299999999999995E-2</v>
          </cell>
          <cell r="I41">
            <v>-0.3175</v>
          </cell>
          <cell r="L41" t="str">
            <v>GOKEX</v>
          </cell>
          <cell r="M41">
            <v>0.16600000000000001</v>
          </cell>
        </row>
        <row r="42">
          <cell r="B42" t="str">
            <v>KKCL</v>
          </cell>
          <cell r="C42">
            <v>0.15279999999999999</v>
          </cell>
          <cell r="D42">
            <v>0.18099999999999999</v>
          </cell>
          <cell r="G42" t="str">
            <v>KKCL</v>
          </cell>
          <cell r="H42">
            <v>0.1052</v>
          </cell>
          <cell r="I42">
            <v>0.33329999999999999</v>
          </cell>
          <cell r="L42" t="str">
            <v>KKCL</v>
          </cell>
          <cell r="M42">
            <v>0.1106</v>
          </cell>
        </row>
        <row r="43">
          <cell r="B43" t="str">
            <v>LUXIND</v>
          </cell>
          <cell r="C43">
            <v>5.8000000000000003E-2</v>
          </cell>
          <cell r="D43">
            <v>4.3799999999999999E-2</v>
          </cell>
          <cell r="G43" t="str">
            <v>LUXIND</v>
          </cell>
          <cell r="H43">
            <v>-3.15E-2</v>
          </cell>
          <cell r="I43">
            <v>-0.3458</v>
          </cell>
          <cell r="L43" t="str">
            <v>LUXIND</v>
          </cell>
          <cell r="M43">
            <v>0.15740000000000001</v>
          </cell>
        </row>
        <row r="44">
          <cell r="B44" t="str">
            <v>DOLLAR</v>
          </cell>
          <cell r="C44">
            <v>3.73E-2</v>
          </cell>
          <cell r="D44">
            <v>5.3199999999999997E-2</v>
          </cell>
          <cell r="G44" t="str">
            <v>DOLLAR</v>
          </cell>
          <cell r="H44">
            <v>8.6099999999999996E-2</v>
          </cell>
          <cell r="I44">
            <v>9.6199999999999994E-2</v>
          </cell>
          <cell r="L44" t="str">
            <v>DOLLAR</v>
          </cell>
          <cell r="M44">
            <v>7.2400000000000006E-2</v>
          </cell>
        </row>
        <row r="45">
          <cell r="B45" t="str">
            <v>PGIL</v>
          </cell>
          <cell r="C45">
            <v>4.7199999999999999E-2</v>
          </cell>
          <cell r="D45">
            <v>4.8099999999999997E-2</v>
          </cell>
          <cell r="G45" t="str">
            <v>PGIL</v>
          </cell>
          <cell r="H45">
            <v>5.2299999999999999E-2</v>
          </cell>
          <cell r="I45">
            <v>0.3226</v>
          </cell>
          <cell r="L45" t="str">
            <v>PGIL</v>
          </cell>
          <cell r="M45">
            <v>0.161</v>
          </cell>
        </row>
        <row r="46">
          <cell r="B46" t="str">
            <v>TCNSBRANDS</v>
          </cell>
          <cell r="C46">
            <v>-1.3299999999999999E-2</v>
          </cell>
          <cell r="D46">
            <v>-0.29949999999999999</v>
          </cell>
          <cell r="G46" t="str">
            <v>TCNSBRANDS</v>
          </cell>
          <cell r="H46">
            <v>-0.1983</v>
          </cell>
          <cell r="I46">
            <v>-21.363600000000002</v>
          </cell>
          <cell r="L46" t="str">
            <v>TCNSBRANDS</v>
          </cell>
          <cell r="M46">
            <v>3.73E-2</v>
          </cell>
        </row>
        <row r="47">
          <cell r="B47" t="str">
            <v>RUPA</v>
          </cell>
          <cell r="C47">
            <v>4.6600000000000003E-2</v>
          </cell>
          <cell r="D47">
            <v>5.5500000000000001E-2</v>
          </cell>
          <cell r="G47" t="str">
            <v>RUPA</v>
          </cell>
          <cell r="H47">
            <v>0.1094</v>
          </cell>
          <cell r="I47">
            <v>0.32350000000000001</v>
          </cell>
          <cell r="L47" t="str">
            <v>RUPA</v>
          </cell>
          <cell r="M47">
            <v>-3.3E-3</v>
          </cell>
        </row>
        <row r="48">
          <cell r="B48" t="str">
            <v>CANTABIL</v>
          </cell>
          <cell r="C48">
            <v>0.1216</v>
          </cell>
          <cell r="D48">
            <v>0.1021</v>
          </cell>
          <cell r="G48" t="str">
            <v>CANTABIL</v>
          </cell>
          <cell r="H48">
            <v>0.1079</v>
          </cell>
          <cell r="I48">
            <v>-0.14000000000000001</v>
          </cell>
          <cell r="L48" t="str">
            <v>CANTABIL</v>
          </cell>
          <cell r="M48">
            <v>0.22839999999999999</v>
          </cell>
        </row>
        <row r="67">
          <cell r="C67" t="str">
            <v>DEBT2EQUITY</v>
          </cell>
          <cell r="G67" t="str">
            <v>ICR</v>
          </cell>
        </row>
        <row r="68">
          <cell r="B68" t="str">
            <v>PAGEIND</v>
          </cell>
          <cell r="C68">
            <v>0.12177894048397644</v>
          </cell>
          <cell r="F68" t="str">
            <v>PAGEIND</v>
          </cell>
          <cell r="G68">
            <v>19</v>
          </cell>
        </row>
        <row r="69">
          <cell r="B69" t="str">
            <v>KPRMILL</v>
          </cell>
          <cell r="C69">
            <v>0.28692988427501703</v>
          </cell>
          <cell r="F69" t="str">
            <v>KPRMILL</v>
          </cell>
          <cell r="G69">
            <v>36</v>
          </cell>
        </row>
        <row r="70">
          <cell r="B70" t="str">
            <v>RAYMOND</v>
          </cell>
          <cell r="C70">
            <v>0.82</v>
          </cell>
          <cell r="F70" t="str">
            <v>RAYMOND</v>
          </cell>
          <cell r="G70">
            <v>4</v>
          </cell>
        </row>
        <row r="71">
          <cell r="B71" t="str">
            <v>ARVIND</v>
          </cell>
          <cell r="C71">
            <v>0.46</v>
          </cell>
          <cell r="F71" t="str">
            <v>ARVIND</v>
          </cell>
          <cell r="G71">
            <v>3</v>
          </cell>
        </row>
        <row r="72">
          <cell r="B72" t="str">
            <v>GOKEX</v>
          </cell>
          <cell r="C72">
            <v>0.15</v>
          </cell>
          <cell r="F72" t="str">
            <v>GOKEX</v>
          </cell>
          <cell r="G72">
            <v>8</v>
          </cell>
        </row>
        <row r="73">
          <cell r="B73" t="str">
            <v>KKCL</v>
          </cell>
          <cell r="C73">
            <v>0.11</v>
          </cell>
          <cell r="F73" t="str">
            <v>KKCL</v>
          </cell>
          <cell r="G73">
            <v>24</v>
          </cell>
        </row>
        <row r="74">
          <cell r="B74" t="str">
            <v>LUXIND</v>
          </cell>
          <cell r="C74">
            <v>0.16</v>
          </cell>
          <cell r="F74" t="str">
            <v>LUXIND</v>
          </cell>
          <cell r="G74">
            <v>7</v>
          </cell>
        </row>
        <row r="75">
          <cell r="B75" t="str">
            <v>DOLLAR</v>
          </cell>
          <cell r="C75">
            <v>0.3</v>
          </cell>
          <cell r="F75" t="str">
            <v>DOLLAR</v>
          </cell>
          <cell r="G75">
            <v>6</v>
          </cell>
        </row>
        <row r="76">
          <cell r="B76" t="str">
            <v>PGIL</v>
          </cell>
          <cell r="C76">
            <v>0.68</v>
          </cell>
          <cell r="F76" t="str">
            <v>PGIL</v>
          </cell>
          <cell r="G76">
            <v>18</v>
          </cell>
        </row>
        <row r="77">
          <cell r="B77" t="str">
            <v>TCNSBRANDS</v>
          </cell>
          <cell r="C77">
            <v>1.4</v>
          </cell>
          <cell r="F77" t="str">
            <v>TCNSBRANDS</v>
          </cell>
          <cell r="G77">
            <v>0</v>
          </cell>
        </row>
        <row r="78">
          <cell r="B78" t="str">
            <v>RUPA</v>
          </cell>
          <cell r="C78">
            <v>0.28999999999999998</v>
          </cell>
          <cell r="F78" t="str">
            <v>RUPA</v>
          </cell>
          <cell r="G78">
            <v>3</v>
          </cell>
        </row>
        <row r="79">
          <cell r="B79" t="str">
            <v>CANTABIL</v>
          </cell>
          <cell r="C79">
            <v>1.37</v>
          </cell>
          <cell r="F79" t="str">
            <v>CANTABIL</v>
          </cell>
          <cell r="G79">
            <v>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profitfromit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AA1F0-9C0F-4E87-81C0-E0F854D90009}">
  <sheetPr>
    <outlinePr summaryBelow="0" summaryRight="0"/>
  </sheetPr>
  <dimension ref="A1:AE113"/>
  <sheetViews>
    <sheetView showGridLines="0" tabSelected="1" workbookViewId="0"/>
  </sheetViews>
  <sheetFormatPr defaultColWidth="14.44140625" defaultRowHeight="15" customHeight="1"/>
  <cols>
    <col min="1" max="1" width="8.5546875" customWidth="1"/>
    <col min="15" max="15" width="19.88671875" customWidth="1"/>
  </cols>
  <sheetData>
    <row r="1" spans="1:31" ht="14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4.4">
      <c r="A2" s="3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4.4">
      <c r="A3" s="3"/>
      <c r="B3" s="5" t="s">
        <v>16</v>
      </c>
      <c r="C3" s="6">
        <f ca="1">IFERROR(__xludf.DUMMYFUNCTION("GOOGLEFINANCE(""nse:""&amp;$B$3,""price"")"),39000)</f>
        <v>39000</v>
      </c>
      <c r="D3" s="6">
        <f ca="1">IFERROR(__xludf.DUMMYFUNCTION("GOOGLEFINANCE(""nse:""&amp;$B$3,""MARKETCAP"")/10000000"),44432.076)</f>
        <v>44432.076000000001</v>
      </c>
      <c r="E3" s="7">
        <v>4581</v>
      </c>
      <c r="F3" s="7">
        <v>569</v>
      </c>
      <c r="G3" s="6">
        <v>510.31</v>
      </c>
      <c r="H3" s="8">
        <v>11.2</v>
      </c>
      <c r="I3" s="6">
        <v>1585</v>
      </c>
      <c r="J3" s="7">
        <v>0</v>
      </c>
      <c r="K3" s="7">
        <v>185</v>
      </c>
      <c r="L3" s="7">
        <v>10</v>
      </c>
      <c r="M3" s="6">
        <v>1875</v>
      </c>
      <c r="N3" s="6">
        <v>938</v>
      </c>
      <c r="O3" s="6">
        <v>2682</v>
      </c>
      <c r="P3" s="6">
        <v>1085</v>
      </c>
      <c r="Q3" s="6">
        <v>159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4.4">
      <c r="A4" s="1"/>
      <c r="B4" s="9" t="s">
        <v>17</v>
      </c>
      <c r="C4" s="10">
        <v>34450</v>
      </c>
      <c r="D4" s="11">
        <f ca="1">C4*D3/C3</f>
        <v>39248.3338</v>
      </c>
      <c r="E4" s="10">
        <f t="shared" ref="E4:G4" si="0">C32</f>
        <v>4714</v>
      </c>
      <c r="F4" s="10">
        <f t="shared" si="0"/>
        <v>571</v>
      </c>
      <c r="G4" s="11">
        <f t="shared" si="0"/>
        <v>512.15</v>
      </c>
      <c r="H4" s="10">
        <v>11.2</v>
      </c>
      <c r="I4" s="10">
        <v>1360</v>
      </c>
      <c r="J4" s="10">
        <v>248</v>
      </c>
      <c r="K4" s="10">
        <v>158</v>
      </c>
      <c r="L4" s="10">
        <v>10</v>
      </c>
      <c r="M4" s="10">
        <v>1961</v>
      </c>
      <c r="N4" s="10">
        <v>1193</v>
      </c>
      <c r="O4" s="10">
        <v>2692</v>
      </c>
      <c r="P4" s="10">
        <v>1321</v>
      </c>
      <c r="Q4" s="10">
        <v>146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4.4">
      <c r="A5" s="1"/>
      <c r="B5" s="12" t="s">
        <v>18</v>
      </c>
      <c r="C5" s="13">
        <f t="shared" ref="C5:I5" ca="1" si="1">(C3/C4)-1</f>
        <v>0.13207547169811318</v>
      </c>
      <c r="D5" s="13">
        <f t="shared" ca="1" si="1"/>
        <v>0.13207547169811318</v>
      </c>
      <c r="E5" s="13">
        <f t="shared" si="1"/>
        <v>-2.8213831141281287E-2</v>
      </c>
      <c r="F5" s="13">
        <f t="shared" si="1"/>
        <v>-3.5026269702276291E-3</v>
      </c>
      <c r="G5" s="13">
        <f t="shared" si="1"/>
        <v>-3.5926974519183696E-3</v>
      </c>
      <c r="H5" s="13">
        <f t="shared" si="1"/>
        <v>0</v>
      </c>
      <c r="I5" s="13">
        <f t="shared" si="1"/>
        <v>0.16544117647058831</v>
      </c>
      <c r="J5" s="13"/>
      <c r="K5" s="13">
        <f t="shared" ref="K5:Q5" si="2">(K3/K4)-1</f>
        <v>0.17088607594936711</v>
      </c>
      <c r="L5" s="13">
        <f t="shared" si="2"/>
        <v>0</v>
      </c>
      <c r="M5" s="13">
        <f t="shared" si="2"/>
        <v>-4.3855175930647583E-2</v>
      </c>
      <c r="N5" s="13">
        <f t="shared" si="2"/>
        <v>-0.21374685666387261</v>
      </c>
      <c r="O5" s="13">
        <f t="shared" si="2"/>
        <v>-3.714710252600284E-3</v>
      </c>
      <c r="P5" s="13">
        <f t="shared" si="2"/>
        <v>-0.17865253595760788</v>
      </c>
      <c r="Q5" s="13">
        <f t="shared" si="2"/>
        <v>8.9041095890410871E-2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4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4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4.4">
      <c r="A8" s="1"/>
      <c r="B8" s="14" t="s">
        <v>19</v>
      </c>
      <c r="C8" s="2"/>
      <c r="D8" s="14" t="s">
        <v>20</v>
      </c>
      <c r="E8" s="2"/>
      <c r="F8" s="2"/>
      <c r="G8" s="14" t="s">
        <v>21</v>
      </c>
      <c r="H8" s="2"/>
      <c r="I8" s="2"/>
      <c r="J8" s="14" t="s">
        <v>22</v>
      </c>
      <c r="K8" s="2"/>
      <c r="L8" s="14" t="s">
        <v>23</v>
      </c>
      <c r="M8" s="2"/>
      <c r="N8" s="2"/>
      <c r="O8" s="2"/>
      <c r="P8" s="1"/>
      <c r="R8" s="15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4.4">
      <c r="A9" s="3"/>
      <c r="B9" s="16" t="s">
        <v>24</v>
      </c>
      <c r="C9" s="16" t="s">
        <v>25</v>
      </c>
      <c r="D9" s="17" t="s">
        <v>26</v>
      </c>
      <c r="E9" s="18" t="s">
        <v>27</v>
      </c>
      <c r="F9" s="16" t="s">
        <v>28</v>
      </c>
      <c r="G9" s="16" t="s">
        <v>29</v>
      </c>
      <c r="H9" s="19" t="s">
        <v>30</v>
      </c>
      <c r="I9" s="16" t="s">
        <v>31</v>
      </c>
      <c r="J9" s="18" t="s">
        <v>32</v>
      </c>
      <c r="K9" s="19" t="s">
        <v>33</v>
      </c>
      <c r="L9" s="20" t="s">
        <v>34</v>
      </c>
      <c r="M9" s="21" t="s">
        <v>35</v>
      </c>
      <c r="N9" s="21" t="s">
        <v>36</v>
      </c>
      <c r="O9" s="21" t="s">
        <v>37</v>
      </c>
      <c r="P9" s="21" t="s">
        <v>38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4.4">
      <c r="A10" s="3"/>
      <c r="B10" s="22">
        <f>R37</f>
        <v>-2.8213831141281287E-2</v>
      </c>
      <c r="C10" s="22">
        <f>R40</f>
        <v>-3.5026269702276291E-3</v>
      </c>
      <c r="D10" s="23">
        <f>P42</f>
        <v>0.12420868805937568</v>
      </c>
      <c r="E10" s="24">
        <f>M3/N3</f>
        <v>1.9989339019189765</v>
      </c>
      <c r="F10" s="25">
        <f>(Q3/E3)*365</f>
        <v>12.668631303208906</v>
      </c>
      <c r="G10" s="22">
        <f>J3/(I3+H3)</f>
        <v>0</v>
      </c>
      <c r="H10" s="22">
        <f>P3/O3</f>
        <v>0.4045488441461596</v>
      </c>
      <c r="I10" s="25">
        <f>P43</f>
        <v>17.355555555555554</v>
      </c>
      <c r="J10" s="22">
        <f>F3/(H3+I3)</f>
        <v>0.35647162009773209</v>
      </c>
      <c r="K10" s="22">
        <f>F3/O3</f>
        <v>0.21215510812826249</v>
      </c>
      <c r="L10" s="6">
        <f ca="1">IFERROR(__xludf.DUMMYFUNCTION("GOOGLEFINANCE(""nse:""&amp;$B$3,""PE"")"),76.42)</f>
        <v>76.42</v>
      </c>
      <c r="M10" s="23">
        <f ca="1">G3/C3</f>
        <v>1.3084871794871795E-2</v>
      </c>
      <c r="N10" s="25">
        <f>(H3+I3)/(H3/L3)</f>
        <v>1425.1785714285716</v>
      </c>
      <c r="O10" s="25">
        <f ca="1">C3/N10</f>
        <v>27.364991855657184</v>
      </c>
      <c r="P10" s="24">
        <f ca="1">K52</f>
        <v>37.428023032629561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4.4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" customHeight="1">
      <c r="A12" s="26" t="s">
        <v>39</v>
      </c>
      <c r="B12" s="27" t="s">
        <v>40</v>
      </c>
      <c r="C12" s="28" t="s">
        <v>41</v>
      </c>
      <c r="D12" s="28" t="s">
        <v>42</v>
      </c>
      <c r="E12" s="28" t="s">
        <v>5</v>
      </c>
      <c r="F12" s="28" t="s">
        <v>43</v>
      </c>
      <c r="G12" s="28" t="s">
        <v>44</v>
      </c>
      <c r="H12" s="28" t="s">
        <v>45</v>
      </c>
      <c r="I12" s="28" t="s">
        <v>46</v>
      </c>
      <c r="J12" s="28" t="s">
        <v>47</v>
      </c>
      <c r="K12" s="28" t="s">
        <v>48</v>
      </c>
      <c r="L12" s="28" t="s">
        <v>49</v>
      </c>
    </row>
    <row r="13" spans="1:31" ht="14.4">
      <c r="B13" s="29" t="s">
        <v>50</v>
      </c>
      <c r="C13" s="30">
        <v>63</v>
      </c>
      <c r="D13" s="31"/>
      <c r="E13" s="31"/>
      <c r="F13" s="32"/>
      <c r="G13" s="33"/>
      <c r="H13" s="33"/>
      <c r="I13" s="34"/>
      <c r="J13" s="34"/>
      <c r="K13" s="34"/>
      <c r="L13" s="34"/>
    </row>
    <row r="14" spans="1:31" ht="14.4">
      <c r="B14" s="29" t="s">
        <v>51</v>
      </c>
      <c r="C14" s="30">
        <v>75</v>
      </c>
      <c r="D14" s="30">
        <v>4.2</v>
      </c>
      <c r="E14" s="31"/>
      <c r="F14" s="35">
        <f t="shared" ref="F14:F31" si="3">D14/C14</f>
        <v>5.6000000000000001E-2</v>
      </c>
      <c r="G14" s="33"/>
      <c r="H14" s="33"/>
      <c r="I14" s="34"/>
      <c r="J14" s="34"/>
      <c r="K14" s="34"/>
      <c r="L14" s="34"/>
    </row>
    <row r="15" spans="1:31" ht="14.4">
      <c r="B15" s="29" t="s">
        <v>52</v>
      </c>
      <c r="C15" s="30">
        <v>101</v>
      </c>
      <c r="D15" s="30">
        <v>11.4</v>
      </c>
      <c r="E15" s="31"/>
      <c r="F15" s="35">
        <f t="shared" si="3"/>
        <v>0.11287128712871287</v>
      </c>
      <c r="G15" s="33"/>
      <c r="H15" s="33"/>
      <c r="I15" s="34"/>
      <c r="J15" s="34"/>
      <c r="K15" s="34"/>
      <c r="L15" s="34"/>
    </row>
    <row r="16" spans="1:31" ht="14.4">
      <c r="A16" s="36" t="s">
        <v>53</v>
      </c>
      <c r="B16" s="29" t="s">
        <v>54</v>
      </c>
      <c r="C16" s="31">
        <v>138</v>
      </c>
      <c r="D16" s="31">
        <v>17</v>
      </c>
      <c r="E16" s="33">
        <v>42.93</v>
      </c>
      <c r="F16" s="35">
        <f t="shared" si="3"/>
        <v>0.12318840579710146</v>
      </c>
      <c r="G16" s="33">
        <v>488.8</v>
      </c>
      <c r="H16" s="33">
        <v>241.25</v>
      </c>
      <c r="I16" s="37">
        <f t="shared" ref="I16:I33" si="4">G16/E16</f>
        <v>11.385977172140695</v>
      </c>
      <c r="J16" s="37">
        <f t="shared" ref="J16:J33" si="5">H16/E16</f>
        <v>5.6196133240158401</v>
      </c>
      <c r="K16" s="34"/>
      <c r="L16" s="34"/>
    </row>
    <row r="17" spans="2:12" ht="14.4">
      <c r="B17" s="29" t="s">
        <v>55</v>
      </c>
      <c r="C17" s="31">
        <v>196</v>
      </c>
      <c r="D17" s="31">
        <v>23</v>
      </c>
      <c r="E17" s="33">
        <v>21.35</v>
      </c>
      <c r="F17" s="35">
        <f t="shared" si="3"/>
        <v>0.11734693877551021</v>
      </c>
      <c r="G17" s="33">
        <v>549.4</v>
      </c>
      <c r="H17" s="33">
        <v>300.60000000000002</v>
      </c>
      <c r="I17" s="37">
        <f t="shared" si="4"/>
        <v>25.733021077283368</v>
      </c>
      <c r="J17" s="37">
        <f t="shared" si="5"/>
        <v>14.079625292740047</v>
      </c>
      <c r="K17" s="34">
        <v>10</v>
      </c>
      <c r="L17" s="38">
        <f t="shared" ref="L17:L33" si="6">K17/E17</f>
        <v>0.46838407494145196</v>
      </c>
    </row>
    <row r="18" spans="2:12" ht="14.4">
      <c r="B18" s="29" t="s">
        <v>56</v>
      </c>
      <c r="C18" s="31">
        <v>261</v>
      </c>
      <c r="D18" s="31">
        <v>31</v>
      </c>
      <c r="E18" s="33">
        <v>28.37</v>
      </c>
      <c r="F18" s="35">
        <f t="shared" si="3"/>
        <v>0.11877394636015326</v>
      </c>
      <c r="G18" s="33">
        <v>879.85</v>
      </c>
      <c r="H18" s="33">
        <v>300</v>
      </c>
      <c r="I18" s="37">
        <f t="shared" si="4"/>
        <v>31.013394430736692</v>
      </c>
      <c r="J18" s="37">
        <f t="shared" si="5"/>
        <v>10.574550581600281</v>
      </c>
      <c r="K18" s="34">
        <v>21</v>
      </c>
      <c r="L18" s="38">
        <f t="shared" si="6"/>
        <v>0.74021854071201976</v>
      </c>
    </row>
    <row r="19" spans="2:12" ht="14.4">
      <c r="B19" s="29" t="s">
        <v>57</v>
      </c>
      <c r="C19" s="31">
        <v>344</v>
      </c>
      <c r="D19" s="31">
        <v>39</v>
      </c>
      <c r="E19" s="33">
        <v>35.51</v>
      </c>
      <c r="F19" s="35">
        <f t="shared" si="3"/>
        <v>0.11337209302325581</v>
      </c>
      <c r="G19" s="33">
        <v>1558</v>
      </c>
      <c r="H19" s="33">
        <v>715.1</v>
      </c>
      <c r="I19" s="37">
        <f t="shared" si="4"/>
        <v>43.874964798648271</v>
      </c>
      <c r="J19" s="37">
        <f t="shared" si="5"/>
        <v>20.137989298789076</v>
      </c>
      <c r="K19" s="34">
        <v>17</v>
      </c>
      <c r="L19" s="38">
        <f t="shared" si="6"/>
        <v>0.4787383835539285</v>
      </c>
    </row>
    <row r="20" spans="2:12" ht="14.4">
      <c r="B20" s="29" t="s">
        <v>58</v>
      </c>
      <c r="C20" s="31">
        <v>491</v>
      </c>
      <c r="D20" s="31">
        <v>58</v>
      </c>
      <c r="E20" s="33">
        <v>52.49</v>
      </c>
      <c r="F20" s="35">
        <f t="shared" si="3"/>
        <v>0.11812627291242363</v>
      </c>
      <c r="G20" s="33">
        <v>2771.95</v>
      </c>
      <c r="H20" s="33">
        <v>1242.0999999999999</v>
      </c>
      <c r="I20" s="37">
        <f t="shared" si="4"/>
        <v>52.809106496475515</v>
      </c>
      <c r="J20" s="37">
        <f t="shared" si="5"/>
        <v>23.663554962850064</v>
      </c>
      <c r="K20" s="34">
        <v>22</v>
      </c>
      <c r="L20" s="38">
        <f t="shared" si="6"/>
        <v>0.41912745284816155</v>
      </c>
    </row>
    <row r="21" spans="2:12" ht="14.4">
      <c r="B21" s="29" t="s">
        <v>59</v>
      </c>
      <c r="C21" s="31">
        <v>684</v>
      </c>
      <c r="D21" s="31">
        <v>89</v>
      </c>
      <c r="E21" s="33">
        <v>90.2</v>
      </c>
      <c r="F21" s="35">
        <f t="shared" si="3"/>
        <v>0.13011695906432749</v>
      </c>
      <c r="G21" s="33">
        <v>3610</v>
      </c>
      <c r="H21" s="33">
        <v>2351.0500000000002</v>
      </c>
      <c r="I21" s="37">
        <f t="shared" si="4"/>
        <v>40.022172949002218</v>
      </c>
      <c r="J21" s="37">
        <f t="shared" si="5"/>
        <v>26.064855875831487</v>
      </c>
      <c r="K21" s="34">
        <v>30</v>
      </c>
      <c r="L21" s="38">
        <f t="shared" si="6"/>
        <v>0.33259423503325941</v>
      </c>
    </row>
    <row r="22" spans="2:12" ht="14.4">
      <c r="B22" s="29" t="s">
        <v>60</v>
      </c>
      <c r="C22" s="31">
        <v>875</v>
      </c>
      <c r="D22" s="31">
        <v>112</v>
      </c>
      <c r="E22" s="33">
        <v>111.07</v>
      </c>
      <c r="F22" s="35">
        <f t="shared" si="3"/>
        <v>0.128</v>
      </c>
      <c r="G22" s="33">
        <v>5463</v>
      </c>
      <c r="H22" s="33">
        <v>3130.05</v>
      </c>
      <c r="I22" s="37">
        <f t="shared" si="4"/>
        <v>49.185198523453678</v>
      </c>
      <c r="J22" s="37">
        <f t="shared" si="5"/>
        <v>28.180876924462055</v>
      </c>
      <c r="K22" s="34">
        <v>46</v>
      </c>
      <c r="L22" s="38">
        <f t="shared" si="6"/>
        <v>0.41415323669757814</v>
      </c>
    </row>
    <row r="23" spans="2:12" ht="14.4">
      <c r="B23" s="29" t="s">
        <v>61</v>
      </c>
      <c r="C23" s="31">
        <v>1194</v>
      </c>
      <c r="D23" s="31">
        <v>153</v>
      </c>
      <c r="E23" s="33">
        <v>137.87</v>
      </c>
      <c r="F23" s="35">
        <f t="shared" si="3"/>
        <v>0.12814070351758794</v>
      </c>
      <c r="G23" s="33">
        <v>12800</v>
      </c>
      <c r="H23" s="33">
        <v>5126.6000000000004</v>
      </c>
      <c r="I23" s="37">
        <f t="shared" si="4"/>
        <v>92.841082178864141</v>
      </c>
      <c r="J23" s="37">
        <f t="shared" si="5"/>
        <v>37.184304054544135</v>
      </c>
      <c r="K23" s="34">
        <v>58</v>
      </c>
      <c r="L23" s="38">
        <f t="shared" si="6"/>
        <v>0.42068615362297818</v>
      </c>
    </row>
    <row r="24" spans="2:12" ht="14.4">
      <c r="B24" s="29" t="s">
        <v>62</v>
      </c>
      <c r="C24" s="31">
        <v>1551</v>
      </c>
      <c r="D24" s="31">
        <v>196</v>
      </c>
      <c r="E24" s="33">
        <v>175.87</v>
      </c>
      <c r="F24" s="35">
        <f t="shared" si="3"/>
        <v>0.12637008381689233</v>
      </c>
      <c r="G24" s="33">
        <v>16995</v>
      </c>
      <c r="H24" s="33">
        <v>10709.95</v>
      </c>
      <c r="I24" s="37">
        <f t="shared" si="4"/>
        <v>96.633877295729803</v>
      </c>
      <c r="J24" s="37">
        <f t="shared" si="5"/>
        <v>60.896969352362547</v>
      </c>
      <c r="K24" s="34">
        <v>70</v>
      </c>
      <c r="L24" s="38">
        <f t="shared" si="6"/>
        <v>0.39802126570762492</v>
      </c>
    </row>
    <row r="25" spans="2:12" ht="14.4">
      <c r="B25" s="29" t="s">
        <v>63</v>
      </c>
      <c r="C25" s="31">
        <v>1789</v>
      </c>
      <c r="D25" s="31">
        <v>232</v>
      </c>
      <c r="E25" s="33">
        <v>208</v>
      </c>
      <c r="F25" s="35">
        <f t="shared" si="3"/>
        <v>0.12968138624930128</v>
      </c>
      <c r="G25" s="33">
        <v>17351.150000000001</v>
      </c>
      <c r="H25" s="33">
        <v>9770.25</v>
      </c>
      <c r="I25" s="37">
        <f t="shared" si="4"/>
        <v>83.418990384615398</v>
      </c>
      <c r="J25" s="37">
        <f t="shared" si="5"/>
        <v>46.972355769230766</v>
      </c>
      <c r="K25" s="34">
        <v>81</v>
      </c>
      <c r="L25" s="38">
        <f t="shared" si="6"/>
        <v>0.38942307692307693</v>
      </c>
    </row>
    <row r="26" spans="2:12" ht="14.4">
      <c r="B26" s="29" t="s">
        <v>64</v>
      </c>
      <c r="C26" s="31">
        <v>2156</v>
      </c>
      <c r="D26" s="31">
        <v>266</v>
      </c>
      <c r="E26" s="33">
        <v>238</v>
      </c>
      <c r="F26" s="35">
        <f t="shared" si="3"/>
        <v>0.12337662337662338</v>
      </c>
      <c r="G26" s="33">
        <v>25779</v>
      </c>
      <c r="H26" s="33">
        <v>13425.8</v>
      </c>
      <c r="I26" s="37">
        <f t="shared" si="4"/>
        <v>108.31512605042016</v>
      </c>
      <c r="J26" s="37">
        <f t="shared" si="5"/>
        <v>56.410924369747896</v>
      </c>
      <c r="K26" s="34">
        <v>96</v>
      </c>
      <c r="L26" s="38">
        <f t="shared" si="6"/>
        <v>0.40336134453781514</v>
      </c>
    </row>
    <row r="27" spans="2:12" ht="14.4">
      <c r="B27" s="29" t="s">
        <v>65</v>
      </c>
      <c r="C27" s="31">
        <v>2573</v>
      </c>
      <c r="D27" s="31">
        <v>345</v>
      </c>
      <c r="E27" s="33">
        <v>311</v>
      </c>
      <c r="F27" s="35">
        <f t="shared" si="3"/>
        <v>0.13408472600077731</v>
      </c>
      <c r="G27" s="33">
        <v>36335.949999999997</v>
      </c>
      <c r="H27" s="33">
        <v>17280</v>
      </c>
      <c r="I27" s="37">
        <f t="shared" si="4"/>
        <v>116.83585209003215</v>
      </c>
      <c r="J27" s="37">
        <f t="shared" si="5"/>
        <v>55.562700964630224</v>
      </c>
      <c r="K27" s="34">
        <v>125</v>
      </c>
      <c r="L27" s="38">
        <f t="shared" si="6"/>
        <v>0.40192926045016075</v>
      </c>
    </row>
    <row r="28" spans="2:12" ht="14.4">
      <c r="B28" s="29" t="s">
        <v>66</v>
      </c>
      <c r="C28" s="30">
        <v>2852</v>
      </c>
      <c r="D28" s="31">
        <v>394</v>
      </c>
      <c r="E28" s="33">
        <v>353.19</v>
      </c>
      <c r="F28" s="35">
        <f t="shared" si="3"/>
        <v>0.13814866760168304</v>
      </c>
      <c r="G28" s="33">
        <v>36185</v>
      </c>
      <c r="H28" s="33">
        <v>20241</v>
      </c>
      <c r="I28" s="37">
        <f t="shared" si="4"/>
        <v>102.45193805034118</v>
      </c>
      <c r="J28" s="37">
        <f t="shared" si="5"/>
        <v>57.309097086553983</v>
      </c>
      <c r="K28" s="34">
        <v>438</v>
      </c>
      <c r="L28" s="38">
        <f t="shared" si="6"/>
        <v>1.2401257113734816</v>
      </c>
    </row>
    <row r="29" spans="2:12" ht="14.4">
      <c r="B29" s="29" t="s">
        <v>67</v>
      </c>
      <c r="C29" s="30">
        <v>2945</v>
      </c>
      <c r="D29" s="30">
        <v>343</v>
      </c>
      <c r="E29" s="39">
        <v>307.72000000000003</v>
      </c>
      <c r="F29" s="35">
        <f t="shared" si="3"/>
        <v>0.1164685908319185</v>
      </c>
      <c r="G29" s="39">
        <v>26883</v>
      </c>
      <c r="H29" s="39">
        <v>16400</v>
      </c>
      <c r="I29" s="37">
        <f t="shared" si="4"/>
        <v>87.361887430131276</v>
      </c>
      <c r="J29" s="37">
        <f t="shared" si="5"/>
        <v>53.295203431691142</v>
      </c>
      <c r="K29" s="34">
        <v>202</v>
      </c>
      <c r="L29" s="38">
        <f t="shared" si="6"/>
        <v>0.65644092031717138</v>
      </c>
    </row>
    <row r="30" spans="2:12" ht="14.4">
      <c r="B30" s="29" t="s">
        <v>68</v>
      </c>
      <c r="C30" s="30">
        <v>2833</v>
      </c>
      <c r="D30" s="30">
        <v>341</v>
      </c>
      <c r="E30" s="39">
        <v>305.35000000000002</v>
      </c>
      <c r="F30" s="35">
        <f t="shared" si="3"/>
        <v>0.12036710201200142</v>
      </c>
      <c r="G30" s="34">
        <v>32206</v>
      </c>
      <c r="H30" s="34">
        <v>16330</v>
      </c>
      <c r="I30" s="37">
        <f t="shared" si="4"/>
        <v>105.47240871131487</v>
      </c>
      <c r="J30" s="37">
        <f t="shared" si="5"/>
        <v>53.479613558211881</v>
      </c>
      <c r="K30" s="34">
        <v>250</v>
      </c>
      <c r="L30" s="38">
        <f t="shared" si="6"/>
        <v>0.81873260193220887</v>
      </c>
    </row>
    <row r="31" spans="2:12" ht="14.4">
      <c r="B31" s="29" t="s">
        <v>69</v>
      </c>
      <c r="C31" s="30">
        <v>3887</v>
      </c>
      <c r="D31" s="30">
        <v>537</v>
      </c>
      <c r="E31" s="39">
        <v>481</v>
      </c>
      <c r="F31" s="35">
        <f t="shared" si="3"/>
        <v>0.13815281708258298</v>
      </c>
      <c r="G31" s="34">
        <v>45600</v>
      </c>
      <c r="H31" s="34">
        <v>27801</v>
      </c>
      <c r="I31" s="37">
        <f t="shared" si="4"/>
        <v>94.802494802494806</v>
      </c>
      <c r="J31" s="37">
        <f t="shared" si="5"/>
        <v>57.798336798336798</v>
      </c>
      <c r="K31" s="34">
        <v>370</v>
      </c>
      <c r="L31" s="38">
        <f t="shared" si="6"/>
        <v>0.76923076923076927</v>
      </c>
    </row>
    <row r="32" spans="2:12" ht="14.4">
      <c r="B32" s="29" t="s">
        <v>70</v>
      </c>
      <c r="C32" s="34">
        <v>4714</v>
      </c>
      <c r="D32" s="34">
        <v>571</v>
      </c>
      <c r="E32" s="37">
        <v>512.15</v>
      </c>
      <c r="F32" s="40">
        <v>0.11899999999999999</v>
      </c>
      <c r="G32" s="34">
        <v>53616</v>
      </c>
      <c r="H32" s="34">
        <v>35575</v>
      </c>
      <c r="I32" s="37">
        <f t="shared" si="4"/>
        <v>104.6880796641609</v>
      </c>
      <c r="J32" s="37">
        <f t="shared" si="5"/>
        <v>69.462071658693745</v>
      </c>
      <c r="K32" s="34">
        <v>320</v>
      </c>
      <c r="L32" s="38">
        <f t="shared" si="6"/>
        <v>0.62481694815971889</v>
      </c>
    </row>
    <row r="33" spans="2:28" ht="14.4">
      <c r="B33" s="29" t="s">
        <v>71</v>
      </c>
      <c r="C33" s="34">
        <v>4581</v>
      </c>
      <c r="D33" s="34">
        <v>569</v>
      </c>
      <c r="E33" s="37">
        <v>510.31</v>
      </c>
      <c r="F33" s="40">
        <v>0.124</v>
      </c>
      <c r="G33" s="34">
        <v>43570</v>
      </c>
      <c r="H33" s="34">
        <v>33070</v>
      </c>
      <c r="I33" s="37">
        <f t="shared" si="4"/>
        <v>85.37947522094413</v>
      </c>
      <c r="J33" s="37">
        <f t="shared" si="5"/>
        <v>64.80374674217633</v>
      </c>
      <c r="K33" s="34">
        <v>310</v>
      </c>
      <c r="L33" s="38">
        <f t="shared" si="6"/>
        <v>0.60747388842076389</v>
      </c>
    </row>
    <row r="35" spans="2:28" ht="18">
      <c r="B35" s="41" t="s">
        <v>18</v>
      </c>
      <c r="O35" s="26" t="s">
        <v>72</v>
      </c>
      <c r="P35" s="26"/>
      <c r="Q35" s="26"/>
      <c r="R35" s="26"/>
      <c r="T35" s="26" t="s">
        <v>72</v>
      </c>
      <c r="U35" s="26"/>
      <c r="V35" s="26"/>
      <c r="W35" s="26"/>
      <c r="Y35" s="26" t="s">
        <v>72</v>
      </c>
      <c r="Z35" s="26"/>
      <c r="AA35" s="26"/>
      <c r="AB35" s="26"/>
    </row>
    <row r="36" spans="2:28" ht="18">
      <c r="B36" s="42" t="s">
        <v>73</v>
      </c>
      <c r="C36" s="28" t="s">
        <v>41</v>
      </c>
      <c r="D36" s="28" t="s">
        <v>42</v>
      </c>
      <c r="E36" s="28" t="s">
        <v>5</v>
      </c>
      <c r="F36" s="28" t="s">
        <v>43</v>
      </c>
      <c r="G36" s="28" t="s">
        <v>44</v>
      </c>
      <c r="H36" s="28" t="s">
        <v>45</v>
      </c>
      <c r="I36" s="28" t="s">
        <v>46</v>
      </c>
      <c r="J36" s="28" t="s">
        <v>47</v>
      </c>
      <c r="K36" s="28" t="s">
        <v>48</v>
      </c>
      <c r="L36" s="28" t="s">
        <v>49</v>
      </c>
      <c r="M36" s="28" t="s">
        <v>74</v>
      </c>
      <c r="O36" s="43" t="s">
        <v>75</v>
      </c>
      <c r="P36" s="43" t="s">
        <v>75</v>
      </c>
      <c r="Q36" s="43" t="s">
        <v>76</v>
      </c>
      <c r="R36" s="43" t="s">
        <v>19</v>
      </c>
      <c r="T36" s="43" t="s">
        <v>77</v>
      </c>
      <c r="U36" s="43" t="s">
        <v>77</v>
      </c>
      <c r="V36" s="43" t="s">
        <v>78</v>
      </c>
      <c r="W36" s="43" t="s">
        <v>19</v>
      </c>
      <c r="Y36" s="43" t="s">
        <v>79</v>
      </c>
      <c r="Z36" s="43" t="s">
        <v>79</v>
      </c>
      <c r="AA36" s="43" t="s">
        <v>80</v>
      </c>
      <c r="AB36" s="43" t="s">
        <v>19</v>
      </c>
    </row>
    <row r="37" spans="2:28" ht="18">
      <c r="B37" s="44" t="s">
        <v>81</v>
      </c>
      <c r="C37" s="38">
        <f t="shared" ref="C37:E37" si="7">(C33/C18)^(1/15)-1</f>
        <v>0.21047173318792889</v>
      </c>
      <c r="D37" s="38">
        <f t="shared" si="7"/>
        <v>0.2140876410206054</v>
      </c>
      <c r="E37" s="38">
        <f t="shared" si="7"/>
        <v>0.21245319661939699</v>
      </c>
      <c r="F37" s="40">
        <f>MEDIAN(F18:F33)</f>
        <v>0.12518504190844615</v>
      </c>
      <c r="G37" s="38">
        <f t="shared" ref="G37:H37" si="8">(G33/G18)^(1/15)-1</f>
        <v>0.29713524962512872</v>
      </c>
      <c r="H37" s="38">
        <f t="shared" si="8"/>
        <v>0.36821452316874681</v>
      </c>
      <c r="I37" s="37">
        <f t="shared" ref="I37:J37" si="9">MEDIAN(I18:I33)</f>
        <v>90.101484804497716</v>
      </c>
      <c r="J37" s="37">
        <f t="shared" si="9"/>
        <v>53.387408494951515</v>
      </c>
      <c r="K37" s="34">
        <f>SUM(K18:K33)</f>
        <v>2456</v>
      </c>
      <c r="L37" s="38">
        <f>MEDIAN(L18:L33)</f>
        <v>0.44971226858845337</v>
      </c>
      <c r="M37" s="37">
        <f t="shared" ref="M37:M39" si="10">AVERAGE(I37:J37)</f>
        <v>71.744446649724608</v>
      </c>
      <c r="O37" s="43" t="s">
        <v>3</v>
      </c>
      <c r="P37" s="45">
        <v>4581</v>
      </c>
      <c r="Q37" s="45">
        <v>4714</v>
      </c>
      <c r="R37" s="46">
        <f t="shared" ref="R37:R41" si="11">(P37/Q37)^(1/1)-1</f>
        <v>-2.8213831141281287E-2</v>
      </c>
      <c r="T37" s="43" t="s">
        <v>3</v>
      </c>
      <c r="U37" s="45">
        <v>995</v>
      </c>
      <c r="V37" s="45">
        <v>964</v>
      </c>
      <c r="W37" s="46">
        <f t="shared" ref="W37:W41" si="12">(U37/V37)^(1/1)-1</f>
        <v>3.2157676348547826E-2</v>
      </c>
      <c r="Y37" s="43" t="s">
        <v>3</v>
      </c>
      <c r="Z37" s="45">
        <v>3586</v>
      </c>
      <c r="AA37" s="45">
        <v>3758</v>
      </c>
      <c r="AB37" s="46">
        <f t="shared" ref="AB37:AB41" si="13">(Z37/AA37)^(1/1)-1</f>
        <v>-4.5769026077700947E-2</v>
      </c>
    </row>
    <row r="38" spans="2:28" ht="18">
      <c r="B38" s="44" t="s">
        <v>82</v>
      </c>
      <c r="C38" s="38">
        <f t="shared" ref="C38:E38" si="14">(C33/C23)^(1/10)-1</f>
        <v>0.14391985077674918</v>
      </c>
      <c r="D38" s="38">
        <f t="shared" si="14"/>
        <v>0.14036028422826807</v>
      </c>
      <c r="E38" s="38">
        <f t="shared" si="14"/>
        <v>0.1398204126128082</v>
      </c>
      <c r="F38" s="40">
        <f>MEDIAN(F23:F33)</f>
        <v>0.12637008381689233</v>
      </c>
      <c r="G38" s="38">
        <f t="shared" ref="G38:H38" si="15">(G33/G23)^(1/10)-1</f>
        <v>0.13031049229109759</v>
      </c>
      <c r="H38" s="38">
        <f t="shared" si="15"/>
        <v>0.20492627868554325</v>
      </c>
      <c r="I38" s="47">
        <f t="shared" ref="I38:J38" si="16">MEDIAN(I23:I33)</f>
        <v>96.633877295729803</v>
      </c>
      <c r="J38" s="47">
        <f t="shared" si="16"/>
        <v>56.410924369747896</v>
      </c>
      <c r="K38" s="34">
        <f>SUM(K23:K33)</f>
        <v>2320</v>
      </c>
      <c r="L38" s="38">
        <f>MEDIAN(L23:L33)</f>
        <v>0.60747388842076389</v>
      </c>
      <c r="M38" s="47">
        <f t="shared" si="10"/>
        <v>76.522400832738853</v>
      </c>
      <c r="O38" s="43" t="s">
        <v>83</v>
      </c>
      <c r="P38" s="45">
        <v>3845</v>
      </c>
      <c r="Q38" s="45">
        <v>3970</v>
      </c>
      <c r="R38" s="46">
        <f t="shared" si="11"/>
        <v>-3.1486146095717871E-2</v>
      </c>
      <c r="T38" s="43" t="s">
        <v>83</v>
      </c>
      <c r="U38" s="45">
        <v>861</v>
      </c>
      <c r="V38" s="45">
        <v>865</v>
      </c>
      <c r="W38" s="46">
        <f t="shared" si="12"/>
        <v>-4.6242774566473965E-3</v>
      </c>
      <c r="Y38" s="43" t="s">
        <v>83</v>
      </c>
      <c r="Z38" s="45">
        <v>2983</v>
      </c>
      <c r="AA38" s="45">
        <v>3106</v>
      </c>
      <c r="AB38" s="46">
        <f t="shared" si="13"/>
        <v>-3.9600772698003883E-2</v>
      </c>
    </row>
    <row r="39" spans="2:28" ht="18">
      <c r="B39" s="44" t="s">
        <v>84</v>
      </c>
      <c r="C39" s="38">
        <f t="shared" ref="C39:E39" si="17">(C33/C28)^(1/5)-1</f>
        <v>9.9416255877260884E-2</v>
      </c>
      <c r="D39" s="38">
        <f t="shared" si="17"/>
        <v>7.6274892019426721E-2</v>
      </c>
      <c r="E39" s="38">
        <f t="shared" si="17"/>
        <v>7.6378801389632267E-2</v>
      </c>
      <c r="F39" s="40">
        <f>MEDIAN(F28:F33)</f>
        <v>0.1221835510060007</v>
      </c>
      <c r="G39" s="38">
        <f t="shared" ref="G39:H39" si="18">(G33/G28)^(1/5)-1</f>
        <v>3.7843325329408373E-2</v>
      </c>
      <c r="H39" s="38">
        <f t="shared" si="18"/>
        <v>0.10316492744562056</v>
      </c>
      <c r="I39" s="37">
        <f t="shared" ref="I39:J39" si="19">MEDIAN(I28:I33)</f>
        <v>98.627216426417988</v>
      </c>
      <c r="J39" s="37">
        <f t="shared" si="19"/>
        <v>57.553716942445391</v>
      </c>
      <c r="K39" s="34">
        <f>SUM(K28:K33)</f>
        <v>1890</v>
      </c>
      <c r="L39" s="38">
        <f>MEDIAN(L28:L33)</f>
        <v>0.71283584477397033</v>
      </c>
      <c r="M39" s="37">
        <f t="shared" si="10"/>
        <v>78.090466684431689</v>
      </c>
      <c r="O39" s="43" t="s">
        <v>85</v>
      </c>
      <c r="P39" s="45">
        <v>45</v>
      </c>
      <c r="Q39" s="45">
        <v>41</v>
      </c>
      <c r="R39" s="46">
        <f t="shared" si="11"/>
        <v>9.7560975609756184E-2</v>
      </c>
      <c r="T39" s="43" t="s">
        <v>85</v>
      </c>
      <c r="U39" s="45">
        <v>10</v>
      </c>
      <c r="V39" s="45">
        <v>14</v>
      </c>
      <c r="W39" s="46">
        <f t="shared" si="12"/>
        <v>-0.2857142857142857</v>
      </c>
      <c r="Y39" s="43" t="s">
        <v>85</v>
      </c>
      <c r="Z39" s="45">
        <v>34</v>
      </c>
      <c r="AA39" s="45">
        <v>27</v>
      </c>
      <c r="AB39" s="46">
        <f t="shared" si="13"/>
        <v>0.2592592592592593</v>
      </c>
    </row>
    <row r="40" spans="2:28" ht="18">
      <c r="B40" s="44" t="s">
        <v>86</v>
      </c>
      <c r="C40" s="38">
        <f t="shared" ref="C40:E40" si="20">(C33/C32)-1</f>
        <v>-2.8213831141281287E-2</v>
      </c>
      <c r="D40" s="38">
        <f t="shared" si="20"/>
        <v>-3.5026269702276291E-3</v>
      </c>
      <c r="E40" s="38">
        <f t="shared" si="20"/>
        <v>-3.5926974519183696E-3</v>
      </c>
      <c r="F40" s="40">
        <v>0.124</v>
      </c>
      <c r="G40" s="38">
        <f t="shared" ref="G40:H40" si="21">(G33/G32)-1</f>
        <v>-0.18736944195762462</v>
      </c>
      <c r="H40" s="38">
        <f t="shared" si="21"/>
        <v>-7.0414617006324676E-2</v>
      </c>
      <c r="I40" s="37">
        <f t="shared" ref="I40:J40" si="22">I33</f>
        <v>85.37947522094413</v>
      </c>
      <c r="J40" s="37">
        <f t="shared" si="22"/>
        <v>64.80374674217633</v>
      </c>
      <c r="K40" s="34">
        <v>320</v>
      </c>
      <c r="L40" s="38">
        <f>L32</f>
        <v>0.62481694815971889</v>
      </c>
      <c r="M40" s="37">
        <f>AVERAGE(M37:M39)</f>
        <v>75.452438055631717</v>
      </c>
      <c r="O40" s="43" t="s">
        <v>4</v>
      </c>
      <c r="P40" s="45">
        <v>569</v>
      </c>
      <c r="Q40" s="45">
        <v>571</v>
      </c>
      <c r="R40" s="46">
        <f t="shared" si="11"/>
        <v>-3.5026269702276291E-3</v>
      </c>
      <c r="T40" s="43" t="s">
        <v>4</v>
      </c>
      <c r="U40" s="45">
        <v>108</v>
      </c>
      <c r="V40" s="45">
        <v>78</v>
      </c>
      <c r="W40" s="46">
        <f t="shared" si="12"/>
        <v>0.38461538461538458</v>
      </c>
      <c r="Y40" s="43" t="s">
        <v>4</v>
      </c>
      <c r="Z40" s="45">
        <v>460</v>
      </c>
      <c r="AA40" s="45">
        <v>492</v>
      </c>
      <c r="AB40" s="46">
        <f t="shared" si="13"/>
        <v>-6.5040650406504086E-2</v>
      </c>
    </row>
    <row r="41" spans="2:28" ht="18">
      <c r="B41" s="48"/>
      <c r="O41" s="43" t="s">
        <v>5</v>
      </c>
      <c r="P41" s="49">
        <v>510.31</v>
      </c>
      <c r="Q41" s="49">
        <v>512.15</v>
      </c>
      <c r="R41" s="46">
        <f t="shared" si="11"/>
        <v>-3.5926974519183696E-3</v>
      </c>
      <c r="T41" s="43" t="s">
        <v>5</v>
      </c>
      <c r="U41" s="49">
        <v>97.01</v>
      </c>
      <c r="V41" s="49">
        <v>70.239999999999995</v>
      </c>
      <c r="W41" s="46">
        <f t="shared" si="12"/>
        <v>0.38112186788154911</v>
      </c>
      <c r="Y41" s="43" t="s">
        <v>5</v>
      </c>
      <c r="Z41" s="49">
        <v>413.3</v>
      </c>
      <c r="AA41" s="49">
        <v>441.91</v>
      </c>
      <c r="AB41" s="46">
        <f t="shared" si="13"/>
        <v>-6.4741689484284159E-2</v>
      </c>
    </row>
    <row r="42" spans="2:28" ht="18">
      <c r="B42" s="41" t="s">
        <v>87</v>
      </c>
      <c r="C42" s="50"/>
      <c r="D42" s="50"/>
      <c r="E42" s="50"/>
      <c r="O42" s="43" t="s">
        <v>88</v>
      </c>
      <c r="P42" s="51">
        <f t="shared" ref="P42:Q42" si="23">P40/P37</f>
        <v>0.12420868805937568</v>
      </c>
      <c r="Q42" s="51">
        <f t="shared" si="23"/>
        <v>0.12112855324565125</v>
      </c>
      <c r="R42" s="52">
        <f t="shared" ref="R42:R43" si="24">P42-Q42</f>
        <v>3.0801348137244333E-3</v>
      </c>
      <c r="T42" s="43" t="s">
        <v>88</v>
      </c>
      <c r="U42" s="51">
        <f t="shared" ref="U42:V42" si="25">U40/U37</f>
        <v>0.10854271356783919</v>
      </c>
      <c r="V42" s="51">
        <f t="shared" si="25"/>
        <v>8.0912863070539423E-2</v>
      </c>
      <c r="W42" s="52">
        <f t="shared" ref="W42:W43" si="26">U42-V42</f>
        <v>2.7629850497299768E-2</v>
      </c>
      <c r="Y42" s="43" t="s">
        <v>88</v>
      </c>
      <c r="Z42" s="51">
        <f t="shared" ref="Z42:AA42" si="27">Z40/Z37</f>
        <v>0.12827663134411602</v>
      </c>
      <c r="AA42" s="51">
        <f t="shared" si="27"/>
        <v>0.1309207025013305</v>
      </c>
      <c r="AB42" s="52">
        <f t="shared" ref="AB42:AB43" si="28">Z42-AA42</f>
        <v>-2.6440711572144893E-3</v>
      </c>
    </row>
    <row r="43" spans="2:28" ht="18">
      <c r="B43" s="42" t="s">
        <v>73</v>
      </c>
      <c r="C43" s="28" t="s">
        <v>41</v>
      </c>
      <c r="D43" s="28" t="s">
        <v>42</v>
      </c>
      <c r="E43" s="28" t="s">
        <v>89</v>
      </c>
      <c r="F43" s="28" t="s">
        <v>88</v>
      </c>
      <c r="H43" s="43" t="s">
        <v>90</v>
      </c>
      <c r="I43" s="43" t="s">
        <v>91</v>
      </c>
      <c r="J43" s="43" t="s">
        <v>92</v>
      </c>
      <c r="K43" s="43" t="s">
        <v>93</v>
      </c>
      <c r="L43" s="43" t="s">
        <v>94</v>
      </c>
      <c r="M43" s="43" t="s">
        <v>95</v>
      </c>
      <c r="O43" s="43" t="s">
        <v>31</v>
      </c>
      <c r="P43" s="37">
        <f t="shared" ref="P43:Q43" si="29">(P37-P38+P39)/P39</f>
        <v>17.355555555555554</v>
      </c>
      <c r="Q43" s="37">
        <f t="shared" si="29"/>
        <v>19.146341463414632</v>
      </c>
      <c r="R43" s="53">
        <f t="shared" si="24"/>
        <v>-1.7907859078590782</v>
      </c>
      <c r="T43" s="43" t="s">
        <v>31</v>
      </c>
      <c r="U43" s="37">
        <f t="shared" ref="U43:V43" si="30">(U37-U38+U39)/U39</f>
        <v>14.4</v>
      </c>
      <c r="V43" s="37">
        <f t="shared" si="30"/>
        <v>8.0714285714285712</v>
      </c>
      <c r="W43" s="53">
        <f t="shared" si="26"/>
        <v>6.3285714285714292</v>
      </c>
      <c r="Y43" s="43" t="s">
        <v>31</v>
      </c>
      <c r="Z43" s="37">
        <f t="shared" ref="Z43:AA43" si="31">(Z37-Z38+Z39)/Z39</f>
        <v>18.735294117647058</v>
      </c>
      <c r="AA43" s="37">
        <f t="shared" si="31"/>
        <v>25.148148148148149</v>
      </c>
      <c r="AB43" s="53">
        <f t="shared" si="28"/>
        <v>-6.4128540305010908</v>
      </c>
    </row>
    <row r="44" spans="2:28" ht="14.4">
      <c r="B44" s="44" t="s">
        <v>96</v>
      </c>
      <c r="C44" s="54">
        <f>AVERAGE(C37:C39)</f>
        <v>0.15126927994731298</v>
      </c>
      <c r="D44" s="54">
        <v>0.15</v>
      </c>
      <c r="E44" s="54">
        <v>0.15</v>
      </c>
      <c r="F44" s="40">
        <f>AVERAGE(F37:F40)</f>
        <v>0.12443466918283479</v>
      </c>
      <c r="H44" s="55" t="s">
        <v>5</v>
      </c>
      <c r="I44" s="56">
        <v>141.96</v>
      </c>
      <c r="J44" s="56">
        <v>134.72999999999999</v>
      </c>
      <c r="K44" s="56">
        <v>136.59</v>
      </c>
      <c r="L44" s="56">
        <v>97.01</v>
      </c>
      <c r="M44" s="57">
        <f>SUM(I44:L44)</f>
        <v>510.28999999999996</v>
      </c>
    </row>
    <row r="45" spans="2:28" ht="18">
      <c r="B45" s="44" t="s">
        <v>97</v>
      </c>
      <c r="C45" s="54">
        <v>0.1</v>
      </c>
      <c r="D45" s="54">
        <f>(D49/D33)-1</f>
        <v>1.844727592267148E-2</v>
      </c>
      <c r="E45" s="54">
        <v>0.02</v>
      </c>
      <c r="F45" s="40">
        <v>0.115</v>
      </c>
      <c r="H45" s="50"/>
      <c r="I45" s="50"/>
      <c r="J45" s="50"/>
      <c r="K45" s="50"/>
      <c r="L45" s="50"/>
      <c r="M45" s="50"/>
      <c r="O45" s="43" t="s">
        <v>75</v>
      </c>
      <c r="P45" s="43" t="s">
        <v>75</v>
      </c>
      <c r="Q45" s="43" t="s">
        <v>76</v>
      </c>
      <c r="R45" s="43" t="s">
        <v>98</v>
      </c>
      <c r="S45" s="43" t="s">
        <v>19</v>
      </c>
    </row>
    <row r="46" spans="2:28" ht="18">
      <c r="B46" s="48"/>
      <c r="H46" s="43" t="s">
        <v>99</v>
      </c>
      <c r="I46" s="43" t="s">
        <v>91</v>
      </c>
      <c r="J46" s="43" t="s">
        <v>100</v>
      </c>
      <c r="K46" s="43" t="s">
        <v>79</v>
      </c>
      <c r="L46" s="43" t="s">
        <v>75</v>
      </c>
      <c r="M46" s="43" t="s">
        <v>101</v>
      </c>
      <c r="O46" s="43" t="s">
        <v>102</v>
      </c>
      <c r="P46" s="45">
        <v>1133</v>
      </c>
      <c r="Q46" s="45">
        <v>1393</v>
      </c>
      <c r="R46" s="38">
        <f t="shared" ref="R46:R52" si="32">P46/$P$54</f>
        <v>0.29482175383814729</v>
      </c>
      <c r="S46" s="46">
        <f t="shared" ref="S46:S52" si="33">(P46/Q46)^(1/1)-1</f>
        <v>-0.18664752333094037</v>
      </c>
    </row>
    <row r="47" spans="2:28" ht="18">
      <c r="B47" s="41" t="s">
        <v>103</v>
      </c>
      <c r="H47" s="55" t="s">
        <v>3</v>
      </c>
      <c r="I47" s="58">
        <v>-0.08</v>
      </c>
      <c r="J47" s="58">
        <v>-0.08</v>
      </c>
      <c r="K47" s="58">
        <v>-0.05</v>
      </c>
      <c r="L47" s="58">
        <v>-0.03</v>
      </c>
      <c r="M47" s="58">
        <v>0.1</v>
      </c>
      <c r="O47" s="43" t="s">
        <v>104</v>
      </c>
      <c r="P47" s="45">
        <v>611</v>
      </c>
      <c r="Q47" s="45">
        <v>1437</v>
      </c>
      <c r="R47" s="38">
        <f t="shared" si="32"/>
        <v>0.1589903721051262</v>
      </c>
      <c r="S47" s="46">
        <f t="shared" si="33"/>
        <v>-0.57480862908837849</v>
      </c>
    </row>
    <row r="48" spans="2:28" ht="18">
      <c r="B48" s="41" t="s">
        <v>73</v>
      </c>
      <c r="C48" s="59" t="s">
        <v>41</v>
      </c>
      <c r="D48" s="59" t="s">
        <v>42</v>
      </c>
      <c r="E48" s="59" t="s">
        <v>5</v>
      </c>
      <c r="F48" s="59" t="s">
        <v>105</v>
      </c>
      <c r="H48" s="55" t="s">
        <v>4</v>
      </c>
      <c r="I48" s="58">
        <v>-0.24</v>
      </c>
      <c r="J48" s="58">
        <v>-0.17</v>
      </c>
      <c r="K48" s="58">
        <v>-7.0000000000000007E-2</v>
      </c>
      <c r="L48" s="58">
        <v>0</v>
      </c>
      <c r="M48" s="58">
        <v>0.02</v>
      </c>
      <c r="O48" s="43" t="s">
        <v>106</v>
      </c>
      <c r="P48" s="37">
        <v>821</v>
      </c>
      <c r="Q48" s="37">
        <v>881</v>
      </c>
      <c r="R48" s="38">
        <f t="shared" si="32"/>
        <v>0.21363518084829561</v>
      </c>
      <c r="S48" s="46">
        <f t="shared" si="33"/>
        <v>-6.8104426787741201E-2</v>
      </c>
    </row>
    <row r="49" spans="2:19" ht="18">
      <c r="B49" s="44" t="s">
        <v>107</v>
      </c>
      <c r="C49" s="60">
        <f>FV(C45,1,0,-C33,0)</f>
        <v>5039.1000000000004</v>
      </c>
      <c r="D49" s="60">
        <f>C49*F45</f>
        <v>579.49650000000008</v>
      </c>
      <c r="E49" s="60">
        <f>FV(E45,1,0,-E33,0)</f>
        <v>520.51620000000003</v>
      </c>
      <c r="F49" s="61">
        <f t="shared" ref="F49:F51" si="34">E49*50</f>
        <v>26025.81</v>
      </c>
      <c r="H49" s="34" t="s">
        <v>88</v>
      </c>
      <c r="I49" s="40">
        <v>0.127</v>
      </c>
      <c r="J49" s="40">
        <v>0.13100000000000001</v>
      </c>
      <c r="K49" s="40">
        <v>0.128</v>
      </c>
      <c r="L49" s="40">
        <v>0.124</v>
      </c>
      <c r="M49" s="40">
        <v>0.115</v>
      </c>
      <c r="O49" s="43" t="s">
        <v>108</v>
      </c>
      <c r="P49" s="45">
        <v>803</v>
      </c>
      <c r="Q49" s="45">
        <v>884</v>
      </c>
      <c r="R49" s="38">
        <f t="shared" si="32"/>
        <v>0.20895134009888108</v>
      </c>
      <c r="S49" s="46">
        <f t="shared" si="33"/>
        <v>-9.1628959276018107E-2</v>
      </c>
    </row>
    <row r="50" spans="2:19" ht="18">
      <c r="B50" s="44" t="s">
        <v>109</v>
      </c>
      <c r="C50" s="60">
        <f>FV(C44,5,0,-C49,0)</f>
        <v>10191.487079680921</v>
      </c>
      <c r="D50" s="60">
        <f>C50*F44</f>
        <v>1268.1743232412305</v>
      </c>
      <c r="E50" s="60">
        <f>(D50*E49)/D49</f>
        <v>1139.1014090181682</v>
      </c>
      <c r="F50" s="61">
        <f t="shared" si="34"/>
        <v>56955.07045090841</v>
      </c>
      <c r="M50" s="62" t="s">
        <v>110</v>
      </c>
      <c r="O50" s="43" t="s">
        <v>111</v>
      </c>
      <c r="P50" s="49">
        <v>91</v>
      </c>
      <c r="Q50" s="49">
        <v>78</v>
      </c>
      <c r="R50" s="38">
        <f t="shared" si="32"/>
        <v>2.3679417122040074E-2</v>
      </c>
      <c r="S50" s="46">
        <f t="shared" si="33"/>
        <v>0.16666666666666674</v>
      </c>
    </row>
    <row r="51" spans="2:19" ht="18">
      <c r="B51" s="44" t="s">
        <v>112</v>
      </c>
      <c r="C51" s="60">
        <f t="shared" ref="C51:E51" si="35">FV(15%,5,0,-C50,0)</f>
        <v>20498.720789029598</v>
      </c>
      <c r="D51" s="60">
        <f t="shared" si="35"/>
        <v>2550.7515400541965</v>
      </c>
      <c r="E51" s="60">
        <f t="shared" si="35"/>
        <v>2291.1398063200691</v>
      </c>
      <c r="F51" s="61">
        <f t="shared" si="34"/>
        <v>114556.99031600346</v>
      </c>
      <c r="H51" s="63" t="s">
        <v>113</v>
      </c>
      <c r="I51" s="63" t="s">
        <v>114</v>
      </c>
      <c r="J51" s="63" t="s">
        <v>115</v>
      </c>
      <c r="K51" s="63" t="s">
        <v>116</v>
      </c>
      <c r="O51" s="43" t="s">
        <v>85</v>
      </c>
      <c r="P51" s="49">
        <v>45</v>
      </c>
      <c r="Q51" s="49">
        <v>41</v>
      </c>
      <c r="R51" s="38">
        <f t="shared" si="32"/>
        <v>1.1709601873536301E-2</v>
      </c>
      <c r="S51" s="46">
        <f t="shared" si="33"/>
        <v>9.7560975609756184E-2</v>
      </c>
    </row>
    <row r="52" spans="2:19" ht="18">
      <c r="H52" s="10">
        <v>512</v>
      </c>
      <c r="I52" s="11">
        <v>510.31</v>
      </c>
      <c r="J52" s="10">
        <v>521</v>
      </c>
      <c r="K52" s="64">
        <f ca="1">J54/2</f>
        <v>37.428023032629561</v>
      </c>
      <c r="O52" s="43" t="s">
        <v>117</v>
      </c>
      <c r="P52" s="45">
        <v>339</v>
      </c>
      <c r="Q52" s="45">
        <v>-74</v>
      </c>
      <c r="R52" s="38">
        <f t="shared" si="32"/>
        <v>8.8212334113973459E-2</v>
      </c>
      <c r="S52" s="46">
        <f t="shared" si="33"/>
        <v>-5.5810810810810807</v>
      </c>
    </row>
    <row r="53" spans="2:19" ht="18">
      <c r="H53" s="63" t="s">
        <v>34</v>
      </c>
      <c r="I53" s="63" t="s">
        <v>34</v>
      </c>
      <c r="J53" s="63" t="s">
        <v>118</v>
      </c>
      <c r="K53" s="65"/>
      <c r="O53" s="34"/>
      <c r="P53" s="34"/>
      <c r="Q53" s="34"/>
      <c r="R53" s="34"/>
      <c r="S53" s="34"/>
    </row>
    <row r="54" spans="2:19" ht="14.4">
      <c r="H54" s="11">
        <f>37903/H52</f>
        <v>74.029296875</v>
      </c>
      <c r="I54" s="11">
        <f>C4/I52</f>
        <v>67.507985342242947</v>
      </c>
      <c r="J54" s="11">
        <f ca="1">C3/J52</f>
        <v>74.856046065259122</v>
      </c>
      <c r="K54" s="65"/>
      <c r="O54" s="66" t="s">
        <v>119</v>
      </c>
      <c r="P54" s="66">
        <f t="shared" ref="P54:Q54" si="36">SUM(P46:P52)</f>
        <v>3843</v>
      </c>
      <c r="Q54" s="66">
        <f t="shared" si="36"/>
        <v>4640</v>
      </c>
      <c r="R54" s="67">
        <f>P54/$P$54</f>
        <v>1</v>
      </c>
      <c r="S54" s="67">
        <f>(P54/Q54)^(1/1)-1</f>
        <v>-0.17176724137931032</v>
      </c>
    </row>
    <row r="56" spans="2:19" ht="18">
      <c r="O56" s="43" t="s">
        <v>120</v>
      </c>
      <c r="P56" s="43" t="s">
        <v>76</v>
      </c>
      <c r="Q56" s="43" t="s">
        <v>121</v>
      </c>
      <c r="R56" s="43" t="s">
        <v>19</v>
      </c>
    </row>
    <row r="57" spans="2:19" ht="18">
      <c r="O57" s="43" t="s">
        <v>122</v>
      </c>
      <c r="P57" s="68">
        <v>0.4612</v>
      </c>
      <c r="Q57" s="68">
        <v>0.72350000000000003</v>
      </c>
      <c r="R57" s="46">
        <f t="shared" ref="R57:R61" si="37">(P57/Q57)^(1/1)-1</f>
        <v>-0.36254319281271596</v>
      </c>
    </row>
    <row r="58" spans="2:19" ht="18">
      <c r="O58" s="43" t="s">
        <v>123</v>
      </c>
      <c r="P58" s="68">
        <v>0.19620000000000001</v>
      </c>
      <c r="Q58" s="68">
        <v>0.10199999999999999</v>
      </c>
      <c r="R58" s="46">
        <f t="shared" si="37"/>
        <v>0.92352941176470615</v>
      </c>
    </row>
    <row r="59" spans="2:19" ht="18">
      <c r="O59" s="43" t="s">
        <v>124</v>
      </c>
      <c r="P59" s="68">
        <v>0.24660000000000001</v>
      </c>
      <c r="Q59" s="68">
        <v>5.7299999999999997E-2</v>
      </c>
      <c r="R59" s="46">
        <f t="shared" si="37"/>
        <v>3.3036649214659688</v>
      </c>
    </row>
    <row r="60" spans="2:19" ht="18">
      <c r="O60" s="43" t="s">
        <v>125</v>
      </c>
      <c r="P60" s="68">
        <v>7.5999999999999998E-2</v>
      </c>
      <c r="Q60" s="68">
        <v>0.09</v>
      </c>
      <c r="R60" s="46">
        <f t="shared" si="37"/>
        <v>-0.15555555555555556</v>
      </c>
    </row>
    <row r="61" spans="2:19" ht="18">
      <c r="O61" s="43" t="s">
        <v>126</v>
      </c>
      <c r="P61" s="38">
        <v>0.02</v>
      </c>
      <c r="Q61" s="38">
        <v>0.03</v>
      </c>
      <c r="R61" s="46">
        <f t="shared" si="37"/>
        <v>-0.33333333333333326</v>
      </c>
    </row>
    <row r="63" spans="2:19" ht="14.4">
      <c r="O63" s="69" t="s">
        <v>119</v>
      </c>
      <c r="P63" s="70">
        <f t="shared" ref="P63:Q63" si="38">SUM(P57:P61)</f>
        <v>1</v>
      </c>
      <c r="Q63" s="70">
        <f t="shared" si="38"/>
        <v>1.0027999999999999</v>
      </c>
      <c r="R63" s="67">
        <f>(P63/Q63)^(1/1)-1</f>
        <v>-2.7921818907059581E-3</v>
      </c>
    </row>
    <row r="77" spans="2:3" ht="14.4">
      <c r="B77" s="62"/>
      <c r="C77" s="62"/>
    </row>
    <row r="78" spans="2:3" ht="14.4">
      <c r="B78" s="62"/>
      <c r="C78" s="62"/>
    </row>
    <row r="79" spans="2:3" ht="14.4">
      <c r="B79" s="62"/>
      <c r="C79" s="62"/>
    </row>
    <row r="80" spans="2:3" ht="14.4">
      <c r="B80" s="62"/>
      <c r="C80" s="62"/>
    </row>
    <row r="81" spans="2:3" ht="14.4">
      <c r="B81" s="62"/>
      <c r="C81" s="62"/>
    </row>
    <row r="82" spans="2:3" ht="14.4">
      <c r="B82" s="62"/>
      <c r="C82" s="62"/>
    </row>
    <row r="83" spans="2:3" ht="14.4">
      <c r="B83" s="62"/>
      <c r="C83" s="62"/>
    </row>
    <row r="84" spans="2:3" ht="14.4">
      <c r="B84" s="62"/>
      <c r="C84" s="62"/>
    </row>
    <row r="85" spans="2:3" ht="14.4">
      <c r="B85" s="62"/>
      <c r="C85" s="62"/>
    </row>
    <row r="86" spans="2:3" ht="14.4">
      <c r="B86" s="62"/>
      <c r="C86" s="62"/>
    </row>
    <row r="87" spans="2:3" ht="14.4">
      <c r="B87" s="62"/>
      <c r="C87" s="62"/>
    </row>
    <row r="88" spans="2:3" ht="14.4">
      <c r="B88" s="62"/>
      <c r="C88" s="62"/>
    </row>
    <row r="89" spans="2:3" ht="14.4">
      <c r="B89" s="62"/>
      <c r="C89" s="62"/>
    </row>
    <row r="90" spans="2:3" ht="14.4">
      <c r="B90" s="62"/>
      <c r="C90" s="62"/>
    </row>
    <row r="91" spans="2:3" ht="14.4">
      <c r="B91" s="62"/>
      <c r="C91" s="62"/>
    </row>
    <row r="92" spans="2:3" ht="14.4">
      <c r="B92" s="62"/>
      <c r="C92" s="62"/>
    </row>
    <row r="93" spans="2:3" ht="14.4">
      <c r="B93" s="62"/>
      <c r="C93" s="62"/>
    </row>
    <row r="94" spans="2:3" ht="14.4">
      <c r="B94" s="62"/>
      <c r="C94" s="62"/>
    </row>
    <row r="95" spans="2:3" ht="14.4">
      <c r="B95" s="62"/>
      <c r="C95" s="62"/>
    </row>
    <row r="96" spans="2:3" ht="14.4">
      <c r="B96" s="62"/>
      <c r="C96" s="71"/>
    </row>
    <row r="97" spans="2:31" ht="14.4">
      <c r="B97" s="62"/>
      <c r="C97" s="71"/>
    </row>
    <row r="98" spans="2:31" ht="14.4">
      <c r="B98" s="62"/>
      <c r="C98" s="71"/>
    </row>
    <row r="109" spans="2:31" ht="14.4">
      <c r="D109" s="62">
        <v>100</v>
      </c>
      <c r="E109" s="72">
        <v>7.0000000000000007E-2</v>
      </c>
      <c r="F109" s="62" t="s">
        <v>127</v>
      </c>
      <c r="G109" s="62" t="s">
        <v>127</v>
      </c>
      <c r="H109" s="62" t="s">
        <v>127</v>
      </c>
      <c r="I109" s="62" t="s">
        <v>127</v>
      </c>
      <c r="J109" s="62" t="s">
        <v>127</v>
      </c>
      <c r="K109" s="62" t="s">
        <v>127</v>
      </c>
      <c r="AE109" s="62" t="s">
        <v>127</v>
      </c>
    </row>
    <row r="110" spans="2:31" ht="14.4">
      <c r="D110" s="62" t="s">
        <v>0</v>
      </c>
      <c r="E110" s="73">
        <v>1.2E-2</v>
      </c>
      <c r="K110" s="72">
        <v>1.37</v>
      </c>
    </row>
    <row r="111" spans="2:31" ht="14.4">
      <c r="E111" s="72">
        <f>500/365</f>
        <v>1.3698630136986301</v>
      </c>
    </row>
    <row r="113" spans="5:5" ht="14.4">
      <c r="E113" s="62">
        <v>100</v>
      </c>
    </row>
  </sheetData>
  <autoFilter ref="O45:S52" xr:uid="{00000000-0009-0000-0000-000003000000}">
    <sortState xmlns:xlrd2="http://schemas.microsoft.com/office/spreadsheetml/2017/richdata2" ref="O45:S52">
      <sortCondition descending="1" ref="R45:R52"/>
    </sortState>
  </autoFilter>
  <mergeCells count="1">
    <mergeCell ref="K52:K54"/>
  </mergeCells>
  <conditionalFormatting sqref="C13:C33">
    <cfRule type="colorScale" priority="2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6:E40 G36:H40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3:E45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4:D33">
    <cfRule type="colorScale" priority="8">
      <colorScale>
        <cfvo type="min"/>
        <cfvo type="max"/>
        <color rgb="FFFFFFFF"/>
        <color rgb="FF57BB8A"/>
      </colorScale>
    </cfRule>
  </conditionalFormatting>
  <conditionalFormatting sqref="E16:E33">
    <cfRule type="colorScale" priority="9">
      <colorScale>
        <cfvo type="min"/>
        <cfvo type="max"/>
        <color rgb="FFFFFFFF"/>
        <color rgb="FF57BB8A"/>
      </colorScale>
    </cfRule>
  </conditionalFormatting>
  <conditionalFormatting sqref="F14:F33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36:F40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6:H33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52:J52">
    <cfRule type="colorScale" priority="2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54:J54">
    <cfRule type="colorScale" priority="3">
      <colorScale>
        <cfvo type="min"/>
        <cfvo type="max"/>
        <color rgb="FFFFFFFF"/>
        <color rgb="FFE67C73"/>
      </colorScale>
    </cfRule>
  </conditionalFormatting>
  <conditionalFormatting sqref="I16:J33">
    <cfRule type="colorScale" priority="12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I36:J40 M36:M40">
    <cfRule type="colorScale" priority="1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I44:L44">
    <cfRule type="colorScale" priority="2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8:L48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9:L49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7:M47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7:K33">
    <cfRule type="colorScale" priority="13">
      <colorScale>
        <cfvo type="min"/>
        <cfvo type="max"/>
        <color rgb="FFFFFFFF"/>
        <color rgb="FF57BB8A"/>
      </colorScale>
    </cfRule>
  </conditionalFormatting>
  <conditionalFormatting sqref="K36:K40">
    <cfRule type="colorScale" priority="18">
      <colorScale>
        <cfvo type="min"/>
        <cfvo type="max"/>
        <color rgb="FFFFFFFF"/>
        <color rgb="FF57BB8A"/>
      </colorScale>
    </cfRule>
  </conditionalFormatting>
  <conditionalFormatting sqref="L17:L33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36:L40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R37:R42 AB37:AB42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R44:R52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S43:S52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W37:W41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CC0A5-47FC-4005-8C2E-91AB2A75EFDE}">
  <sheetPr>
    <outlinePr summaryBelow="0" summaryRight="0"/>
  </sheetPr>
  <dimension ref="A2:AO1029"/>
  <sheetViews>
    <sheetView showGridLines="0" workbookViewId="0"/>
  </sheetViews>
  <sheetFormatPr defaultColWidth="14.44140625" defaultRowHeight="15" customHeight="1"/>
  <sheetData>
    <row r="2" spans="2:14" ht="14.4">
      <c r="B2" s="74" t="s">
        <v>128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</row>
    <row r="3" spans="2:14" ht="14.4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77"/>
    </row>
    <row r="4" spans="2:14" ht="14.4"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</row>
    <row r="7" spans="2:14" ht="14.4">
      <c r="B7" s="80" t="s">
        <v>129</v>
      </c>
    </row>
    <row r="8" spans="2:14" ht="14.4">
      <c r="B8" s="81" t="s">
        <v>0</v>
      </c>
      <c r="C8" s="82" t="s">
        <v>130</v>
      </c>
      <c r="F8" s="81" t="s">
        <v>0</v>
      </c>
      <c r="G8" s="81" t="s">
        <v>131</v>
      </c>
      <c r="J8" s="83" t="s">
        <v>0</v>
      </c>
      <c r="K8" s="84" t="s">
        <v>132</v>
      </c>
    </row>
    <row r="9" spans="2:14" ht="14.4">
      <c r="B9" s="50" t="s">
        <v>16</v>
      </c>
      <c r="C9" s="85">
        <v>38717.313543999997</v>
      </c>
      <c r="F9" s="50" t="s">
        <v>16</v>
      </c>
      <c r="G9" s="86">
        <v>4716</v>
      </c>
      <c r="J9" s="87" t="s">
        <v>16</v>
      </c>
      <c r="K9" s="88">
        <v>571</v>
      </c>
    </row>
    <row r="10" spans="2:14" ht="14.4">
      <c r="B10" s="50" t="s">
        <v>133</v>
      </c>
      <c r="C10" s="85">
        <v>29160.142974400002</v>
      </c>
      <c r="F10" s="50" t="s">
        <v>133</v>
      </c>
      <c r="G10" s="86">
        <v>6248</v>
      </c>
      <c r="J10" s="87" t="s">
        <v>133</v>
      </c>
      <c r="K10" s="88">
        <v>635</v>
      </c>
    </row>
    <row r="11" spans="2:14" ht="14.4">
      <c r="B11" s="50" t="s">
        <v>134</v>
      </c>
      <c r="C11" s="85">
        <v>12775.387126199999</v>
      </c>
      <c r="F11" s="50" t="s">
        <v>134</v>
      </c>
      <c r="G11" s="86">
        <v>8214</v>
      </c>
      <c r="J11" s="87" t="s">
        <v>134</v>
      </c>
      <c r="K11" s="88">
        <v>534</v>
      </c>
    </row>
    <row r="12" spans="2:14" ht="14.4">
      <c r="B12" s="50" t="s">
        <v>135</v>
      </c>
      <c r="C12" s="85">
        <v>7712.8638725999999</v>
      </c>
      <c r="F12" s="50" t="s">
        <v>135</v>
      </c>
      <c r="G12" s="86">
        <v>8382</v>
      </c>
      <c r="J12" s="87" t="s">
        <v>135</v>
      </c>
      <c r="K12" s="88">
        <v>416</v>
      </c>
    </row>
    <row r="13" spans="2:14" ht="14.4">
      <c r="B13" s="50" t="s">
        <v>136</v>
      </c>
      <c r="C13" s="85">
        <v>4934.7758230999998</v>
      </c>
      <c r="F13" s="50" t="s">
        <v>136</v>
      </c>
      <c r="G13" s="86">
        <v>2222</v>
      </c>
      <c r="J13" s="87" t="s">
        <v>136</v>
      </c>
      <c r="K13" s="88">
        <v>173</v>
      </c>
    </row>
    <row r="14" spans="2:14" ht="14.4">
      <c r="B14" s="50" t="s">
        <v>137</v>
      </c>
      <c r="C14" s="85">
        <v>4510.1229081000001</v>
      </c>
      <c r="F14" s="50" t="s">
        <v>137</v>
      </c>
      <c r="G14" s="86">
        <v>779</v>
      </c>
      <c r="J14" s="87" t="s">
        <v>137</v>
      </c>
      <c r="K14" s="88">
        <v>119</v>
      </c>
    </row>
    <row r="15" spans="2:14" ht="14.4">
      <c r="B15" s="50" t="s">
        <v>138</v>
      </c>
      <c r="C15" s="85">
        <v>3551.465408</v>
      </c>
      <c r="F15" s="50" t="s">
        <v>138</v>
      </c>
      <c r="G15" s="86">
        <v>2361</v>
      </c>
      <c r="J15" s="87" t="s">
        <v>138</v>
      </c>
      <c r="K15" s="88">
        <v>137</v>
      </c>
    </row>
    <row r="16" spans="2:14" ht="14.4">
      <c r="B16" s="50" t="s">
        <v>139</v>
      </c>
      <c r="C16" s="85">
        <v>3113.9072615</v>
      </c>
      <c r="F16" s="50" t="s">
        <v>139</v>
      </c>
      <c r="G16" s="86">
        <v>1393</v>
      </c>
      <c r="J16" s="87" t="s">
        <v>139</v>
      </c>
      <c r="K16" s="88">
        <v>52</v>
      </c>
    </row>
    <row r="17" spans="2:11" ht="14.4">
      <c r="B17" s="50" t="s">
        <v>140</v>
      </c>
      <c r="C17" s="85">
        <v>2664.0994667</v>
      </c>
      <c r="F17" s="50" t="s">
        <v>140</v>
      </c>
      <c r="G17" s="86">
        <v>3155</v>
      </c>
      <c r="J17" s="87" t="s">
        <v>140</v>
      </c>
      <c r="K17" s="88">
        <v>149</v>
      </c>
    </row>
    <row r="18" spans="2:11" ht="14.4">
      <c r="B18" s="50" t="s">
        <v>141</v>
      </c>
      <c r="C18" s="85">
        <v>2524.6094579999999</v>
      </c>
      <c r="F18" s="50" t="s">
        <v>141</v>
      </c>
      <c r="G18" s="86">
        <v>1201</v>
      </c>
      <c r="J18" s="87" t="s">
        <v>141</v>
      </c>
      <c r="K18" s="88">
        <v>-16</v>
      </c>
    </row>
    <row r="19" spans="2:11" ht="14.4">
      <c r="B19" s="50" t="s">
        <v>142</v>
      </c>
      <c r="C19" s="85">
        <v>2071.2167413000002</v>
      </c>
      <c r="F19" s="50" t="s">
        <v>142</v>
      </c>
      <c r="G19" s="86">
        <v>1137</v>
      </c>
      <c r="J19" s="87" t="s">
        <v>142</v>
      </c>
      <c r="K19" s="88">
        <v>53</v>
      </c>
    </row>
    <row r="20" spans="2:11" ht="14.4">
      <c r="B20" s="89" t="s">
        <v>143</v>
      </c>
      <c r="C20" s="89">
        <v>9567</v>
      </c>
      <c r="F20" s="90" t="s">
        <v>144</v>
      </c>
      <c r="G20" s="91">
        <v>551</v>
      </c>
      <c r="J20" s="87" t="s">
        <v>144</v>
      </c>
      <c r="K20" s="88">
        <v>67</v>
      </c>
    </row>
    <row r="22" spans="2:11" ht="14.4">
      <c r="B22" s="92" t="s">
        <v>145</v>
      </c>
      <c r="C22" s="93">
        <f>SUM(C8:C20)</f>
        <v>121302.90458390003</v>
      </c>
      <c r="F22" s="92" t="s">
        <v>145</v>
      </c>
      <c r="G22" s="92">
        <f>SUM(G8:G20)</f>
        <v>40359</v>
      </c>
      <c r="J22" s="92" t="s">
        <v>145</v>
      </c>
      <c r="K22" s="92">
        <f>SUM(K8:K20)</f>
        <v>2890</v>
      </c>
    </row>
    <row r="36" spans="2:13" ht="14.4">
      <c r="B36" s="81" t="s">
        <v>0</v>
      </c>
      <c r="C36" s="81" t="s">
        <v>146</v>
      </c>
      <c r="D36" s="81" t="s">
        <v>147</v>
      </c>
      <c r="G36" s="81" t="s">
        <v>0</v>
      </c>
      <c r="H36" s="81" t="s">
        <v>148</v>
      </c>
      <c r="I36" s="81" t="s">
        <v>149</v>
      </c>
      <c r="L36" s="94" t="s">
        <v>0</v>
      </c>
      <c r="M36" s="94" t="s">
        <v>150</v>
      </c>
    </row>
    <row r="37" spans="2:13" ht="14.4">
      <c r="B37" s="50" t="s">
        <v>16</v>
      </c>
      <c r="C37" s="95">
        <v>0.1211</v>
      </c>
      <c r="D37" s="95">
        <v>0.1283</v>
      </c>
      <c r="G37" s="50" t="s">
        <v>16</v>
      </c>
      <c r="H37" s="95">
        <v>-4.3700000000000003E-2</v>
      </c>
      <c r="I37" s="95">
        <v>-6.5000000000000002E-2</v>
      </c>
      <c r="L37" s="96" t="s">
        <v>16</v>
      </c>
      <c r="M37" s="95">
        <v>0.13070000000000001</v>
      </c>
    </row>
    <row r="38" spans="2:13" ht="14.4">
      <c r="B38" s="50" t="s">
        <v>133</v>
      </c>
      <c r="C38" s="95">
        <v>0.1016</v>
      </c>
      <c r="D38" s="95">
        <v>8.3699999999999997E-2</v>
      </c>
      <c r="G38" s="50" t="s">
        <v>133</v>
      </c>
      <c r="H38" s="95">
        <v>2.98E-2</v>
      </c>
      <c r="I38" s="95">
        <v>-0.30059999999999998</v>
      </c>
      <c r="L38" s="96" t="s">
        <v>133</v>
      </c>
      <c r="M38" s="95">
        <v>0.15509999999999999</v>
      </c>
    </row>
    <row r="39" spans="2:13" ht="14.4">
      <c r="B39" s="50" t="s">
        <v>134</v>
      </c>
      <c r="C39" s="95">
        <v>6.5000000000000002E-2</v>
      </c>
      <c r="D39" s="95">
        <v>0.22</v>
      </c>
      <c r="G39" s="50" t="s">
        <v>134</v>
      </c>
      <c r="H39" s="95">
        <v>5.9499999999999997E-2</v>
      </c>
      <c r="I39" s="95">
        <v>-0.58530000000000004</v>
      </c>
      <c r="L39" s="96" t="s">
        <v>134</v>
      </c>
      <c r="M39" s="95">
        <v>6.8199999999999997E-2</v>
      </c>
    </row>
    <row r="40" spans="2:13" ht="14.4">
      <c r="B40" s="50" t="s">
        <v>135</v>
      </c>
      <c r="C40" s="95">
        <v>4.9599999999999998E-2</v>
      </c>
      <c r="D40" s="95">
        <v>4.3799999999999999E-2</v>
      </c>
      <c r="G40" s="50" t="s">
        <v>135</v>
      </c>
      <c r="H40" s="95">
        <v>-0.12889999999999999</v>
      </c>
      <c r="I40" s="95">
        <v>-0.2346</v>
      </c>
      <c r="L40" s="96" t="s">
        <v>135</v>
      </c>
      <c r="M40" s="95">
        <v>4.2900000000000001E-2</v>
      </c>
    </row>
    <row r="41" spans="2:13" ht="14.4">
      <c r="B41" s="50" t="s">
        <v>136</v>
      </c>
      <c r="C41" s="95">
        <v>7.7899999999999997E-2</v>
      </c>
      <c r="D41" s="95">
        <v>5.4899999999999997E-2</v>
      </c>
      <c r="G41" s="50" t="s">
        <v>136</v>
      </c>
      <c r="H41" s="95">
        <v>-7.8299999999999995E-2</v>
      </c>
      <c r="I41" s="95">
        <v>-0.3175</v>
      </c>
      <c r="L41" s="96" t="s">
        <v>136</v>
      </c>
      <c r="M41" s="95">
        <v>0.16600000000000001</v>
      </c>
    </row>
    <row r="42" spans="2:13" ht="14.4">
      <c r="B42" s="50" t="s">
        <v>137</v>
      </c>
      <c r="C42" s="95">
        <v>0.15279999999999999</v>
      </c>
      <c r="D42" s="95">
        <v>0.18099999999999999</v>
      </c>
      <c r="G42" s="50" t="s">
        <v>137</v>
      </c>
      <c r="H42" s="95">
        <v>0.1052</v>
      </c>
      <c r="I42" s="95">
        <v>0.33329999999999999</v>
      </c>
      <c r="L42" s="96" t="s">
        <v>137</v>
      </c>
      <c r="M42" s="95">
        <v>0.1106</v>
      </c>
    </row>
    <row r="43" spans="2:13" ht="14.4">
      <c r="B43" s="50" t="s">
        <v>138</v>
      </c>
      <c r="C43" s="95">
        <v>5.8000000000000003E-2</v>
      </c>
      <c r="D43" s="95">
        <v>4.3799999999999999E-2</v>
      </c>
      <c r="G43" s="50" t="s">
        <v>138</v>
      </c>
      <c r="H43" s="95">
        <v>-3.15E-2</v>
      </c>
      <c r="I43" s="95">
        <v>-0.3458</v>
      </c>
      <c r="L43" s="96" t="s">
        <v>138</v>
      </c>
      <c r="M43" s="95">
        <v>0.15740000000000001</v>
      </c>
    </row>
    <row r="44" spans="2:13" ht="14.4">
      <c r="B44" s="50" t="s">
        <v>139</v>
      </c>
      <c r="C44" s="95">
        <v>3.73E-2</v>
      </c>
      <c r="D44" s="95">
        <v>5.3199999999999997E-2</v>
      </c>
      <c r="G44" s="50" t="s">
        <v>139</v>
      </c>
      <c r="H44" s="95">
        <v>8.6099999999999996E-2</v>
      </c>
      <c r="I44" s="95">
        <v>9.6199999999999994E-2</v>
      </c>
      <c r="L44" s="96" t="s">
        <v>139</v>
      </c>
      <c r="M44" s="95">
        <v>7.2400000000000006E-2</v>
      </c>
    </row>
    <row r="45" spans="2:13" ht="14.4">
      <c r="B45" s="50" t="s">
        <v>140</v>
      </c>
      <c r="C45" s="95">
        <v>4.7199999999999999E-2</v>
      </c>
      <c r="D45" s="95">
        <v>4.8099999999999997E-2</v>
      </c>
      <c r="G45" s="50" t="s">
        <v>140</v>
      </c>
      <c r="H45" s="95">
        <v>5.2299999999999999E-2</v>
      </c>
      <c r="I45" s="95">
        <v>0.3226</v>
      </c>
      <c r="L45" s="96" t="s">
        <v>140</v>
      </c>
      <c r="M45" s="95">
        <v>0.161</v>
      </c>
    </row>
    <row r="46" spans="2:13" ht="14.4">
      <c r="B46" s="50" t="s">
        <v>141</v>
      </c>
      <c r="C46" s="95">
        <v>-1.3299999999999999E-2</v>
      </c>
      <c r="D46" s="95">
        <v>-0.29949999999999999</v>
      </c>
      <c r="G46" s="50" t="s">
        <v>141</v>
      </c>
      <c r="H46" s="95">
        <v>-0.1983</v>
      </c>
      <c r="I46" s="95">
        <v>-21.363600000000002</v>
      </c>
      <c r="L46" s="96" t="s">
        <v>141</v>
      </c>
      <c r="M46" s="95">
        <v>3.73E-2</v>
      </c>
    </row>
    <row r="47" spans="2:13" ht="14.4">
      <c r="B47" s="50" t="s">
        <v>142</v>
      </c>
      <c r="C47" s="95">
        <v>4.6600000000000003E-2</v>
      </c>
      <c r="D47" s="95">
        <v>5.5500000000000001E-2</v>
      </c>
      <c r="G47" s="50" t="s">
        <v>142</v>
      </c>
      <c r="H47" s="95">
        <v>0.1094</v>
      </c>
      <c r="I47" s="95">
        <v>0.32350000000000001</v>
      </c>
      <c r="L47" s="96" t="s">
        <v>142</v>
      </c>
      <c r="M47" s="95">
        <v>-3.3E-3</v>
      </c>
    </row>
    <row r="48" spans="2:13" ht="14.4">
      <c r="B48" s="90" t="s">
        <v>144</v>
      </c>
      <c r="C48" s="97">
        <v>0.1216</v>
      </c>
      <c r="D48" s="97">
        <v>0.1021</v>
      </c>
      <c r="G48" s="90" t="s">
        <v>144</v>
      </c>
      <c r="H48" s="97">
        <v>0.1079</v>
      </c>
      <c r="I48" s="97">
        <v>-0.14000000000000001</v>
      </c>
      <c r="L48" s="98" t="s">
        <v>144</v>
      </c>
      <c r="M48" s="97">
        <v>0.22839999999999999</v>
      </c>
    </row>
    <row r="50" spans="2:13" ht="14.4">
      <c r="B50" s="92" t="s">
        <v>145</v>
      </c>
      <c r="C50" s="99">
        <v>7.1999999999999995E-2</v>
      </c>
      <c r="D50" s="99">
        <v>6.5000000000000002E-2</v>
      </c>
      <c r="G50" s="92" t="s">
        <v>145</v>
      </c>
      <c r="H50" s="99">
        <v>-3.3000000000000002E-2</v>
      </c>
      <c r="I50" s="99">
        <v>-0.316</v>
      </c>
      <c r="L50" s="92" t="s">
        <v>145</v>
      </c>
      <c r="M50" s="99">
        <v>9.4E-2</v>
      </c>
    </row>
    <row r="51" spans="2:13" ht="16.5" customHeight="1"/>
    <row r="52" spans="2:13" ht="16.5" customHeight="1"/>
    <row r="53" spans="2:13" ht="16.5" customHeight="1"/>
    <row r="54" spans="2:13" ht="16.5" customHeight="1"/>
    <row r="55" spans="2:13" ht="16.5" customHeight="1"/>
    <row r="56" spans="2:13" ht="16.5" customHeight="1"/>
    <row r="57" spans="2:13" ht="16.5" customHeight="1"/>
    <row r="58" spans="2:13" ht="16.5" customHeight="1"/>
    <row r="59" spans="2:13" ht="16.5" customHeight="1"/>
    <row r="67" spans="2:7" ht="14.4">
      <c r="B67" s="81" t="s">
        <v>0</v>
      </c>
      <c r="C67" s="81" t="s">
        <v>29</v>
      </c>
      <c r="F67" s="81" t="s">
        <v>0</v>
      </c>
      <c r="G67" s="81" t="s">
        <v>31</v>
      </c>
    </row>
    <row r="68" spans="2:7" ht="14.4">
      <c r="B68" s="50" t="s">
        <v>16</v>
      </c>
      <c r="C68" s="100">
        <v>0.12177894048397644</v>
      </c>
      <c r="F68" s="50" t="s">
        <v>16</v>
      </c>
      <c r="G68" s="85">
        <v>19</v>
      </c>
    </row>
    <row r="69" spans="2:7" ht="14.4">
      <c r="B69" s="50" t="s">
        <v>133</v>
      </c>
      <c r="C69" s="100">
        <v>0.28692988427501703</v>
      </c>
      <c r="F69" s="50" t="s">
        <v>133</v>
      </c>
      <c r="G69" s="85">
        <v>36</v>
      </c>
    </row>
    <row r="70" spans="2:7" ht="14.4">
      <c r="B70" s="50" t="s">
        <v>134</v>
      </c>
      <c r="C70" s="86">
        <v>0.82</v>
      </c>
      <c r="F70" s="50" t="s">
        <v>134</v>
      </c>
      <c r="G70" s="85">
        <v>4</v>
      </c>
    </row>
    <row r="71" spans="2:7" ht="14.4">
      <c r="B71" s="50" t="s">
        <v>135</v>
      </c>
      <c r="C71" s="86">
        <v>0.46</v>
      </c>
      <c r="F71" s="50" t="s">
        <v>135</v>
      </c>
      <c r="G71" s="85">
        <v>3</v>
      </c>
    </row>
    <row r="72" spans="2:7" ht="14.4">
      <c r="B72" s="50" t="s">
        <v>136</v>
      </c>
      <c r="C72" s="86">
        <v>0.15</v>
      </c>
      <c r="F72" s="50" t="s">
        <v>136</v>
      </c>
      <c r="G72" s="85">
        <v>8</v>
      </c>
    </row>
    <row r="73" spans="2:7" ht="14.4">
      <c r="B73" s="50" t="s">
        <v>137</v>
      </c>
      <c r="C73" s="86">
        <v>0.11</v>
      </c>
      <c r="F73" s="50" t="s">
        <v>137</v>
      </c>
      <c r="G73" s="85">
        <v>24</v>
      </c>
    </row>
    <row r="74" spans="2:7" ht="14.4">
      <c r="B74" s="50" t="s">
        <v>138</v>
      </c>
      <c r="C74" s="86">
        <v>0.16</v>
      </c>
      <c r="F74" s="50" t="s">
        <v>138</v>
      </c>
      <c r="G74" s="85">
        <v>7</v>
      </c>
    </row>
    <row r="75" spans="2:7" ht="14.4">
      <c r="B75" s="50" t="s">
        <v>139</v>
      </c>
      <c r="C75" s="86">
        <v>0.3</v>
      </c>
      <c r="F75" s="50" t="s">
        <v>139</v>
      </c>
      <c r="G75" s="85">
        <v>6</v>
      </c>
    </row>
    <row r="76" spans="2:7" ht="14.4">
      <c r="B76" s="50" t="s">
        <v>140</v>
      </c>
      <c r="C76" s="86">
        <v>0.68</v>
      </c>
      <c r="F76" s="50" t="s">
        <v>140</v>
      </c>
      <c r="G76" s="85">
        <v>18</v>
      </c>
    </row>
    <row r="77" spans="2:7" ht="14.4">
      <c r="B77" s="50" t="s">
        <v>141</v>
      </c>
      <c r="C77" s="86">
        <v>1.4</v>
      </c>
      <c r="F77" s="50" t="s">
        <v>141</v>
      </c>
      <c r="G77" s="85">
        <v>0</v>
      </c>
    </row>
    <row r="78" spans="2:7" ht="14.4">
      <c r="B78" s="50" t="s">
        <v>142</v>
      </c>
      <c r="C78" s="86">
        <v>0.28999999999999998</v>
      </c>
      <c r="F78" s="50" t="s">
        <v>142</v>
      </c>
      <c r="G78" s="85">
        <v>3</v>
      </c>
    </row>
    <row r="79" spans="2:7" ht="14.4">
      <c r="B79" s="90" t="s">
        <v>144</v>
      </c>
      <c r="C79" s="91">
        <v>1.37</v>
      </c>
      <c r="F79" s="90" t="s">
        <v>144</v>
      </c>
      <c r="G79" s="101">
        <v>4</v>
      </c>
    </row>
    <row r="81" spans="2:7" ht="14.4">
      <c r="B81" s="92" t="s">
        <v>145</v>
      </c>
      <c r="C81" s="92">
        <v>0.3</v>
      </c>
      <c r="F81" s="92" t="s">
        <v>145</v>
      </c>
      <c r="G81" s="92">
        <v>7</v>
      </c>
    </row>
    <row r="99" spans="1:41" ht="14.4">
      <c r="B99" s="102" t="s">
        <v>151</v>
      </c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6"/>
    </row>
    <row r="100" spans="1:41" ht="14.4"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77"/>
    </row>
    <row r="101" spans="1:41" ht="14.4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9"/>
    </row>
    <row r="103" spans="1:41" ht="14.4">
      <c r="A103" s="83" t="s">
        <v>152</v>
      </c>
      <c r="B103" s="84" t="s">
        <v>0</v>
      </c>
      <c r="C103" s="84" t="s">
        <v>153</v>
      </c>
      <c r="D103" s="103" t="s">
        <v>130</v>
      </c>
      <c r="E103" s="84" t="s">
        <v>154</v>
      </c>
      <c r="F103" s="84" t="s">
        <v>155</v>
      </c>
      <c r="G103" s="84" t="s">
        <v>156</v>
      </c>
      <c r="H103" s="84" t="s">
        <v>157</v>
      </c>
      <c r="I103" s="84" t="s">
        <v>6</v>
      </c>
      <c r="J103" s="84" t="s">
        <v>158</v>
      </c>
      <c r="K103" s="84" t="s">
        <v>8</v>
      </c>
      <c r="L103" s="84" t="s">
        <v>159</v>
      </c>
      <c r="M103" s="84" t="s">
        <v>10</v>
      </c>
      <c r="N103" s="84" t="s">
        <v>160</v>
      </c>
      <c r="O103" s="84" t="s">
        <v>161</v>
      </c>
      <c r="P103" s="84" t="s">
        <v>162</v>
      </c>
      <c r="Q103" s="84" t="s">
        <v>131</v>
      </c>
      <c r="R103" s="84" t="s">
        <v>132</v>
      </c>
      <c r="S103" s="84" t="s">
        <v>163</v>
      </c>
      <c r="T103" s="84" t="s">
        <v>164</v>
      </c>
      <c r="U103" s="84" t="s">
        <v>165</v>
      </c>
      <c r="V103" s="84" t="s">
        <v>166</v>
      </c>
      <c r="W103" s="84" t="s">
        <v>85</v>
      </c>
      <c r="X103" s="84" t="s">
        <v>167</v>
      </c>
      <c r="Y103" s="104" t="s">
        <v>148</v>
      </c>
      <c r="Z103" s="104" t="s">
        <v>168</v>
      </c>
      <c r="AA103" s="104" t="s">
        <v>150</v>
      </c>
      <c r="AB103" s="104" t="s">
        <v>146</v>
      </c>
      <c r="AC103" s="104" t="s">
        <v>147</v>
      </c>
      <c r="AD103" s="104" t="s">
        <v>31</v>
      </c>
      <c r="AE103" s="104" t="s">
        <v>169</v>
      </c>
      <c r="AF103" s="104" t="s">
        <v>170</v>
      </c>
      <c r="AG103" s="105" t="s">
        <v>29</v>
      </c>
      <c r="AH103" s="104" t="s">
        <v>30</v>
      </c>
      <c r="AI103" s="104" t="s">
        <v>32</v>
      </c>
      <c r="AJ103" s="104" t="s">
        <v>171</v>
      </c>
      <c r="AK103" s="104" t="s">
        <v>33</v>
      </c>
      <c r="AL103" s="104" t="s">
        <v>172</v>
      </c>
      <c r="AM103" s="104" t="s">
        <v>35</v>
      </c>
      <c r="AN103" s="104" t="s">
        <v>36</v>
      </c>
      <c r="AO103" s="104" t="s">
        <v>37</v>
      </c>
    </row>
    <row r="104" spans="1:41" ht="14.4">
      <c r="A104" s="106">
        <v>500101</v>
      </c>
      <c r="B104" s="107" t="s">
        <v>135</v>
      </c>
      <c r="C104" s="56">
        <f ca="1">IFERROR(__xludf.DUMMYFUNCTION("GOOGLEFINANCE(""bom:""&amp;A104,""price"")"),371.25)</f>
        <v>371.25</v>
      </c>
      <c r="D104" s="108">
        <f ca="1">IFERROR(__xludf.DUMMYFUNCTION("GOOGLEFINANCE(""bom:""&amp;A104,""marketcap"")/10000000"),9603.27031)</f>
        <v>9603.2703099999999</v>
      </c>
      <c r="E104" s="109">
        <v>3299.41</v>
      </c>
      <c r="F104" s="88">
        <v>3065.01</v>
      </c>
      <c r="G104" s="88">
        <v>7067.2</v>
      </c>
      <c r="H104" s="88">
        <v>3641.15</v>
      </c>
      <c r="I104" s="88">
        <v>261.61</v>
      </c>
      <c r="J104" s="110"/>
      <c r="K104" s="55">
        <v>1544</v>
      </c>
      <c r="L104" s="110"/>
      <c r="M104" s="110"/>
      <c r="N104" s="111">
        <v>13</v>
      </c>
      <c r="O104" s="112">
        <v>6.3600000000000004E-2</v>
      </c>
      <c r="P104" s="88">
        <v>6794</v>
      </c>
      <c r="Q104" s="88">
        <v>8382</v>
      </c>
      <c r="R104" s="88">
        <v>416</v>
      </c>
      <c r="S104" s="88">
        <v>5663</v>
      </c>
      <c r="T104" s="88">
        <v>6501</v>
      </c>
      <c r="U104" s="88">
        <v>248</v>
      </c>
      <c r="V104" s="88">
        <v>324</v>
      </c>
      <c r="W104" s="88">
        <v>164</v>
      </c>
      <c r="X104" s="88">
        <v>7999</v>
      </c>
      <c r="Y104" s="112">
        <v>-0.12889999999999999</v>
      </c>
      <c r="Z104" s="112">
        <v>-0.2346</v>
      </c>
      <c r="AA104" s="112">
        <v>4.2900000000000001E-2</v>
      </c>
      <c r="AB104" s="112">
        <v>4.9599999999999998E-2</v>
      </c>
      <c r="AC104" s="112">
        <v>4.3799999999999999E-2</v>
      </c>
      <c r="AD104" s="111">
        <v>3</v>
      </c>
      <c r="AE104" s="110"/>
      <c r="AF104" s="110"/>
      <c r="AG104" s="55">
        <v>0.46</v>
      </c>
      <c r="AH104" s="110"/>
      <c r="AI104" s="110"/>
      <c r="AJ104" s="110"/>
      <c r="AK104" s="110"/>
      <c r="AL104" s="110"/>
      <c r="AM104" s="110"/>
      <c r="AN104" s="110"/>
      <c r="AO104" s="110"/>
    </row>
    <row r="105" spans="1:41" ht="14.4">
      <c r="A105" s="106">
        <v>500330</v>
      </c>
      <c r="B105" s="107" t="s">
        <v>134</v>
      </c>
      <c r="C105" s="56">
        <f ca="1">IFERROR(__xludf.DUMMYFUNCTION("GOOGLEFINANCE(""bom:""&amp;A105,""price"")"),2919.75)</f>
        <v>2919.75</v>
      </c>
      <c r="D105" s="108">
        <f ca="1">IFERROR(__xludf.DUMMYFUNCTION("GOOGLEFINANCE(""bom:""&amp;A105,""marketcap"")/10000000"),19462.8724755)</f>
        <v>19462.8724755</v>
      </c>
      <c r="E105" s="88">
        <v>6166</v>
      </c>
      <c r="F105" s="88">
        <v>3485</v>
      </c>
      <c r="G105" s="88">
        <v>10509</v>
      </c>
      <c r="H105" s="88">
        <v>6293</v>
      </c>
      <c r="I105" s="88">
        <v>66</v>
      </c>
      <c r="J105" s="110"/>
      <c r="K105" s="113">
        <v>3436</v>
      </c>
      <c r="L105" s="110"/>
      <c r="M105" s="110"/>
      <c r="N105" s="111">
        <v>241</v>
      </c>
      <c r="O105" s="112">
        <v>0.1053</v>
      </c>
      <c r="P105" s="88">
        <v>5906</v>
      </c>
      <c r="Q105" s="88">
        <v>8214</v>
      </c>
      <c r="R105" s="88">
        <v>534</v>
      </c>
      <c r="S105" s="88">
        <v>641</v>
      </c>
      <c r="T105" s="88">
        <v>605</v>
      </c>
      <c r="U105" s="88">
        <v>141</v>
      </c>
      <c r="V105" s="88">
        <v>340</v>
      </c>
      <c r="W105" s="88">
        <v>257</v>
      </c>
      <c r="X105" s="88">
        <v>7507</v>
      </c>
      <c r="Y105" s="112">
        <v>5.9499999999999997E-2</v>
      </c>
      <c r="Z105" s="112">
        <v>-0.58530000000000004</v>
      </c>
      <c r="AA105" s="112">
        <v>6.8199999999999997E-2</v>
      </c>
      <c r="AB105" s="112">
        <v>6.5000000000000002E-2</v>
      </c>
      <c r="AC105" s="112">
        <v>0.22</v>
      </c>
      <c r="AD105" s="111">
        <v>4</v>
      </c>
      <c r="AE105" s="110"/>
      <c r="AF105" s="110"/>
      <c r="AG105" s="113">
        <v>0.82</v>
      </c>
      <c r="AH105" s="110"/>
      <c r="AI105" s="110"/>
      <c r="AJ105" s="110"/>
      <c r="AK105" s="110"/>
      <c r="AL105" s="110"/>
      <c r="AM105" s="110"/>
      <c r="AN105" s="110"/>
      <c r="AO105" s="110"/>
    </row>
    <row r="106" spans="1:41" ht="14.4">
      <c r="A106" s="106">
        <v>506146</v>
      </c>
      <c r="B106" s="107" t="s">
        <v>173</v>
      </c>
      <c r="C106" s="56">
        <f ca="1">IFERROR(__xludf.DUMMYFUNCTION("GOOGLEFINANCE(""bom:""&amp;A106,""price"")"),1.13)</f>
        <v>1.1299999999999999</v>
      </c>
      <c r="D106" s="108">
        <f ca="1">IFERROR(__xludf.DUMMYFUNCTION("GOOGLEFINANCE(""bom:""&amp;A106,""marketcap"")/10000000"),32.4682785)</f>
        <v>32.468278499999997</v>
      </c>
      <c r="E106" s="110"/>
      <c r="F106" s="110"/>
      <c r="G106" s="110"/>
      <c r="H106" s="110"/>
      <c r="I106" s="110"/>
      <c r="J106" s="110"/>
      <c r="K106" s="113"/>
      <c r="L106" s="110"/>
      <c r="M106" s="110"/>
      <c r="N106" s="110"/>
      <c r="O106" s="112">
        <v>2.9999999999999997E-4</v>
      </c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3"/>
      <c r="AH106" s="110"/>
      <c r="AI106" s="110"/>
      <c r="AJ106" s="110"/>
      <c r="AK106" s="110"/>
      <c r="AL106" s="110"/>
      <c r="AM106" s="110"/>
      <c r="AN106" s="110"/>
      <c r="AO106" s="110"/>
    </row>
    <row r="107" spans="1:41" ht="14.4">
      <c r="A107" s="106">
        <v>507852</v>
      </c>
      <c r="B107" s="107" t="s">
        <v>174</v>
      </c>
      <c r="C107" s="56">
        <f ca="1">IFERROR(__xludf.DUMMYFUNCTION("GOOGLEFINANCE(""bom:""&amp;A107,""price"")"),50.5)</f>
        <v>50.5</v>
      </c>
      <c r="D107" s="108">
        <f ca="1">IFERROR(__xludf.DUMMYFUNCTION("GOOGLEFINANCE(""bom:""&amp;A107,""marketcap"")/10000000"),54.5226785)</f>
        <v>54.522678499999998</v>
      </c>
      <c r="E107" s="114"/>
      <c r="F107" s="110"/>
      <c r="G107" s="110"/>
      <c r="H107" s="110"/>
      <c r="I107" s="110"/>
      <c r="J107" s="110"/>
      <c r="K107" s="113"/>
      <c r="L107" s="110"/>
      <c r="M107" s="110"/>
      <c r="N107" s="110"/>
      <c r="O107" s="112">
        <v>5.0000000000000001E-4</v>
      </c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3"/>
      <c r="AH107" s="110"/>
      <c r="AI107" s="110"/>
      <c r="AJ107" s="110"/>
      <c r="AK107" s="110"/>
      <c r="AL107" s="110"/>
      <c r="AM107" s="110"/>
      <c r="AN107" s="110"/>
      <c r="AO107" s="110"/>
    </row>
    <row r="108" spans="1:41" ht="14.4">
      <c r="A108" s="106">
        <v>521163</v>
      </c>
      <c r="B108" s="107" t="s">
        <v>175</v>
      </c>
      <c r="C108" s="56">
        <f ca="1">IFERROR(__xludf.DUMMYFUNCTION("GOOGLEFINANCE(""bom:""&amp;A108,""price"")"),149.9)</f>
        <v>149.9</v>
      </c>
      <c r="D108" s="108">
        <f ca="1">IFERROR(__xludf.DUMMYFUNCTION("GOOGLEFINANCE(""bom:""&amp;A108,""marketcap"")/10000000"),389.764118)</f>
        <v>389.764118</v>
      </c>
      <c r="E108" s="114"/>
      <c r="F108" s="110"/>
      <c r="G108" s="110"/>
      <c r="H108" s="110"/>
      <c r="I108" s="110"/>
      <c r="J108" s="110"/>
      <c r="K108" s="113"/>
      <c r="L108" s="110"/>
      <c r="M108" s="110"/>
      <c r="N108" s="110"/>
      <c r="O108" s="112">
        <v>2.5999999999999999E-3</v>
      </c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3"/>
      <c r="AH108" s="110"/>
      <c r="AI108" s="110"/>
      <c r="AJ108" s="110"/>
      <c r="AK108" s="110"/>
      <c r="AL108" s="110"/>
      <c r="AM108" s="110"/>
      <c r="AN108" s="110"/>
      <c r="AO108" s="110"/>
    </row>
    <row r="109" spans="1:41" ht="14.4">
      <c r="A109" s="106">
        <v>521206</v>
      </c>
      <c r="B109" s="107" t="s">
        <v>176</v>
      </c>
      <c r="C109" s="56">
        <f ca="1">IFERROR(__xludf.DUMMYFUNCTION("GOOGLEFINANCE(""bom:""&amp;A109,""price"")"),2.64)</f>
        <v>2.64</v>
      </c>
      <c r="D109" s="108">
        <f ca="1">IFERROR(__xludf.DUMMYFUNCTION("GOOGLEFINANCE(""bom:""&amp;A109,""marketcap"")/10000000"),19.6680007)</f>
        <v>19.6680007</v>
      </c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2">
        <v>1E-4</v>
      </c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</row>
    <row r="110" spans="1:41" ht="14.4">
      <c r="A110" s="106">
        <v>521248</v>
      </c>
      <c r="B110" s="107" t="s">
        <v>177</v>
      </c>
      <c r="C110" s="56">
        <f ca="1">IFERROR(__xludf.DUMMYFUNCTION("GOOGLEFINANCE(""bom:""&amp;A110,""price"")"),208.95)</f>
        <v>208.95</v>
      </c>
      <c r="D110" s="108">
        <f ca="1">IFERROR(__xludf.DUMMYFUNCTION("GOOGLEFINANCE(""bom:""&amp;A110,""marketcap"")/10000000"),1410.0524461)</f>
        <v>1410.0524461</v>
      </c>
      <c r="E110" s="114"/>
      <c r="F110" s="110"/>
      <c r="G110" s="110"/>
      <c r="H110" s="110"/>
      <c r="I110" s="110"/>
      <c r="J110" s="110"/>
      <c r="K110" s="110"/>
      <c r="L110" s="110"/>
      <c r="M110" s="110"/>
      <c r="N110" s="110"/>
      <c r="O110" s="112">
        <v>1.12E-2</v>
      </c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</row>
    <row r="111" spans="1:41" ht="14.4">
      <c r="A111" s="106">
        <v>526161</v>
      </c>
      <c r="B111" s="107" t="s">
        <v>178</v>
      </c>
      <c r="C111" s="56">
        <f ca="1">IFERROR(__xludf.DUMMYFUNCTION("GOOGLEFINANCE(""bom:""&amp;A111,""price"")"),111)</f>
        <v>111</v>
      </c>
      <c r="D111" s="108">
        <f ca="1">IFERROR(__xludf.DUMMYFUNCTION("GOOGLEFINANCE(""bom:""&amp;A111,""marketcap"")/10000000"),30.6840075)</f>
        <v>30.6840075</v>
      </c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2">
        <v>2.9999999999999997E-4</v>
      </c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0"/>
    </row>
    <row r="112" spans="1:41" ht="14.4">
      <c r="A112" s="106">
        <v>530521</v>
      </c>
      <c r="B112" s="107" t="s">
        <v>179</v>
      </c>
      <c r="C112" s="56">
        <f ca="1">IFERROR(__xludf.DUMMYFUNCTION("GOOGLEFINANCE(""bom:""&amp;A112,""price"")"),167.9)</f>
        <v>167.9</v>
      </c>
      <c r="D112" s="108">
        <f ca="1">IFERROR(__xludf.DUMMYFUNCTION("GOOGLEFINANCE(""bom:""&amp;A112,""marketcap"")/10000000"),82.6628755)</f>
        <v>82.662875499999998</v>
      </c>
      <c r="E112" s="114"/>
      <c r="F112" s="110"/>
      <c r="G112" s="110"/>
      <c r="H112" s="110"/>
      <c r="I112" s="110"/>
      <c r="J112" s="110"/>
      <c r="K112" s="110"/>
      <c r="L112" s="110"/>
      <c r="M112" s="110"/>
      <c r="N112" s="110"/>
      <c r="O112" s="112">
        <v>5.9999999999999995E-4</v>
      </c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0"/>
    </row>
    <row r="113" spans="1:41" ht="14.4">
      <c r="A113" s="106">
        <v>531234</v>
      </c>
      <c r="B113" s="107" t="s">
        <v>180</v>
      </c>
      <c r="C113" s="56">
        <f ca="1">IFERROR(__xludf.DUMMYFUNCTION("GOOGLEFINANCE(""bom:""&amp;A113,""price"")"),80.5)</f>
        <v>80.5</v>
      </c>
      <c r="D113" s="108">
        <f ca="1">IFERROR(__xludf.DUMMYFUNCTION("GOOGLEFINANCE(""bom:""&amp;A113,""marketcap"")/10000000"),108.675)</f>
        <v>108.675</v>
      </c>
      <c r="E113" s="114"/>
      <c r="F113" s="110"/>
      <c r="G113" s="110"/>
      <c r="H113" s="110"/>
      <c r="I113" s="110"/>
      <c r="J113" s="110"/>
      <c r="K113" s="110"/>
      <c r="L113" s="110"/>
      <c r="M113" s="110"/>
      <c r="N113" s="110"/>
      <c r="O113" s="112">
        <v>8.9999999999999998E-4</v>
      </c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110"/>
      <c r="AO113" s="110"/>
    </row>
    <row r="114" spans="1:41" ht="14.4">
      <c r="A114" s="106">
        <v>532613</v>
      </c>
      <c r="B114" s="107" t="s">
        <v>181</v>
      </c>
      <c r="C114" s="56">
        <f ca="1">IFERROR(__xludf.DUMMYFUNCTION("GOOGLEFINANCE(""bom:""&amp;A114,""price"")"),39.92)</f>
        <v>39.92</v>
      </c>
      <c r="D114" s="108">
        <f ca="1">IFERROR(__xludf.DUMMYFUNCTION("GOOGLEFINANCE(""bom:""&amp;A114,""marketcap"")/10000000"),331.1294098)</f>
        <v>331.12940980000002</v>
      </c>
      <c r="E114" s="114"/>
      <c r="F114" s="110"/>
      <c r="G114" s="110"/>
      <c r="H114" s="110"/>
      <c r="I114" s="110"/>
      <c r="J114" s="110"/>
      <c r="K114" s="110"/>
      <c r="L114" s="110"/>
      <c r="M114" s="110"/>
      <c r="N114" s="110"/>
      <c r="O114" s="112">
        <v>2.5999999999999999E-3</v>
      </c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110"/>
      <c r="AO114" s="110"/>
    </row>
    <row r="115" spans="1:41" ht="14.4">
      <c r="A115" s="106">
        <v>532630</v>
      </c>
      <c r="B115" s="107" t="s">
        <v>136</v>
      </c>
      <c r="C115" s="56">
        <f ca="1">IFERROR(__xludf.DUMMYFUNCTION("GOOGLEFINANCE(""bom:""&amp;A115,""price"")"),940)</f>
        <v>940</v>
      </c>
      <c r="D115" s="108">
        <f ca="1">IFERROR(__xludf.DUMMYFUNCTION("GOOGLEFINANCE(""bom:""&amp;A115,""marketcap"")/10000000"),6383.266599)</f>
        <v>6383.2665989999996</v>
      </c>
      <c r="E115" s="109">
        <v>900</v>
      </c>
      <c r="F115" s="88">
        <v>346</v>
      </c>
      <c r="G115" s="88">
        <v>1413</v>
      </c>
      <c r="H115" s="88">
        <v>449</v>
      </c>
      <c r="I115" s="88">
        <v>30</v>
      </c>
      <c r="J115" s="110"/>
      <c r="K115" s="88">
        <v>142</v>
      </c>
      <c r="L115" s="110"/>
      <c r="M115" s="110"/>
      <c r="N115" s="111">
        <v>21</v>
      </c>
      <c r="O115" s="112">
        <v>4.07E-2</v>
      </c>
      <c r="P115" s="88">
        <v>1031</v>
      </c>
      <c r="Q115" s="88">
        <v>2222</v>
      </c>
      <c r="R115" s="88">
        <v>173</v>
      </c>
      <c r="S115" s="88">
        <v>1566</v>
      </c>
      <c r="T115" s="88">
        <v>1699</v>
      </c>
      <c r="U115" s="88">
        <v>86</v>
      </c>
      <c r="V115" s="88">
        <v>126</v>
      </c>
      <c r="W115" s="88">
        <v>26</v>
      </c>
      <c r="X115" s="88">
        <v>2048</v>
      </c>
      <c r="Y115" s="112">
        <v>-7.8299999999999995E-2</v>
      </c>
      <c r="Z115" s="112">
        <v>-0.3175</v>
      </c>
      <c r="AA115" s="112">
        <v>0.16600000000000001</v>
      </c>
      <c r="AB115" s="112">
        <v>7.7899999999999997E-2</v>
      </c>
      <c r="AC115" s="112">
        <v>5.4899999999999997E-2</v>
      </c>
      <c r="AD115" s="111">
        <v>8</v>
      </c>
      <c r="AE115" s="110"/>
      <c r="AF115" s="110"/>
      <c r="AG115" s="88">
        <v>0.15</v>
      </c>
      <c r="AH115" s="110"/>
      <c r="AI115" s="110"/>
      <c r="AJ115" s="110"/>
      <c r="AK115" s="110"/>
      <c r="AL115" s="110"/>
      <c r="AM115" s="110"/>
      <c r="AN115" s="110"/>
      <c r="AO115" s="110"/>
    </row>
    <row r="116" spans="1:41" ht="14.4">
      <c r="A116" s="106">
        <v>532695</v>
      </c>
      <c r="B116" s="107" t="s">
        <v>182</v>
      </c>
      <c r="C116" s="56">
        <f ca="1">IFERROR(__xludf.DUMMYFUNCTION("GOOGLEFINANCE(""bom:""&amp;A116,""price"")"),18.76)</f>
        <v>18.760000000000002</v>
      </c>
      <c r="D116" s="108">
        <f ca="1">IFERROR(__xludf.DUMMYFUNCTION("GOOGLEFINANCE(""bom:""&amp;A116,""marketcap"")/10000000"),104.1279676)</f>
        <v>104.12796760000001</v>
      </c>
      <c r="E116" s="115"/>
      <c r="F116" s="1"/>
      <c r="G116" s="1"/>
      <c r="H116" s="1"/>
      <c r="I116" s="1"/>
      <c r="J116" s="1"/>
      <c r="K116" s="1"/>
      <c r="L116" s="1"/>
      <c r="M116" s="1"/>
      <c r="N116" s="3"/>
      <c r="O116" s="112">
        <v>8.9999999999999998E-4</v>
      </c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1:41" ht="14.4">
      <c r="A117" s="106">
        <v>532732</v>
      </c>
      <c r="B117" s="107" t="s">
        <v>137</v>
      </c>
      <c r="C117" s="56">
        <f ca="1">IFERROR(__xludf.DUMMYFUNCTION("GOOGLEFINANCE(""bom:""&amp;A117,""price"")"),729.55)</f>
        <v>729.55</v>
      </c>
      <c r="D117" s="108">
        <f ca="1">IFERROR(__xludf.DUMMYFUNCTION("GOOGLEFINANCE(""bom:""&amp;A117,""marketcap"")/10000000"),4434.1019592)</f>
        <v>4434.1019592000002</v>
      </c>
      <c r="E117" s="115"/>
      <c r="F117" s="1"/>
      <c r="G117" s="1"/>
      <c r="H117" s="1"/>
      <c r="I117" s="1"/>
      <c r="J117" s="1"/>
      <c r="K117" s="1">
        <v>65.400000000000006</v>
      </c>
      <c r="L117" s="1"/>
      <c r="M117" s="1"/>
      <c r="N117" s="116">
        <v>24</v>
      </c>
      <c r="O117" s="112">
        <v>3.7199999999999997E-2</v>
      </c>
      <c r="P117" s="86">
        <v>461</v>
      </c>
      <c r="Q117" s="86">
        <v>779</v>
      </c>
      <c r="R117" s="86">
        <v>119</v>
      </c>
      <c r="S117" s="86">
        <v>641</v>
      </c>
      <c r="T117" s="86">
        <v>580</v>
      </c>
      <c r="U117" s="86">
        <v>116</v>
      </c>
      <c r="V117" s="86">
        <v>87</v>
      </c>
      <c r="W117" s="86">
        <v>6</v>
      </c>
      <c r="X117" s="86">
        <v>642</v>
      </c>
      <c r="Y117" s="117">
        <v>0.1052</v>
      </c>
      <c r="Z117" s="117">
        <v>0.33329999999999999</v>
      </c>
      <c r="AA117" s="117">
        <v>0.1106</v>
      </c>
      <c r="AB117" s="117">
        <v>0.15279999999999999</v>
      </c>
      <c r="AC117" s="117">
        <v>0.18099999999999999</v>
      </c>
      <c r="AD117" s="85">
        <v>24</v>
      </c>
      <c r="AE117" s="1"/>
      <c r="AF117" s="1"/>
      <c r="AG117" s="1">
        <v>0.11</v>
      </c>
      <c r="AH117" s="1"/>
      <c r="AI117" s="1"/>
      <c r="AJ117" s="1"/>
      <c r="AK117" s="1"/>
      <c r="AL117" s="1"/>
      <c r="AM117" s="1"/>
      <c r="AN117" s="1"/>
      <c r="AO117" s="1"/>
    </row>
    <row r="118" spans="1:41" ht="14.4">
      <c r="A118" s="106">
        <v>532808</v>
      </c>
      <c r="B118" s="107" t="s">
        <v>140</v>
      </c>
      <c r="C118" s="56">
        <f ca="1">IFERROR(__xludf.DUMMYFUNCTION("GOOGLEFINANCE(""bom:""&amp;A118,""price"")"),746.6)</f>
        <v>746.6</v>
      </c>
      <c r="D118" s="108">
        <f ca="1">IFERROR(__xludf.DUMMYFUNCTION("GOOGLEFINANCE(""bom:""&amp;A118,""marketcap"")/10000000"),3289.0058316)</f>
        <v>3289.0058316</v>
      </c>
      <c r="E118" s="115"/>
      <c r="F118" s="1"/>
      <c r="G118" s="1"/>
      <c r="H118" s="1"/>
      <c r="I118" s="1"/>
      <c r="J118" s="1"/>
      <c r="K118" s="1">
        <v>502</v>
      </c>
      <c r="L118" s="1"/>
      <c r="M118" s="1"/>
      <c r="N118" s="116">
        <v>41</v>
      </c>
      <c r="O118" s="112">
        <v>2.1999999999999999E-2</v>
      </c>
      <c r="P118" s="86">
        <v>1496</v>
      </c>
      <c r="Q118" s="86">
        <v>3155</v>
      </c>
      <c r="R118" s="86">
        <v>149</v>
      </c>
      <c r="S118" s="86">
        <v>2555</v>
      </c>
      <c r="T118" s="86">
        <v>2428</v>
      </c>
      <c r="U118" s="86">
        <v>123</v>
      </c>
      <c r="V118" s="86">
        <v>93</v>
      </c>
      <c r="W118" s="86">
        <v>65</v>
      </c>
      <c r="X118" s="86">
        <v>2018</v>
      </c>
      <c r="Y118" s="117">
        <v>5.2299999999999999E-2</v>
      </c>
      <c r="Z118" s="117">
        <v>0.3226</v>
      </c>
      <c r="AA118" s="117">
        <v>0.161</v>
      </c>
      <c r="AB118" s="117">
        <v>4.7199999999999999E-2</v>
      </c>
      <c r="AC118" s="117">
        <v>4.8099999999999997E-2</v>
      </c>
      <c r="AD118" s="85">
        <v>18</v>
      </c>
      <c r="AE118" s="1"/>
      <c r="AF118" s="1"/>
      <c r="AG118" s="1">
        <v>0.68</v>
      </c>
      <c r="AH118" s="1"/>
      <c r="AI118" s="1"/>
      <c r="AJ118" s="1"/>
      <c r="AK118" s="1"/>
      <c r="AL118" s="1"/>
      <c r="AM118" s="1"/>
      <c r="AN118" s="1"/>
      <c r="AO118" s="1"/>
    </row>
    <row r="119" spans="1:41" ht="14.4">
      <c r="A119" s="106">
        <v>532827</v>
      </c>
      <c r="B119" s="107" t="s">
        <v>16</v>
      </c>
      <c r="C119" s="56">
        <f ca="1">IFERROR(__xludf.DUMMYFUNCTION("GOOGLEFINANCE(""bom:""&amp;A119,""price"")"),38982)</f>
        <v>38982</v>
      </c>
      <c r="D119" s="108">
        <f ca="1">IFERROR(__xludf.DUMMYFUNCTION("GOOGLEFINANCE(""bom:""&amp;A119,""marketcap"")/10000000"),44432.076)</f>
        <v>44432.076000000001</v>
      </c>
      <c r="E119" s="118">
        <v>1843</v>
      </c>
      <c r="F119" s="86">
        <v>963</v>
      </c>
      <c r="G119" s="86">
        <v>2642</v>
      </c>
      <c r="H119" s="86">
        <v>1112</v>
      </c>
      <c r="I119" s="86">
        <v>11</v>
      </c>
      <c r="J119" s="86">
        <v>1529</v>
      </c>
      <c r="K119" s="86">
        <v>186.2</v>
      </c>
      <c r="L119" s="86">
        <v>153</v>
      </c>
      <c r="M119" s="86">
        <v>10</v>
      </c>
      <c r="N119" s="116">
        <v>484</v>
      </c>
      <c r="O119" s="112">
        <v>0.31919999999999998</v>
      </c>
      <c r="P119" s="86">
        <v>2552</v>
      </c>
      <c r="Q119" s="86">
        <v>4716</v>
      </c>
      <c r="R119" s="86">
        <v>571</v>
      </c>
      <c r="S119" s="86">
        <v>3586</v>
      </c>
      <c r="T119" s="86">
        <v>3750</v>
      </c>
      <c r="U119" s="86">
        <v>460</v>
      </c>
      <c r="V119" s="86">
        <v>492</v>
      </c>
      <c r="W119" s="86">
        <v>41</v>
      </c>
      <c r="X119" s="86">
        <v>3970</v>
      </c>
      <c r="Y119" s="117">
        <v>-4.3700000000000003E-2</v>
      </c>
      <c r="Z119" s="117">
        <v>-6.5000000000000002E-2</v>
      </c>
      <c r="AA119" s="117">
        <v>0.13070000000000001</v>
      </c>
      <c r="AB119" s="117">
        <v>0.1211</v>
      </c>
      <c r="AC119" s="117">
        <v>0.1283</v>
      </c>
      <c r="AD119" s="85">
        <v>19</v>
      </c>
      <c r="AE119" s="1"/>
      <c r="AF119" s="1"/>
      <c r="AG119" s="100">
        <f t="shared" ref="AG119:AG120" si="0">K119/J119</f>
        <v>0.12177894048397644</v>
      </c>
      <c r="AH119" s="1"/>
      <c r="AI119" s="1"/>
      <c r="AJ119" s="1"/>
      <c r="AK119" s="1"/>
      <c r="AL119" s="1"/>
      <c r="AM119" s="1"/>
      <c r="AN119" s="1"/>
      <c r="AO119" s="1"/>
    </row>
    <row r="120" spans="1:41" ht="14.4">
      <c r="A120" s="106">
        <v>532889</v>
      </c>
      <c r="B120" s="107" t="s">
        <v>133</v>
      </c>
      <c r="C120" s="56">
        <f ca="1">IFERROR(__xludf.DUMMYFUNCTION("GOOGLEFINANCE(""bom:""&amp;A120,""price"")"),886.5)</f>
        <v>886.5</v>
      </c>
      <c r="D120" s="108">
        <f ca="1">IFERROR(__xludf.DUMMYFUNCTION("GOOGLEFINANCE(""bom:""&amp;A120,""marketcap"")/10000000"),30271.05828)</f>
        <v>30271.058280000001</v>
      </c>
      <c r="E120" s="86">
        <v>2057</v>
      </c>
      <c r="F120" s="86">
        <v>839</v>
      </c>
      <c r="G120" s="86">
        <v>3874</v>
      </c>
      <c r="H120" s="86">
        <v>901</v>
      </c>
      <c r="I120" s="86">
        <v>34</v>
      </c>
      <c r="J120" s="86">
        <v>2938</v>
      </c>
      <c r="K120" s="86">
        <v>843</v>
      </c>
      <c r="L120" s="86">
        <v>492</v>
      </c>
      <c r="M120" s="86">
        <v>1</v>
      </c>
      <c r="N120" s="116">
        <v>23</v>
      </c>
      <c r="O120" s="112">
        <v>0.2404</v>
      </c>
      <c r="P120" s="86">
        <v>3038</v>
      </c>
      <c r="Q120" s="86">
        <v>6248</v>
      </c>
      <c r="R120" s="86">
        <v>635</v>
      </c>
      <c r="S120" s="86">
        <v>4418</v>
      </c>
      <c r="T120" s="86">
        <v>4290</v>
      </c>
      <c r="U120" s="86">
        <v>370</v>
      </c>
      <c r="V120" s="86">
        <v>529</v>
      </c>
      <c r="W120" s="86">
        <v>18</v>
      </c>
      <c r="X120" s="86">
        <v>5613</v>
      </c>
      <c r="Y120" s="117">
        <v>2.98E-2</v>
      </c>
      <c r="Z120" s="117">
        <v>-0.30059999999999998</v>
      </c>
      <c r="AA120" s="117">
        <v>0.15509999999999999</v>
      </c>
      <c r="AB120" s="117">
        <v>0.1016</v>
      </c>
      <c r="AC120" s="117">
        <v>8.3699999999999997E-2</v>
      </c>
      <c r="AD120" s="85">
        <v>36</v>
      </c>
      <c r="AE120" s="1"/>
      <c r="AF120" s="1"/>
      <c r="AG120" s="100">
        <f t="shared" si="0"/>
        <v>0.28692988427501703</v>
      </c>
      <c r="AH120" s="1"/>
      <c r="AI120" s="1"/>
      <c r="AJ120" s="1"/>
      <c r="AK120" s="1"/>
      <c r="AL120" s="1"/>
      <c r="AM120" s="1"/>
      <c r="AN120" s="1"/>
      <c r="AO120" s="1"/>
    </row>
    <row r="121" spans="1:41" ht="14.4">
      <c r="A121" s="106">
        <v>532946</v>
      </c>
      <c r="B121" s="107" t="s">
        <v>183</v>
      </c>
      <c r="C121" s="56">
        <f ca="1">IFERROR(__xludf.DUMMYFUNCTION("GOOGLEFINANCE(""bom:""&amp;A121,""price"")"),46.05)</f>
        <v>46.05</v>
      </c>
      <c r="D121" s="108">
        <f ca="1">IFERROR(__xludf.DUMMYFUNCTION("GOOGLEFINANCE(""bom:""&amp;A121,""marketcap"")/10000000"),63.7818737)</f>
        <v>63.781873699999998</v>
      </c>
      <c r="E121" s="115"/>
      <c r="F121" s="1"/>
      <c r="G121" s="1"/>
      <c r="H121" s="1"/>
      <c r="I121" s="1"/>
      <c r="J121" s="1"/>
      <c r="K121" s="1"/>
      <c r="L121" s="1"/>
      <c r="M121" s="1"/>
      <c r="N121" s="3"/>
      <c r="O121" s="112">
        <v>5.9999999999999995E-4</v>
      </c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:41" ht="14.4">
      <c r="A122" s="106">
        <v>533267</v>
      </c>
      <c r="B122" s="107" t="s">
        <v>144</v>
      </c>
      <c r="C122" s="56">
        <f ca="1">IFERROR(__xludf.DUMMYFUNCTION("GOOGLEFINANCE(""bom:""&amp;A122,""price"")"),247.7)</f>
        <v>247.7</v>
      </c>
      <c r="D122" s="108">
        <f ca="1">IFERROR(__xludf.DUMMYFUNCTION("GOOGLEFINANCE(""bom:""&amp;A122,""marketcap"")/10000000"),2076.0403057)</f>
        <v>2076.0403056999999</v>
      </c>
      <c r="E122" s="115"/>
      <c r="F122" s="1"/>
      <c r="G122" s="1"/>
      <c r="H122" s="1"/>
      <c r="I122" s="1"/>
      <c r="J122" s="1"/>
      <c r="K122" s="1">
        <v>325</v>
      </c>
      <c r="L122" s="1"/>
      <c r="M122" s="1"/>
      <c r="N122" s="116">
        <v>7</v>
      </c>
      <c r="O122" s="112">
        <v>1.49E-2</v>
      </c>
      <c r="P122" s="86">
        <v>197</v>
      </c>
      <c r="Q122" s="86">
        <v>551</v>
      </c>
      <c r="R122" s="86">
        <v>67</v>
      </c>
      <c r="S122" s="86">
        <v>421</v>
      </c>
      <c r="T122" s="86">
        <v>380</v>
      </c>
      <c r="U122" s="86">
        <v>43</v>
      </c>
      <c r="V122" s="86">
        <v>50</v>
      </c>
      <c r="W122" s="86">
        <v>26</v>
      </c>
      <c r="X122" s="86">
        <v>466</v>
      </c>
      <c r="Y122" s="117">
        <v>0.1079</v>
      </c>
      <c r="Z122" s="117">
        <v>-0.14000000000000001</v>
      </c>
      <c r="AA122" s="117">
        <v>0.22839999999999999</v>
      </c>
      <c r="AB122" s="117">
        <v>0.1216</v>
      </c>
      <c r="AC122" s="117">
        <v>0.1021</v>
      </c>
      <c r="AD122" s="85">
        <v>4</v>
      </c>
      <c r="AE122" s="1"/>
      <c r="AF122" s="1"/>
      <c r="AG122" s="1">
        <v>1.37</v>
      </c>
      <c r="AH122" s="1"/>
      <c r="AI122" s="1"/>
      <c r="AJ122" s="1"/>
      <c r="AK122" s="1"/>
      <c r="AL122" s="1"/>
      <c r="AM122" s="1"/>
      <c r="AN122" s="1"/>
      <c r="AO122" s="1"/>
    </row>
    <row r="123" spans="1:41" ht="14.4">
      <c r="A123" s="106">
        <v>533329</v>
      </c>
      <c r="B123" s="107" t="s">
        <v>184</v>
      </c>
      <c r="C123" s="56">
        <f ca="1">IFERROR(__xludf.DUMMYFUNCTION("GOOGLEFINANCE(""bom:""&amp;A123,""price"")"),75.27)</f>
        <v>75.27</v>
      </c>
      <c r="D123" s="108">
        <f ca="1">IFERROR(__xludf.DUMMYFUNCTION("GOOGLEFINANCE(""bom:""&amp;A123,""marketcap"")/10000000"),331.6468311)</f>
        <v>331.64683109999999</v>
      </c>
      <c r="E123" s="115"/>
      <c r="F123" s="1"/>
      <c r="G123" s="1"/>
      <c r="H123" s="1"/>
      <c r="I123" s="1"/>
      <c r="J123" s="1"/>
      <c r="K123" s="1"/>
      <c r="L123" s="1"/>
      <c r="M123" s="1"/>
      <c r="N123" s="3"/>
      <c r="O123" s="112">
        <v>2.7000000000000001E-3</v>
      </c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:41" ht="14.4">
      <c r="A124" s="106">
        <v>533343</v>
      </c>
      <c r="B124" s="107" t="s">
        <v>185</v>
      </c>
      <c r="C124" s="56">
        <f ca="1">IFERROR(__xludf.DUMMYFUNCTION("GOOGLEFINANCE(""bom:""&amp;A124,""price"")"),138)</f>
        <v>138</v>
      </c>
      <c r="D124" s="108">
        <f ca="1">IFERROR(__xludf.DUMMYFUNCTION("GOOGLEFINANCE(""bom:""&amp;A124,""marketcap"")/10000000"),198.5238272)</f>
        <v>198.5238272</v>
      </c>
      <c r="E124" s="115"/>
      <c r="F124" s="1"/>
      <c r="G124" s="1"/>
      <c r="H124" s="1"/>
      <c r="I124" s="1"/>
      <c r="J124" s="1"/>
      <c r="K124" s="1"/>
      <c r="L124" s="1"/>
      <c r="M124" s="1"/>
      <c r="N124" s="3"/>
      <c r="O124" s="112">
        <v>1.5E-3</v>
      </c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:41" ht="14.4">
      <c r="A125" s="106">
        <v>533552</v>
      </c>
      <c r="B125" s="107" t="s">
        <v>142</v>
      </c>
      <c r="C125" s="56">
        <f ca="1">IFERROR(__xludf.DUMMYFUNCTION("GOOGLEFINANCE(""bom:""&amp;A125,""price"")"),279.05)</f>
        <v>279.05</v>
      </c>
      <c r="D125" s="108">
        <f ca="1">IFERROR(__xludf.DUMMYFUNCTION("GOOGLEFINANCE(""bom:""&amp;A125,""marketcap"")/10000000"),2217.0647186)</f>
        <v>2217.0647186000001</v>
      </c>
      <c r="E125" s="115"/>
      <c r="F125" s="1"/>
      <c r="G125" s="1"/>
      <c r="H125" s="1"/>
      <c r="I125" s="1"/>
      <c r="J125" s="1"/>
      <c r="K125" s="1">
        <v>267</v>
      </c>
      <c r="L125" s="1"/>
      <c r="M125" s="1"/>
      <c r="N125" s="116">
        <v>8</v>
      </c>
      <c r="O125" s="112">
        <v>1.7100000000000001E-2</v>
      </c>
      <c r="P125" s="86">
        <v>1156</v>
      </c>
      <c r="Q125" s="86">
        <v>1137</v>
      </c>
      <c r="R125" s="86">
        <v>53</v>
      </c>
      <c r="S125" s="86">
        <v>811</v>
      </c>
      <c r="T125" s="86">
        <v>731</v>
      </c>
      <c r="U125" s="86">
        <v>45</v>
      </c>
      <c r="V125" s="86">
        <v>34</v>
      </c>
      <c r="W125" s="86">
        <v>22</v>
      </c>
      <c r="X125" s="86">
        <v>1090</v>
      </c>
      <c r="Y125" s="117">
        <v>0.1094</v>
      </c>
      <c r="Z125" s="117">
        <v>0.32350000000000001</v>
      </c>
      <c r="AA125" s="117">
        <v>-3.3E-3</v>
      </c>
      <c r="AB125" s="117">
        <v>4.6600000000000003E-2</v>
      </c>
      <c r="AC125" s="117">
        <v>5.5500000000000001E-2</v>
      </c>
      <c r="AD125" s="85">
        <v>3</v>
      </c>
      <c r="AE125" s="1"/>
      <c r="AF125" s="1"/>
      <c r="AG125" s="1">
        <v>0.28999999999999998</v>
      </c>
      <c r="AH125" s="1"/>
      <c r="AI125" s="1"/>
      <c r="AJ125" s="1"/>
      <c r="AK125" s="1"/>
      <c r="AL125" s="1"/>
      <c r="AM125" s="1"/>
      <c r="AN125" s="1"/>
      <c r="AO125" s="1"/>
    </row>
    <row r="126" spans="1:41" ht="14.4">
      <c r="A126" s="106">
        <v>533941</v>
      </c>
      <c r="B126" s="107" t="s">
        <v>186</v>
      </c>
      <c r="C126" s="56">
        <f ca="1">IFERROR(__xludf.DUMMYFUNCTION("GOOGLEFINANCE(""bom:""&amp;A126,""price"")"),279.3)</f>
        <v>279.3</v>
      </c>
      <c r="D126" s="108">
        <f ca="1">IFERROR(__xludf.DUMMYFUNCTION("GOOGLEFINANCE(""bom:""&amp;A126,""marketcap"")/10000000"),306.0281587)</f>
        <v>306.02815870000001</v>
      </c>
      <c r="E126" s="115"/>
      <c r="F126" s="1"/>
      <c r="G126" s="1"/>
      <c r="H126" s="1"/>
      <c r="I126" s="1"/>
      <c r="J126" s="1"/>
      <c r="K126" s="1"/>
      <c r="L126" s="1"/>
      <c r="M126" s="1"/>
      <c r="N126" s="3"/>
      <c r="O126" s="112">
        <v>2.5000000000000001E-3</v>
      </c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:41" ht="14.4">
      <c r="A127" s="106">
        <v>538598</v>
      </c>
      <c r="B127" s="107" t="s">
        <v>187</v>
      </c>
      <c r="C127" s="56">
        <f ca="1">IFERROR(__xludf.DUMMYFUNCTION("GOOGLEFINANCE(""bom:""&amp;A127,""price"")"),21.95)</f>
        <v>21.95</v>
      </c>
      <c r="D127" s="108">
        <f ca="1">IFERROR(__xludf.DUMMYFUNCTION("GOOGLEFINANCE(""bom:""&amp;A127,""marketcap"")/10000000"),433.753965)</f>
        <v>433.75396499999999</v>
      </c>
      <c r="E127" s="115"/>
      <c r="F127" s="1"/>
      <c r="G127" s="1"/>
      <c r="H127" s="1"/>
      <c r="I127" s="1"/>
      <c r="J127" s="1"/>
      <c r="K127" s="1"/>
      <c r="L127" s="1"/>
      <c r="M127" s="1"/>
      <c r="N127" s="3"/>
      <c r="O127" s="112">
        <v>3.3999999999999998E-3</v>
      </c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1:41" ht="14.4">
      <c r="A128" s="106">
        <v>538836</v>
      </c>
      <c r="B128" s="107" t="s">
        <v>188</v>
      </c>
      <c r="C128" s="56">
        <f ca="1">IFERROR(__xludf.DUMMYFUNCTION("GOOGLEFINANCE(""bom:""&amp;A128,""price"")"),611.75)</f>
        <v>611.75</v>
      </c>
      <c r="D128" s="108">
        <f ca="1">IFERROR(__xludf.DUMMYFUNCTION("GOOGLEFINANCE(""bom:""&amp;A128,""marketcap"")/10000000"),1287.15895)</f>
        <v>1287.15895</v>
      </c>
      <c r="E128" s="115"/>
      <c r="F128" s="1"/>
      <c r="G128" s="1"/>
      <c r="H128" s="1"/>
      <c r="I128" s="1"/>
      <c r="J128" s="1"/>
      <c r="K128" s="1"/>
      <c r="L128" s="1"/>
      <c r="M128" s="1"/>
      <c r="N128" s="3"/>
      <c r="O128" s="112">
        <v>1.11E-2</v>
      </c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1:41" ht="14.4">
      <c r="A129" s="106">
        <v>539216</v>
      </c>
      <c r="B129" s="107" t="s">
        <v>189</v>
      </c>
      <c r="C129" s="56">
        <f ca="1">IFERROR(__xludf.DUMMYFUNCTION("GOOGLEFINANCE(""bom:""&amp;A129,""price"")"),6.2)</f>
        <v>6.2</v>
      </c>
      <c r="D129" s="108">
        <f ca="1">IFERROR(__xludf.DUMMYFUNCTION("GOOGLEFINANCE(""bom:""&amp;A129,""marketcap"")/10000000"),62.238078)</f>
        <v>62.238078000000002</v>
      </c>
      <c r="E129" s="115"/>
      <c r="F129" s="1"/>
      <c r="G129" s="1"/>
      <c r="H129" s="1"/>
      <c r="I129" s="1"/>
      <c r="J129" s="1"/>
      <c r="K129" s="1"/>
      <c r="L129" s="1"/>
      <c r="M129" s="1"/>
      <c r="N129" s="3"/>
      <c r="O129" s="112">
        <v>5.9999999999999995E-4</v>
      </c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1:41" ht="14.4">
      <c r="A130" s="106">
        <v>539399</v>
      </c>
      <c r="B130" s="107" t="s">
        <v>190</v>
      </c>
      <c r="C130" s="56">
        <f ca="1">IFERROR(__xludf.DUMMYFUNCTION("GOOGLEFINANCE(""bom:""&amp;A130,""price"")"),349)</f>
        <v>349</v>
      </c>
      <c r="D130" s="108">
        <f ca="1">IFERROR(__xludf.DUMMYFUNCTION("GOOGLEFINANCE(""bom:""&amp;A130,""marketcap"")/10000000"),400.4775)</f>
        <v>400.47750000000002</v>
      </c>
      <c r="E130" s="115"/>
      <c r="F130" s="1"/>
      <c r="G130" s="1"/>
      <c r="H130" s="1"/>
      <c r="I130" s="1"/>
      <c r="J130" s="1"/>
      <c r="K130" s="1"/>
      <c r="L130" s="1"/>
      <c r="M130" s="1"/>
      <c r="N130" s="3"/>
      <c r="O130" s="112">
        <v>2.8999999999999998E-3</v>
      </c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1:41" ht="14.4">
      <c r="A131" s="106">
        <v>539542</v>
      </c>
      <c r="B131" s="107" t="s">
        <v>138</v>
      </c>
      <c r="C131" s="56">
        <f ca="1">IFERROR(__xludf.DUMMYFUNCTION("GOOGLEFINANCE(""bom:""&amp;A131,""price"")"),1408.05)</f>
        <v>1408.05</v>
      </c>
      <c r="D131" s="108">
        <f ca="1">IFERROR(__xludf.DUMMYFUNCTION("GOOGLEFINANCE(""bom:""&amp;A131,""marketcap"")/10000000"),4328.18267)</f>
        <v>4328.1826700000001</v>
      </c>
      <c r="E131" s="115"/>
      <c r="F131" s="1"/>
      <c r="G131" s="1"/>
      <c r="H131" s="1"/>
      <c r="I131" s="1"/>
      <c r="J131" s="1"/>
      <c r="K131" s="1">
        <v>236</v>
      </c>
      <c r="L131" s="1"/>
      <c r="M131" s="1"/>
      <c r="N131" s="116">
        <v>35</v>
      </c>
      <c r="O131" s="112">
        <v>2.93E-2</v>
      </c>
      <c r="P131" s="86">
        <v>1137</v>
      </c>
      <c r="Q131" s="86">
        <v>2361</v>
      </c>
      <c r="R131" s="86">
        <v>137</v>
      </c>
      <c r="S131" s="86">
        <v>1600</v>
      </c>
      <c r="T131" s="86">
        <v>1652</v>
      </c>
      <c r="U131" s="86">
        <v>70</v>
      </c>
      <c r="V131" s="86">
        <v>107</v>
      </c>
      <c r="W131" s="86">
        <v>24</v>
      </c>
      <c r="X131" s="86">
        <v>2208</v>
      </c>
      <c r="Y131" s="117">
        <v>-3.15E-2</v>
      </c>
      <c r="Z131" s="117">
        <v>-0.3458</v>
      </c>
      <c r="AA131" s="117">
        <v>0.15740000000000001</v>
      </c>
      <c r="AB131" s="117">
        <v>5.8000000000000003E-2</v>
      </c>
      <c r="AC131" s="117">
        <v>4.3799999999999999E-2</v>
      </c>
      <c r="AD131" s="85">
        <v>7</v>
      </c>
      <c r="AE131" s="1"/>
      <c r="AF131" s="1"/>
      <c r="AG131" s="1">
        <v>0.16</v>
      </c>
      <c r="AH131" s="1"/>
      <c r="AI131" s="1"/>
      <c r="AJ131" s="1"/>
      <c r="AK131" s="1"/>
      <c r="AL131" s="1"/>
      <c r="AM131" s="1"/>
      <c r="AN131" s="1"/>
      <c r="AO131" s="1"/>
    </row>
    <row r="132" spans="1:41" ht="14.4">
      <c r="A132" s="106">
        <v>540048</v>
      </c>
      <c r="B132" s="107" t="s">
        <v>191</v>
      </c>
      <c r="C132" s="56">
        <f ca="1">IFERROR(__xludf.DUMMYFUNCTION("GOOGLEFINANCE(""bom:""&amp;A132,""price"")"),734.25)</f>
        <v>734.25</v>
      </c>
      <c r="D132" s="108">
        <f ca="1">IFERROR(__xludf.DUMMYFUNCTION("GOOGLEFINANCE(""bom:""&amp;A132,""marketcap"")/10000000"),1827.2424344)</f>
        <v>1827.2424344000001</v>
      </c>
      <c r="E132" s="115"/>
      <c r="F132" s="1"/>
      <c r="G132" s="1"/>
      <c r="H132" s="1"/>
      <c r="I132" s="1"/>
      <c r="J132" s="1"/>
      <c r="K132" s="1"/>
      <c r="L132" s="1"/>
      <c r="M132" s="1"/>
      <c r="N132" s="3"/>
      <c r="O132" s="112">
        <v>1.24E-2</v>
      </c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1:41" ht="14.4">
      <c r="A133" s="106">
        <v>540952</v>
      </c>
      <c r="B133" s="107" t="s">
        <v>192</v>
      </c>
      <c r="C133" s="56">
        <f ca="1">IFERROR(__xludf.DUMMYFUNCTION("GOOGLEFINANCE(""bom:""&amp;A133,""price"")"),22.72)</f>
        <v>22.72</v>
      </c>
      <c r="D133" s="108">
        <f ca="1">IFERROR(__xludf.DUMMYFUNCTION("GOOGLEFINANCE(""bom:""&amp;A133,""marketcap"")/10000000"),364.5542243)</f>
        <v>364.55422429999999</v>
      </c>
      <c r="E133" s="115"/>
      <c r="F133" s="1"/>
      <c r="G133" s="1"/>
      <c r="H133" s="1"/>
      <c r="I133" s="1"/>
      <c r="J133" s="1"/>
      <c r="K133" s="1"/>
      <c r="L133" s="1"/>
      <c r="M133" s="1"/>
      <c r="N133" s="3"/>
      <c r="O133" s="112">
        <v>3.5999999999999999E-3</v>
      </c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1:41" ht="14.4">
      <c r="A134" s="106">
        <v>541144</v>
      </c>
      <c r="B134" s="107" t="s">
        <v>193</v>
      </c>
      <c r="C134" s="56">
        <f ca="1">IFERROR(__xludf.DUMMYFUNCTION("GOOGLEFINANCE(""bom:""&amp;A134,""price"")"),97.6)</f>
        <v>97.6</v>
      </c>
      <c r="D134" s="108">
        <f ca="1">IFERROR(__xludf.DUMMYFUNCTION("GOOGLEFINANCE(""bom:""&amp;A134,""marketcap"")/10000000"),151.3992648)</f>
        <v>151.3992648</v>
      </c>
      <c r="E134" s="115"/>
      <c r="F134" s="1"/>
      <c r="G134" s="1"/>
      <c r="H134" s="1"/>
      <c r="I134" s="1"/>
      <c r="J134" s="1"/>
      <c r="K134" s="1"/>
      <c r="L134" s="1"/>
      <c r="M134" s="1"/>
      <c r="N134" s="3"/>
      <c r="O134" s="112">
        <v>1.2999999999999999E-3</v>
      </c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 ht="14.4">
      <c r="A135" s="106">
        <v>541403</v>
      </c>
      <c r="B135" s="107" t="s">
        <v>139</v>
      </c>
      <c r="C135" s="56">
        <f ca="1">IFERROR(__xludf.DUMMYFUNCTION("GOOGLEFINANCE(""bom:""&amp;A135,""price"")"),543.8)</f>
        <v>543.79999999999995</v>
      </c>
      <c r="D135" s="108">
        <f ca="1">IFERROR(__xludf.DUMMYFUNCTION("GOOGLEFINANCE(""bom:""&amp;A135,""marketcap"")/10000000"),3087.8344558)</f>
        <v>3087.8344557999999</v>
      </c>
      <c r="E135" s="115"/>
      <c r="F135" s="1"/>
      <c r="G135" s="1"/>
      <c r="H135" s="1"/>
      <c r="I135" s="1"/>
      <c r="J135" s="1"/>
      <c r="K135" s="1">
        <v>222</v>
      </c>
      <c r="L135" s="1"/>
      <c r="M135" s="1"/>
      <c r="N135" s="116">
        <v>10</v>
      </c>
      <c r="O135" s="112">
        <v>2.5700000000000001E-2</v>
      </c>
      <c r="P135" s="86">
        <v>982</v>
      </c>
      <c r="Q135" s="86">
        <v>1393</v>
      </c>
      <c r="R135" s="86">
        <v>52</v>
      </c>
      <c r="S135" s="86">
        <v>1072</v>
      </c>
      <c r="T135" s="86">
        <v>987</v>
      </c>
      <c r="U135" s="86">
        <v>57</v>
      </c>
      <c r="V135" s="86">
        <v>52</v>
      </c>
      <c r="W135" s="86">
        <v>14</v>
      </c>
      <c r="X135" s="86">
        <v>1327</v>
      </c>
      <c r="Y135" s="117">
        <v>8.6099999999999996E-2</v>
      </c>
      <c r="Z135" s="117">
        <v>9.6199999999999994E-2</v>
      </c>
      <c r="AA135" s="117">
        <v>7.2400000000000006E-2</v>
      </c>
      <c r="AB135" s="117">
        <v>3.73E-2</v>
      </c>
      <c r="AC135" s="117">
        <v>5.3199999999999997E-2</v>
      </c>
      <c r="AD135" s="85">
        <v>6</v>
      </c>
      <c r="AE135" s="1"/>
      <c r="AF135" s="1"/>
      <c r="AG135" s="1">
        <v>0.3</v>
      </c>
      <c r="AH135" s="1"/>
      <c r="AI135" s="1"/>
      <c r="AJ135" s="1"/>
      <c r="AK135" s="1"/>
      <c r="AL135" s="1"/>
      <c r="AM135" s="1"/>
      <c r="AN135" s="1"/>
      <c r="AO135" s="1"/>
    </row>
    <row r="136" spans="1:41" ht="14.4">
      <c r="A136" s="106">
        <v>541700</v>
      </c>
      <c r="B136" s="107" t="s">
        <v>141</v>
      </c>
      <c r="C136" s="56">
        <f ca="1">IFERROR(__xludf.DUMMYFUNCTION("GOOGLEFINANCE(""bom:""&amp;A136,""price"")"),528.6)</f>
        <v>528.6</v>
      </c>
      <c r="D136" s="108">
        <f ca="1">IFERROR(__xludf.DUMMYFUNCTION("GOOGLEFINANCE(""bom:""&amp;A136,""marketcap"")/10000000"),3355.7344834)</f>
        <v>3355.7344834</v>
      </c>
      <c r="E136" s="115"/>
      <c r="F136" s="1"/>
      <c r="G136" s="1"/>
      <c r="H136" s="1"/>
      <c r="I136" s="1"/>
      <c r="J136" s="1"/>
      <c r="K136" s="1">
        <v>635</v>
      </c>
      <c r="L136" s="1"/>
      <c r="M136" s="1"/>
      <c r="N136" s="116">
        <v>-40</v>
      </c>
      <c r="O136" s="112">
        <v>2.0799999999999999E-2</v>
      </c>
      <c r="P136" s="86">
        <v>1000</v>
      </c>
      <c r="Q136" s="86">
        <v>1201</v>
      </c>
      <c r="R136" s="86">
        <v>-16</v>
      </c>
      <c r="S136" s="86">
        <v>748</v>
      </c>
      <c r="T136" s="86">
        <v>933</v>
      </c>
      <c r="U136" s="86">
        <v>-224</v>
      </c>
      <c r="V136" s="86">
        <v>11</v>
      </c>
      <c r="W136" s="86">
        <v>52</v>
      </c>
      <c r="X136" s="86">
        <v>1248</v>
      </c>
      <c r="Y136" s="117">
        <v>-0.1983</v>
      </c>
      <c r="Z136" s="117">
        <v>-21.363600000000002</v>
      </c>
      <c r="AA136" s="117">
        <v>3.73E-2</v>
      </c>
      <c r="AB136" s="117">
        <v>-1.3299999999999999E-2</v>
      </c>
      <c r="AC136" s="117">
        <v>-0.29949999999999999</v>
      </c>
      <c r="AD136" s="85">
        <v>0</v>
      </c>
      <c r="AE136" s="1"/>
      <c r="AF136" s="1"/>
      <c r="AG136" s="1">
        <v>1.4</v>
      </c>
      <c r="AH136" s="1"/>
      <c r="AI136" s="1"/>
      <c r="AJ136" s="1"/>
      <c r="AK136" s="1"/>
      <c r="AL136" s="1"/>
      <c r="AM136" s="1"/>
      <c r="AN136" s="1"/>
      <c r="AO136" s="1"/>
    </row>
    <row r="137" spans="1:41" ht="14.4">
      <c r="A137" s="106">
        <v>543670</v>
      </c>
      <c r="B137" s="107" t="s">
        <v>194</v>
      </c>
      <c r="C137" s="56">
        <f ca="1">IFERROR(__xludf.DUMMYFUNCTION("GOOGLEFINANCE(""bom:""&amp;A137,""price"")"),4.34)</f>
        <v>4.34</v>
      </c>
      <c r="D137" s="108">
        <f ca="1">IFERROR(__xludf.DUMMYFUNCTION("GOOGLEFINANCE(""bom:""&amp;A137,""marketcap"")/10000000"),100.7231575)</f>
        <v>100.7231575</v>
      </c>
      <c r="E137" s="115"/>
      <c r="F137" s="1"/>
      <c r="G137" s="1"/>
      <c r="H137" s="1"/>
      <c r="I137" s="1"/>
      <c r="J137" s="1"/>
      <c r="K137" s="1"/>
      <c r="L137" s="1"/>
      <c r="M137" s="1"/>
      <c r="N137" s="3"/>
      <c r="O137" s="112">
        <v>8.0000000000000004E-4</v>
      </c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1:41" ht="14.4">
      <c r="A138" s="106">
        <v>543926</v>
      </c>
      <c r="B138" s="107" t="s">
        <v>195</v>
      </c>
      <c r="C138" s="56">
        <f ca="1">IFERROR(__xludf.DUMMYFUNCTION("GOOGLEFINANCE(""bom:""&amp;A138,""price"")"),51.63)</f>
        <v>51.63</v>
      </c>
      <c r="D138" s="108">
        <f ca="1">IFERROR(__xludf.DUMMYFUNCTION("GOOGLEFINANCE(""bom:""&amp;A138,""marketcap"")/10000000"),41.5105208)</f>
        <v>41.510520800000002</v>
      </c>
      <c r="E138" s="1"/>
      <c r="F138" s="1"/>
      <c r="G138" s="1"/>
      <c r="H138" s="1"/>
      <c r="I138" s="1"/>
      <c r="J138" s="1"/>
      <c r="K138" s="1"/>
      <c r="L138" s="1"/>
      <c r="M138" s="1"/>
      <c r="N138" s="3"/>
      <c r="O138" s="112">
        <v>2.9999999999999997E-4</v>
      </c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:41" ht="14.4">
      <c r="A139" s="106">
        <v>544015</v>
      </c>
      <c r="B139" s="107" t="s">
        <v>196</v>
      </c>
      <c r="C139" s="56">
        <f ca="1">IFERROR(__xludf.DUMMYFUNCTION("GOOGLEFINANCE(""bom:""&amp;A139,""price"")"),270)</f>
        <v>270</v>
      </c>
      <c r="D139" s="108">
        <f ca="1">IFERROR(__xludf.DUMMYFUNCTION("GOOGLEFINANCE(""bom:""&amp;A139,""marketcap"")/10000000"),75.6)</f>
        <v>75.599999999999994</v>
      </c>
      <c r="E139" s="1"/>
      <c r="F139" s="1"/>
      <c r="G139" s="1"/>
      <c r="H139" s="1"/>
      <c r="I139" s="1"/>
      <c r="J139" s="1"/>
      <c r="K139" s="1"/>
      <c r="L139" s="1"/>
      <c r="M139" s="1"/>
      <c r="N139" s="3"/>
      <c r="O139" s="112">
        <v>2.9999999999999997E-4</v>
      </c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1:41" ht="14.4">
      <c r="A140" s="113"/>
      <c r="B140" s="110"/>
      <c r="C140" s="110"/>
      <c r="D140" s="119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4.4">
      <c r="A141" s="113"/>
      <c r="B141" s="120" t="s">
        <v>145</v>
      </c>
      <c r="C141" s="110"/>
      <c r="D141" s="121">
        <f ca="1">SUM(D104:D139)</f>
        <v>141148.90165650001</v>
      </c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22">
        <v>25750</v>
      </c>
      <c r="Q141" s="122">
        <v>40359</v>
      </c>
      <c r="R141" s="122">
        <v>2890</v>
      </c>
      <c r="S141" s="122">
        <v>23722</v>
      </c>
      <c r="T141" s="122">
        <v>24536</v>
      </c>
      <c r="U141" s="122">
        <v>1535</v>
      </c>
      <c r="V141" s="122">
        <v>2245</v>
      </c>
      <c r="W141" s="122">
        <v>715</v>
      </c>
      <c r="X141" s="122">
        <v>36136</v>
      </c>
      <c r="Y141" s="123">
        <v>-3.32E-2</v>
      </c>
      <c r="Z141" s="123">
        <v>-0.31630000000000003</v>
      </c>
      <c r="AA141" s="123">
        <v>9.4E-2</v>
      </c>
      <c r="AB141" s="123">
        <v>7.1599999999999997E-2</v>
      </c>
      <c r="AC141" s="123">
        <v>6.4699999999999994E-2</v>
      </c>
      <c r="AD141" s="111">
        <v>7</v>
      </c>
      <c r="AE141" s="110"/>
      <c r="AF141" s="110"/>
      <c r="AG141" s="110">
        <f>MEDIAN(AG104:AG115)</f>
        <v>0.46</v>
      </c>
      <c r="AH141" s="110"/>
      <c r="AI141" s="110"/>
      <c r="AJ141" s="110"/>
      <c r="AK141" s="110"/>
      <c r="AL141" s="110"/>
      <c r="AM141" s="110"/>
      <c r="AN141" s="110"/>
      <c r="AO141" s="110"/>
    </row>
    <row r="142" spans="1:41" ht="14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1:41" ht="14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1:41" ht="14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1:41" ht="14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1:41" ht="14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1:41" ht="14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1:41" ht="14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1:41" ht="14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1:41" ht="14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1:41" ht="14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1:41" ht="14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1:41" ht="14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:41" ht="14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1:41" ht="14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1:41" ht="14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1:41" ht="14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1:41" ht="14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1:41" ht="14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:41" ht="14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1:41" ht="14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1:41" ht="14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1:41" ht="14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1:41" ht="14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1:41" ht="14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1:41" ht="14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1:41" ht="14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1:41" ht="14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1:41" ht="14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1:41" ht="14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1:41" ht="14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1:41" ht="14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1:41" ht="14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1:41" ht="14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1:41" ht="14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1:41" ht="14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1:41" ht="14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1:41" ht="14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1:41" ht="14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1:41" ht="14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1:41" ht="14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1:41" ht="14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1:41" ht="14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1:41" ht="14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1:41" ht="14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1:41" ht="14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1:41" ht="14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1:41" ht="14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1:41" ht="14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1:41" ht="14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1:41" ht="14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1:41" ht="14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1:41" ht="14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1:41" ht="14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1:41" ht="14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1:41" ht="14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1:41" ht="14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1:41" ht="14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1:41" ht="14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1:41" ht="14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1:41" ht="14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1:41" ht="14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1:41" ht="14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1:41" ht="14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1:41" ht="14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1:41" ht="14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1:41" ht="14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1:41" ht="14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1:41" ht="14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1:41" ht="14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1:41" ht="14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1:41" ht="14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1:41" ht="14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1:41" ht="14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1:41" ht="14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1:41" ht="14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1:41" ht="14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1:41" ht="14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1:41" ht="14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1:41" ht="14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1:41" ht="14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1:41" ht="14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1:41" ht="14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1:41" ht="14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1:41" ht="14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1:41" ht="14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1:41" ht="14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1:41" ht="14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1:41" ht="14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1:41" ht="14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1:41" ht="14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1:41" ht="14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1:41" ht="14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1:41" ht="14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1:41" ht="14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1:41" ht="14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1:41" ht="14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1:41" ht="14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1:41" ht="14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1:41" ht="14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1:41" ht="14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1:41" ht="14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1:41" ht="14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1:41" ht="14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1:41" ht="14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1:41" ht="14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1:41" ht="14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1:41" ht="14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1:41" ht="14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1:41" ht="14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1:41" ht="14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1:41" ht="14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1:41" ht="14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1:41" ht="14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1:41" ht="14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1:41" ht="14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1:41" ht="14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1:41" ht="14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1:41" ht="14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1:41" ht="14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1:41" ht="14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1:41" ht="14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1:41" ht="14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1:41" ht="14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1:41" ht="14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1:41" ht="14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1:41" ht="14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1:41" ht="14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1:41" ht="14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1:41" ht="14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1:41" ht="14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1:41" ht="14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1:41" ht="14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1:41" ht="14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1:41" ht="14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1:41" ht="14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1:41" ht="14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1:41" ht="14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1:41" ht="14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1:41" ht="14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1:41" ht="14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1:41" ht="14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1:41" ht="14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1:41" ht="14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1:41" ht="14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1:41" ht="14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1:41" ht="14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1:41" ht="14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1:41" ht="14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1:41" ht="14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1:41" ht="14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1:41" ht="14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1:41" ht="14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1:41" ht="14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1:41" ht="14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1:41" ht="14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1:41" ht="14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1:41" ht="14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1:41" ht="14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1:41" ht="14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1:41" ht="14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1:41" ht="14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1:41" ht="14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1:41" ht="14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1:41" ht="14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1:41" ht="14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1:41" ht="14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1:41" ht="14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1:41" ht="14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1:41" ht="14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1:41" ht="14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1:41" ht="14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1:41" ht="14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1:41" ht="14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1:41" ht="14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1:41" ht="14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1:41" ht="14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1:41" ht="14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1:41" ht="14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1:41" ht="14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1:41" ht="14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1:41" ht="14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1:41" ht="14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1:41" ht="14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1:41" ht="14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1:41" ht="14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1:41" ht="14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1:41" ht="14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1:41" ht="14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1:41" ht="14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1:41" ht="14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1:41" ht="14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1:41" ht="14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1:41" ht="14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1:41" ht="14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1:41" ht="14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1:41" ht="14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1:41" ht="14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1:41" ht="14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1:41" ht="14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1:41" ht="14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1:41" ht="14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1:41" ht="14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1:41" ht="14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1:41" ht="14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1:41" ht="14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1:41" ht="14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1:41" ht="14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1:41" ht="14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1:41" ht="14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1:41" ht="14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1:41" ht="14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1:41" ht="14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1:41" ht="14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1:41" ht="14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1:41" ht="14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1:41" ht="14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1:41" ht="14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1:41" ht="14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1:41" ht="14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1:41" ht="14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1:41" ht="14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1:41" ht="14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1:41" ht="14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1:41" ht="14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1:41" ht="14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1:41" ht="14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1:41" ht="14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1:41" ht="14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1:41" ht="14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1:41" ht="14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1:41" ht="14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1:41" ht="14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1:41" ht="14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1:41" ht="14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1:41" ht="14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1:41" ht="14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1:41" ht="14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1:41" ht="14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1:41" ht="14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1:41" ht="14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1:41" ht="14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1:41" ht="14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1:41" ht="14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1:41" ht="14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1:41" ht="14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1:41" ht="14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1:41" ht="14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1:41" ht="14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1:41" ht="14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1:41" ht="14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1:41" ht="14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1:41" ht="14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1:41" ht="14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1:41" ht="14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1:41" ht="14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1:41" ht="14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1:41" ht="14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1:41" ht="14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1:41" ht="14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1:41" ht="14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1:41" ht="14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1:41" ht="14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1:41" ht="14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1:41" ht="14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1:41" ht="14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1:41" ht="14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1:41" ht="14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1:41" ht="14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1:41" ht="14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1:41" ht="14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1:41" ht="14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1:41" ht="14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1:41" ht="14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1:41" ht="14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1:41" ht="14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1:41" ht="14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1:41" ht="14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1:41" ht="14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1:41" ht="14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1:41" ht="14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1:41" ht="14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1:41" ht="14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1:41" ht="14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1:41" ht="14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1:41" ht="14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1:41" ht="14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1:41" ht="14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1:41" ht="14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1:41" ht="14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1:41" ht="14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1:41" ht="14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1:41" ht="14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1:41" ht="14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1:41" ht="14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1:41" ht="14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1:41" ht="14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1:41" ht="14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1:41" ht="14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1:41" ht="14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1:41" ht="14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1:41" ht="14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1:41" ht="14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1:41" ht="14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1:41" ht="14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1:41" ht="14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1:41" ht="14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1:41" ht="14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1:41" ht="14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1:41" ht="14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1:41" ht="14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1:41" ht="14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1:41" ht="14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1:41" ht="14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1:41" ht="14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1:41" ht="14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1:41" ht="14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1:41" ht="14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1:41" ht="14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1:41" ht="14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1:41" ht="14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1:41" ht="14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1:41" ht="14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1:41" ht="14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1:41" ht="14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1:41" ht="14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1:41" ht="14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1:41" ht="14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1:41" ht="14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1:41" ht="14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1:41" ht="14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1:41" ht="14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1:41" ht="14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1:41" ht="14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1:41" ht="14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1:41" ht="14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1:41" ht="14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1:41" ht="14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1:41" ht="14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1:41" ht="14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1:41" ht="14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1:41" ht="14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1:41" ht="14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1:41" ht="14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1:41" ht="14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1:41" ht="14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1:41" ht="14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1:41" ht="14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spans="1:41" ht="14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</row>
    <row r="490" spans="1:41" ht="14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spans="1:41" ht="14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</row>
    <row r="492" spans="1:41" ht="14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spans="1:41" ht="14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</row>
    <row r="494" spans="1:41" ht="14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spans="1:41" ht="14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spans="1:41" ht="14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spans="1:41" ht="14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spans="1:41" ht="14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</row>
    <row r="499" spans="1:41" ht="14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1:41" ht="14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</row>
    <row r="501" spans="1:41" ht="14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</row>
    <row r="502" spans="1:41" ht="14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</row>
    <row r="503" spans="1:41" ht="14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</row>
    <row r="504" spans="1:41" ht="14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</row>
    <row r="505" spans="1:41" ht="14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</row>
    <row r="506" spans="1:41" ht="14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</row>
    <row r="507" spans="1:41" ht="14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</row>
    <row r="508" spans="1:41" ht="14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</row>
    <row r="509" spans="1:41" ht="14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</row>
    <row r="510" spans="1:41" ht="14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</row>
    <row r="511" spans="1:41" ht="14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</row>
    <row r="512" spans="1:41" ht="14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spans="1:41" ht="14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</row>
    <row r="514" spans="1:41" ht="14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</row>
    <row r="515" spans="1:41" ht="14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</row>
    <row r="516" spans="1:41" ht="14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</row>
    <row r="517" spans="1:41" ht="14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</row>
    <row r="518" spans="1:41" ht="14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</row>
    <row r="519" spans="1:41" ht="14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</row>
    <row r="520" spans="1:41" ht="14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</row>
    <row r="521" spans="1:41" ht="14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</row>
    <row r="522" spans="1:41" ht="14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</row>
    <row r="523" spans="1:41" ht="14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</row>
    <row r="524" spans="1:41" ht="14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</row>
    <row r="525" spans="1:41" ht="14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</row>
    <row r="526" spans="1:41" ht="14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</row>
    <row r="527" spans="1:41" ht="14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</row>
    <row r="528" spans="1:41" ht="14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</row>
    <row r="529" spans="1:41" ht="14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</row>
    <row r="530" spans="1:41" ht="14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</row>
    <row r="531" spans="1:41" ht="14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</row>
    <row r="532" spans="1:41" ht="14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</row>
    <row r="533" spans="1:41" ht="14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</row>
    <row r="534" spans="1:41" ht="14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</row>
    <row r="535" spans="1:41" ht="14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</row>
    <row r="536" spans="1:41" ht="14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</row>
    <row r="537" spans="1:41" ht="14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</row>
    <row r="538" spans="1:41" ht="14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</row>
    <row r="539" spans="1:41" ht="14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</row>
    <row r="540" spans="1:41" ht="14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</row>
    <row r="541" spans="1:41" ht="14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</row>
    <row r="542" spans="1:41" ht="14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</row>
    <row r="543" spans="1:41" ht="14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</row>
    <row r="544" spans="1:41" ht="14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</row>
    <row r="545" spans="1:41" ht="14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</row>
    <row r="546" spans="1:41" ht="14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</row>
    <row r="547" spans="1:41" ht="14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</row>
    <row r="548" spans="1:41" ht="14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</row>
    <row r="549" spans="1:41" ht="14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</row>
    <row r="550" spans="1:41" ht="14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</row>
    <row r="551" spans="1:41" ht="14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</row>
    <row r="552" spans="1:41" ht="14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</row>
    <row r="553" spans="1:41" ht="14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</row>
    <row r="554" spans="1:41" ht="14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</row>
    <row r="555" spans="1:41" ht="14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</row>
    <row r="556" spans="1:41" ht="14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</row>
    <row r="557" spans="1:41" ht="14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</row>
    <row r="558" spans="1:41" ht="14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</row>
    <row r="559" spans="1:41" ht="14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</row>
    <row r="560" spans="1:41" ht="14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</row>
    <row r="561" spans="1:41" ht="14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</row>
    <row r="562" spans="1:41" ht="14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</row>
    <row r="563" spans="1:41" ht="14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</row>
    <row r="564" spans="1:41" ht="14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</row>
    <row r="565" spans="1:41" ht="14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</row>
    <row r="566" spans="1:41" ht="14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</row>
    <row r="567" spans="1:41" ht="14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</row>
    <row r="568" spans="1:41" ht="14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</row>
    <row r="569" spans="1:41" ht="14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</row>
    <row r="570" spans="1:41" ht="14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</row>
    <row r="571" spans="1:41" ht="14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</row>
    <row r="572" spans="1:41" ht="14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</row>
    <row r="573" spans="1:41" ht="14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</row>
    <row r="574" spans="1:41" ht="14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</row>
    <row r="575" spans="1:41" ht="14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</row>
    <row r="576" spans="1:41" ht="14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</row>
    <row r="577" spans="1:41" ht="14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</row>
    <row r="578" spans="1:41" ht="14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</row>
    <row r="579" spans="1:41" ht="14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</row>
    <row r="580" spans="1:41" ht="14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</row>
    <row r="581" spans="1:41" ht="14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</row>
    <row r="582" spans="1:41" ht="14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</row>
    <row r="583" spans="1:41" ht="14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</row>
    <row r="584" spans="1:41" ht="14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</row>
    <row r="585" spans="1:41" ht="14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</row>
    <row r="586" spans="1:41" ht="14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</row>
    <row r="587" spans="1:41" ht="14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</row>
    <row r="588" spans="1:41" ht="14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</row>
    <row r="589" spans="1:41" ht="14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</row>
    <row r="590" spans="1:41" ht="14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</row>
    <row r="591" spans="1:41" ht="14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</row>
    <row r="592" spans="1:41" ht="14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</row>
    <row r="593" spans="1:41" ht="14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</row>
    <row r="594" spans="1:41" ht="14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</row>
    <row r="595" spans="1:41" ht="14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</row>
    <row r="596" spans="1:41" ht="14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</row>
    <row r="597" spans="1:41" ht="14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</row>
    <row r="598" spans="1:41" ht="14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</row>
    <row r="599" spans="1:41" ht="14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</row>
    <row r="600" spans="1:41" ht="14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</row>
    <row r="601" spans="1:41" ht="14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</row>
    <row r="602" spans="1:41" ht="14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</row>
    <row r="603" spans="1:41" ht="14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</row>
    <row r="604" spans="1:41" ht="14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</row>
    <row r="605" spans="1:41" ht="14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</row>
    <row r="606" spans="1:41" ht="14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</row>
    <row r="607" spans="1:41" ht="14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</row>
    <row r="608" spans="1:41" ht="14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</row>
    <row r="609" spans="1:41" ht="14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</row>
    <row r="610" spans="1:41" ht="14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</row>
    <row r="611" spans="1:41" ht="14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</row>
    <row r="612" spans="1:41" ht="14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</row>
    <row r="613" spans="1:41" ht="14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</row>
    <row r="614" spans="1:41" ht="14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</row>
    <row r="615" spans="1:41" ht="14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</row>
    <row r="616" spans="1:41" ht="14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</row>
    <row r="617" spans="1:41" ht="14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</row>
    <row r="618" spans="1:41" ht="14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</row>
    <row r="619" spans="1:41" ht="14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</row>
    <row r="620" spans="1:41" ht="14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</row>
    <row r="621" spans="1:41" ht="14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</row>
    <row r="622" spans="1:41" ht="14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</row>
    <row r="623" spans="1:41" ht="14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</row>
    <row r="624" spans="1:41" ht="14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</row>
    <row r="625" spans="1:41" ht="14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</row>
    <row r="626" spans="1:41" ht="14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</row>
    <row r="627" spans="1:41" ht="14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</row>
    <row r="628" spans="1:41" ht="14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</row>
    <row r="629" spans="1:41" ht="14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</row>
    <row r="630" spans="1:41" ht="14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</row>
    <row r="631" spans="1:41" ht="14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</row>
    <row r="632" spans="1:41" ht="14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</row>
    <row r="633" spans="1:41" ht="14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</row>
    <row r="634" spans="1:41" ht="14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</row>
    <row r="635" spans="1:41" ht="14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</row>
    <row r="636" spans="1:41" ht="14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</row>
    <row r="637" spans="1:41" ht="14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</row>
    <row r="638" spans="1:41" ht="14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</row>
    <row r="639" spans="1:41" ht="14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</row>
    <row r="640" spans="1:41" ht="14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</row>
    <row r="641" spans="1:41" ht="14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</row>
    <row r="642" spans="1:41" ht="14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</row>
    <row r="643" spans="1:41" ht="14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</row>
    <row r="644" spans="1:41" ht="14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</row>
    <row r="645" spans="1:41" ht="14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</row>
    <row r="646" spans="1:41" ht="14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</row>
    <row r="647" spans="1:41" ht="14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</row>
    <row r="648" spans="1:41" ht="14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</row>
    <row r="649" spans="1:41" ht="14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</row>
    <row r="650" spans="1:41" ht="14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</row>
    <row r="651" spans="1:41" ht="14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</row>
    <row r="652" spans="1:41" ht="14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</row>
    <row r="653" spans="1:41" ht="14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</row>
    <row r="654" spans="1:41" ht="14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</row>
    <row r="655" spans="1:41" ht="14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</row>
    <row r="656" spans="1:41" ht="14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</row>
    <row r="657" spans="1:41" ht="14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</row>
    <row r="658" spans="1:41" ht="14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</row>
    <row r="659" spans="1:41" ht="14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</row>
    <row r="660" spans="1:41" ht="14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</row>
    <row r="661" spans="1:41" ht="14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</row>
    <row r="662" spans="1:41" ht="14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</row>
    <row r="663" spans="1:41" ht="14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</row>
    <row r="664" spans="1:41" ht="14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</row>
    <row r="665" spans="1:41" ht="14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</row>
    <row r="666" spans="1:41" ht="14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</row>
    <row r="667" spans="1:41" ht="14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</row>
    <row r="668" spans="1:41" ht="14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</row>
    <row r="669" spans="1:41" ht="14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</row>
    <row r="670" spans="1:41" ht="14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</row>
    <row r="671" spans="1:41" ht="14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</row>
    <row r="672" spans="1:41" ht="14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</row>
    <row r="673" spans="1:41" ht="14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</row>
    <row r="674" spans="1:41" ht="14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</row>
    <row r="675" spans="1:41" ht="14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</row>
    <row r="676" spans="1:41" ht="14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</row>
    <row r="677" spans="1:41" ht="14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</row>
    <row r="678" spans="1:41" ht="14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</row>
    <row r="679" spans="1:41" ht="14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</row>
    <row r="680" spans="1:41" ht="14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</row>
    <row r="681" spans="1:41" ht="14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</row>
    <row r="682" spans="1:41" ht="14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</row>
    <row r="683" spans="1:41" ht="14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</row>
    <row r="684" spans="1:41" ht="14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</row>
    <row r="685" spans="1:41" ht="14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</row>
    <row r="686" spans="1:41" ht="14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</row>
    <row r="687" spans="1:41" ht="14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</row>
    <row r="688" spans="1:41" ht="14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</row>
    <row r="689" spans="1:41" ht="14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</row>
    <row r="690" spans="1:41" ht="14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</row>
    <row r="691" spans="1:41" ht="14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</row>
    <row r="692" spans="1:41" ht="14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</row>
    <row r="693" spans="1:41" ht="14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</row>
    <row r="694" spans="1:41" ht="14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</row>
    <row r="695" spans="1:41" ht="14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</row>
    <row r="696" spans="1:41" ht="14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</row>
    <row r="697" spans="1:41" ht="14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</row>
    <row r="698" spans="1:41" ht="14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</row>
    <row r="699" spans="1:41" ht="14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</row>
    <row r="700" spans="1:41" ht="14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</row>
    <row r="701" spans="1:41" ht="14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</row>
    <row r="702" spans="1:41" ht="14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</row>
    <row r="703" spans="1:41" ht="14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</row>
    <row r="704" spans="1:41" ht="14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</row>
    <row r="705" spans="1:41" ht="14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</row>
    <row r="706" spans="1:41" ht="14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</row>
    <row r="707" spans="1:41" ht="14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</row>
    <row r="708" spans="1:41" ht="14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</row>
    <row r="709" spans="1:41" ht="14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</row>
    <row r="710" spans="1:41" ht="14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</row>
    <row r="711" spans="1:41" ht="14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</row>
    <row r="712" spans="1:41" ht="14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</row>
    <row r="713" spans="1:41" ht="14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</row>
    <row r="714" spans="1:41" ht="14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</row>
    <row r="715" spans="1:41" ht="14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</row>
    <row r="716" spans="1:41" ht="14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</row>
    <row r="717" spans="1:41" ht="14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</row>
    <row r="718" spans="1:41" ht="14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</row>
    <row r="719" spans="1:41" ht="14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</row>
    <row r="720" spans="1:41" ht="14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</row>
    <row r="721" spans="1:41" ht="14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</row>
    <row r="722" spans="1:41" ht="14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</row>
    <row r="723" spans="1:41" ht="14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</row>
    <row r="724" spans="1:41" ht="14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</row>
    <row r="725" spans="1:41" ht="14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</row>
    <row r="726" spans="1:41" ht="14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</row>
    <row r="727" spans="1:41" ht="14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</row>
    <row r="728" spans="1:41" ht="14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</row>
    <row r="729" spans="1:41" ht="14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</row>
    <row r="730" spans="1:41" ht="14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</row>
    <row r="731" spans="1:41" ht="14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</row>
    <row r="732" spans="1:41" ht="14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</row>
    <row r="733" spans="1:41" ht="14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</row>
    <row r="734" spans="1:41" ht="14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</row>
    <row r="735" spans="1:41" ht="14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</row>
    <row r="736" spans="1:41" ht="14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</row>
    <row r="737" spans="1:41" ht="14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</row>
    <row r="738" spans="1:41" ht="14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</row>
    <row r="739" spans="1:41" ht="14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</row>
    <row r="740" spans="1:41" ht="14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</row>
    <row r="741" spans="1:41" ht="14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</row>
    <row r="742" spans="1:41" ht="14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</row>
    <row r="743" spans="1:41" ht="14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</row>
    <row r="744" spans="1:41" ht="14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</row>
    <row r="745" spans="1:41" ht="14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</row>
    <row r="746" spans="1:41" ht="14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</row>
    <row r="747" spans="1:41" ht="14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</row>
    <row r="748" spans="1:41" ht="14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</row>
    <row r="749" spans="1:41" ht="14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</row>
    <row r="750" spans="1:41" ht="14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</row>
    <row r="751" spans="1:41" ht="14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</row>
    <row r="752" spans="1:41" ht="14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</row>
    <row r="753" spans="1:41" ht="14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</row>
    <row r="754" spans="1:41" ht="14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</row>
    <row r="755" spans="1:41" ht="14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</row>
    <row r="756" spans="1:41" ht="14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</row>
    <row r="757" spans="1:41" ht="14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</row>
    <row r="758" spans="1:41" ht="14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</row>
    <row r="759" spans="1:41" ht="14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</row>
    <row r="760" spans="1:41" ht="14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</row>
    <row r="761" spans="1:41" ht="14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</row>
    <row r="762" spans="1:41" ht="14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</row>
    <row r="763" spans="1:41" ht="14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</row>
    <row r="764" spans="1:41" ht="14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</row>
    <row r="765" spans="1:41" ht="14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</row>
    <row r="766" spans="1:41" ht="14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</row>
    <row r="767" spans="1:41" ht="14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</row>
    <row r="768" spans="1:41" ht="14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</row>
    <row r="769" spans="1:41" ht="14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</row>
    <row r="770" spans="1:41" ht="14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</row>
    <row r="771" spans="1:41" ht="14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</row>
    <row r="772" spans="1:41" ht="14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</row>
    <row r="773" spans="1:41" ht="14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</row>
    <row r="774" spans="1:41" ht="14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</row>
    <row r="775" spans="1:41" ht="14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</row>
    <row r="776" spans="1:41" ht="14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</row>
    <row r="777" spans="1:41" ht="14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</row>
    <row r="778" spans="1:41" ht="14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</row>
    <row r="779" spans="1:41" ht="14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</row>
    <row r="780" spans="1:41" ht="14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</row>
    <row r="781" spans="1:41" ht="14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</row>
    <row r="782" spans="1:41" ht="14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</row>
    <row r="783" spans="1:41" ht="14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</row>
    <row r="784" spans="1:41" ht="14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</row>
    <row r="785" spans="1:41" ht="14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</row>
    <row r="786" spans="1:41" ht="14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</row>
    <row r="787" spans="1:41" ht="14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</row>
    <row r="788" spans="1:41" ht="14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</row>
    <row r="789" spans="1:41" ht="14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</row>
    <row r="790" spans="1:41" ht="14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</row>
    <row r="791" spans="1:41" ht="14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</row>
    <row r="792" spans="1:41" ht="14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</row>
    <row r="793" spans="1:41" ht="14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</row>
    <row r="794" spans="1:41" ht="14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</row>
    <row r="795" spans="1:41" ht="14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</row>
    <row r="796" spans="1:41" ht="14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</row>
    <row r="797" spans="1:41" ht="14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</row>
    <row r="798" spans="1:41" ht="14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</row>
    <row r="799" spans="1:41" ht="14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</row>
    <row r="800" spans="1:41" ht="14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</row>
    <row r="801" spans="1:41" ht="14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</row>
    <row r="802" spans="1:41" ht="14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</row>
    <row r="803" spans="1:41" ht="14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</row>
    <row r="804" spans="1:41" ht="14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</row>
    <row r="805" spans="1:41" ht="14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</row>
    <row r="806" spans="1:41" ht="14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</row>
    <row r="807" spans="1:41" ht="14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</row>
    <row r="808" spans="1:41" ht="14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</row>
    <row r="809" spans="1:41" ht="14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</row>
    <row r="810" spans="1:41" ht="14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</row>
    <row r="811" spans="1:41" ht="14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</row>
    <row r="812" spans="1:41" ht="14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</row>
    <row r="813" spans="1:41" ht="14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</row>
    <row r="814" spans="1:41" ht="14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</row>
    <row r="815" spans="1:41" ht="14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</row>
    <row r="816" spans="1:41" ht="14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</row>
    <row r="817" spans="1:41" ht="14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</row>
    <row r="818" spans="1:41" ht="14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</row>
    <row r="819" spans="1:41" ht="14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</row>
    <row r="820" spans="1:41" ht="14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</row>
    <row r="821" spans="1:41" ht="14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</row>
    <row r="822" spans="1:41" ht="14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</row>
    <row r="823" spans="1:41" ht="14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</row>
    <row r="824" spans="1:41" ht="14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</row>
    <row r="825" spans="1:41" ht="14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</row>
    <row r="826" spans="1:41" ht="14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</row>
    <row r="827" spans="1:41" ht="14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</row>
    <row r="828" spans="1:41" ht="14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</row>
    <row r="829" spans="1:41" ht="14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</row>
    <row r="830" spans="1:41" ht="14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</row>
    <row r="831" spans="1:41" ht="14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</row>
    <row r="832" spans="1:41" ht="14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</row>
    <row r="833" spans="1:41" ht="14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</row>
    <row r="834" spans="1:41" ht="14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</row>
    <row r="835" spans="1:41" ht="14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</row>
    <row r="836" spans="1:41" ht="14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</row>
    <row r="837" spans="1:41" ht="14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</row>
    <row r="838" spans="1:41" ht="14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</row>
    <row r="839" spans="1:41" ht="14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</row>
    <row r="840" spans="1:41" ht="14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</row>
    <row r="841" spans="1:41" ht="14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</row>
    <row r="842" spans="1:41" ht="14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</row>
    <row r="843" spans="1:41" ht="14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</row>
    <row r="844" spans="1:41" ht="14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</row>
    <row r="845" spans="1:41" ht="14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</row>
    <row r="846" spans="1:41" ht="14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</row>
    <row r="847" spans="1:41" ht="14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</row>
    <row r="848" spans="1:41" ht="14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</row>
    <row r="849" spans="1:41" ht="14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</row>
    <row r="850" spans="1:41" ht="14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</row>
    <row r="851" spans="1:41" ht="14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</row>
    <row r="852" spans="1:41" ht="14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</row>
    <row r="853" spans="1:41" ht="14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</row>
    <row r="854" spans="1:41" ht="14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</row>
    <row r="855" spans="1:41" ht="14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</row>
    <row r="856" spans="1:41" ht="14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</row>
    <row r="857" spans="1:41" ht="14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</row>
    <row r="858" spans="1:41" ht="14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</row>
    <row r="859" spans="1:41" ht="14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</row>
    <row r="860" spans="1:41" ht="14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</row>
    <row r="861" spans="1:41" ht="14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</row>
    <row r="862" spans="1:41" ht="14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</row>
    <row r="863" spans="1:41" ht="14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</row>
    <row r="864" spans="1:41" ht="14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</row>
    <row r="865" spans="1:41" ht="14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</row>
    <row r="866" spans="1:41" ht="14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</row>
    <row r="867" spans="1:41" ht="14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</row>
    <row r="868" spans="1:41" ht="14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</row>
    <row r="869" spans="1:41" ht="14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</row>
    <row r="870" spans="1:41" ht="14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</row>
    <row r="871" spans="1:41" ht="14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</row>
    <row r="872" spans="1:41" ht="14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</row>
    <row r="873" spans="1:41" ht="14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</row>
    <row r="874" spans="1:41" ht="14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</row>
    <row r="875" spans="1:41" ht="14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</row>
    <row r="876" spans="1:41" ht="14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</row>
    <row r="877" spans="1:41" ht="14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</row>
    <row r="878" spans="1:41" ht="14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</row>
    <row r="879" spans="1:41" ht="14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</row>
    <row r="880" spans="1:41" ht="14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</row>
    <row r="881" spans="1:41" ht="14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</row>
    <row r="882" spans="1:41" ht="14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</row>
    <row r="883" spans="1:41" ht="14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</row>
    <row r="884" spans="1:41" ht="14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</row>
    <row r="885" spans="1:41" ht="14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</row>
    <row r="886" spans="1:41" ht="14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</row>
    <row r="887" spans="1:41" ht="14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</row>
    <row r="888" spans="1:41" ht="14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</row>
    <row r="889" spans="1:41" ht="14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</row>
    <row r="890" spans="1:41" ht="14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</row>
    <row r="891" spans="1:41" ht="14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</row>
    <row r="892" spans="1:41" ht="14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</row>
    <row r="893" spans="1:41" ht="14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</row>
    <row r="894" spans="1:41" ht="14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</row>
    <row r="895" spans="1:41" ht="14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</row>
    <row r="896" spans="1:41" ht="14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</row>
    <row r="897" spans="1:41" ht="14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</row>
    <row r="898" spans="1:41" ht="14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</row>
    <row r="899" spans="1:41" ht="14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</row>
    <row r="900" spans="1:41" ht="14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</row>
    <row r="901" spans="1:41" ht="14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</row>
    <row r="902" spans="1:41" ht="14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</row>
    <row r="903" spans="1:41" ht="14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</row>
    <row r="904" spans="1:41" ht="14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</row>
    <row r="905" spans="1:41" ht="14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</row>
    <row r="906" spans="1:41" ht="14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</row>
    <row r="907" spans="1:41" ht="14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</row>
    <row r="908" spans="1:41" ht="14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</row>
    <row r="909" spans="1:41" ht="14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</row>
    <row r="910" spans="1:41" ht="14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</row>
    <row r="911" spans="1:41" ht="14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</row>
    <row r="912" spans="1:41" ht="14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</row>
    <row r="913" spans="1:41" ht="14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</row>
    <row r="914" spans="1:41" ht="14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</row>
    <row r="915" spans="1:41" ht="14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</row>
    <row r="916" spans="1:41" ht="14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</row>
    <row r="917" spans="1:41" ht="14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</row>
    <row r="918" spans="1:41" ht="14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</row>
    <row r="919" spans="1:41" ht="14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</row>
    <row r="920" spans="1:41" ht="14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</row>
    <row r="921" spans="1:41" ht="14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</row>
    <row r="922" spans="1:41" ht="14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</row>
    <row r="923" spans="1:41" ht="14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</row>
    <row r="924" spans="1:41" ht="14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</row>
    <row r="925" spans="1:41" ht="14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</row>
    <row r="926" spans="1:41" ht="14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</row>
    <row r="927" spans="1:41" ht="14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</row>
    <row r="928" spans="1:41" ht="14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</row>
    <row r="929" spans="1:41" ht="14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</row>
    <row r="930" spans="1:41" ht="14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</row>
    <row r="931" spans="1:41" ht="14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</row>
    <row r="932" spans="1:41" ht="14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</row>
    <row r="933" spans="1:41" ht="14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</row>
    <row r="934" spans="1:41" ht="14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</row>
    <row r="935" spans="1:41" ht="14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</row>
    <row r="936" spans="1:41" ht="14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</row>
    <row r="937" spans="1:41" ht="14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</row>
    <row r="938" spans="1:41" ht="14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</row>
    <row r="939" spans="1:41" ht="14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</row>
    <row r="940" spans="1:41" ht="14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</row>
    <row r="941" spans="1:41" ht="14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</row>
    <row r="942" spans="1:41" ht="14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</row>
    <row r="943" spans="1:41" ht="14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</row>
    <row r="944" spans="1:41" ht="14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</row>
    <row r="945" spans="1:41" ht="14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</row>
    <row r="946" spans="1:41" ht="14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</row>
    <row r="947" spans="1:41" ht="14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</row>
    <row r="948" spans="1:41" ht="14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</row>
    <row r="949" spans="1:41" ht="14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</row>
    <row r="950" spans="1:41" ht="14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</row>
    <row r="951" spans="1:41" ht="14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</row>
    <row r="952" spans="1:41" ht="14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</row>
    <row r="953" spans="1:41" ht="14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</row>
    <row r="954" spans="1:41" ht="14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</row>
    <row r="955" spans="1:41" ht="14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</row>
    <row r="956" spans="1:41" ht="14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</row>
    <row r="957" spans="1:41" ht="14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</row>
    <row r="958" spans="1:41" ht="14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</row>
    <row r="959" spans="1:41" ht="14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</row>
    <row r="960" spans="1:41" ht="14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</row>
    <row r="961" spans="1:41" ht="14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</row>
    <row r="962" spans="1:41" ht="14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</row>
    <row r="963" spans="1:41" ht="14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</row>
    <row r="964" spans="1:41" ht="14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</row>
    <row r="965" spans="1:41" ht="14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</row>
    <row r="966" spans="1:41" ht="14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</row>
    <row r="967" spans="1:41" ht="14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</row>
    <row r="968" spans="1:41" ht="14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</row>
    <row r="969" spans="1:41" ht="14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</row>
    <row r="970" spans="1:41" ht="14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</row>
    <row r="971" spans="1:41" ht="14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</row>
    <row r="972" spans="1:41" ht="14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</row>
    <row r="973" spans="1:41" ht="14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</row>
    <row r="974" spans="1:41" ht="14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</row>
    <row r="975" spans="1:41" ht="14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</row>
    <row r="976" spans="1:41" ht="14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</row>
    <row r="977" spans="1:41" ht="14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</row>
    <row r="978" spans="1:41" ht="14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</row>
    <row r="979" spans="1:41" ht="14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</row>
    <row r="980" spans="1:41" ht="14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</row>
    <row r="981" spans="1:41" ht="14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</row>
    <row r="982" spans="1:41" ht="14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</row>
    <row r="983" spans="1:41" ht="14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</row>
    <row r="984" spans="1:41" ht="14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</row>
    <row r="985" spans="1:41" ht="14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</row>
    <row r="986" spans="1:41" ht="14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</row>
    <row r="987" spans="1:41" ht="14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</row>
    <row r="988" spans="1:41" ht="14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</row>
    <row r="989" spans="1:41" ht="14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</row>
    <row r="990" spans="1:41" ht="14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</row>
    <row r="991" spans="1:41" ht="14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</row>
    <row r="992" spans="1:41" ht="14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</row>
    <row r="993" spans="1:41" ht="14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</row>
    <row r="994" spans="1:41" ht="14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</row>
    <row r="995" spans="1:41" ht="14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</row>
    <row r="996" spans="1:41" ht="14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</row>
    <row r="997" spans="1:41" ht="14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</row>
    <row r="998" spans="1:41" ht="14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</row>
    <row r="999" spans="1:41" ht="14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</row>
    <row r="1000" spans="1:41" ht="14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</row>
    <row r="1001" spans="1:41" ht="14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</row>
    <row r="1002" spans="1:41" ht="14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</row>
    <row r="1003" spans="1:41" ht="14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</row>
    <row r="1004" spans="1:41" ht="14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</row>
    <row r="1005" spans="1:41" ht="14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</row>
    <row r="1006" spans="1:41" ht="14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</row>
    <row r="1007" spans="1:41" ht="14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</row>
    <row r="1008" spans="1:41" ht="14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</row>
    <row r="1009" spans="1:41" ht="14.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</row>
    <row r="1010" spans="1:41" ht="14.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</row>
    <row r="1011" spans="1:41" ht="14.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</row>
    <row r="1012" spans="1:41" ht="14.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</row>
    <row r="1013" spans="1:41" ht="14.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</row>
    <row r="1014" spans="1:41" ht="14.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</row>
    <row r="1015" spans="1:41" ht="14.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</row>
    <row r="1016" spans="1:41" ht="14.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</row>
    <row r="1017" spans="1:41" ht="14.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</row>
    <row r="1018" spans="1:41" ht="14.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</row>
    <row r="1019" spans="1:41" ht="14.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</row>
    <row r="1020" spans="1:41" ht="14.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</row>
    <row r="1021" spans="1:41" ht="14.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</row>
    <row r="1022" spans="1:41" ht="14.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</row>
    <row r="1023" spans="1:41" ht="14.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</row>
    <row r="1024" spans="1:41" ht="14.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</row>
    <row r="1025" spans="1:41" ht="14.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</row>
    <row r="1026" spans="1:41" ht="14.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</row>
    <row r="1027" spans="1:41" ht="14.4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</row>
    <row r="1028" spans="1:41" ht="14.4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</row>
    <row r="1029" spans="1:41" ht="14.4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</row>
  </sheetData>
  <autoFilter ref="A103:AO139" xr:uid="{00000000-0009-0000-0000-000002000000}">
    <sortState xmlns:xlrd2="http://schemas.microsoft.com/office/spreadsheetml/2017/richdata2" ref="A103:AO139">
      <sortCondition ref="A103:A139"/>
    </sortState>
  </autoFilter>
  <mergeCells count="2">
    <mergeCell ref="B2:N4"/>
    <mergeCell ref="B99:N101"/>
  </mergeCells>
  <conditionalFormatting sqref="C9:C20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68:C79">
    <cfRule type="colorScale" priority="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C37:D48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50:D50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9:G20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68:G79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37:I48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9:K20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M37:M48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hyperlinks>
    <hyperlink ref="B99" r:id="rId1" xr:uid="{2E65C7C0-DD6D-4F86-B852-E4D2EBA703F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Pageind</vt:lpstr>
      <vt:lpstr>GARMENTS &amp; APPAREL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2024-06-28T11:05:08Z</dcterms:created>
  <dcterms:modified xsi:type="dcterms:W3CDTF">2024-06-28T11:05:40Z</dcterms:modified>
</cp:coreProperties>
</file>