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1343B527-9C31-4083-8F07-E0CDCC58C012}" xr6:coauthVersionLast="47" xr6:coauthVersionMax="47" xr10:uidLastSave="{00000000-0000-0000-0000-000000000000}"/>
  <bookViews>
    <workbookView xWindow="-108" yWindow="-108" windowWidth="23256" windowHeight="12456" xr2:uid="{1E528F10-2DBE-494E-BAEF-D52E289F3791}"/>
  </bookViews>
  <sheets>
    <sheet name="TTKPRE" sheetId="1" r:id="rId1"/>
    <sheet name="Copy of  Household Appliances" sheetId="2" r:id="rId2"/>
  </sheets>
  <externalReferences>
    <externalReference r:id="rId3"/>
  </externalReferences>
  <definedNames>
    <definedName name="_xlnm._FilterDatabase" localSheetId="1" hidden="1">'Copy of  Household Appliances'!$A$1:$AO$21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2" l="1"/>
  <c r="G72" i="2"/>
  <c r="AJ23" i="2"/>
  <c r="AD23" i="2"/>
  <c r="AB23" i="2"/>
  <c r="X23" i="2"/>
  <c r="W23" i="2"/>
  <c r="V23" i="2"/>
  <c r="U23" i="2"/>
  <c r="Z23" i="2" s="1"/>
  <c r="T23" i="2"/>
  <c r="Y23" i="2" s="1"/>
  <c r="S23" i="2"/>
  <c r="R23" i="2"/>
  <c r="AI23" i="2" s="1"/>
  <c r="Q23" i="2"/>
  <c r="AA23" i="2" s="1"/>
  <c r="P23" i="2"/>
  <c r="M23" i="2"/>
  <c r="L23" i="2"/>
  <c r="AF23" i="2" s="1"/>
  <c r="K23" i="2"/>
  <c r="AG23" i="2" s="1"/>
  <c r="J23" i="2"/>
  <c r="I23" i="2"/>
  <c r="AN23" i="2" s="1"/>
  <c r="H23" i="2"/>
  <c r="AH23" i="2" s="1"/>
  <c r="G23" i="2"/>
  <c r="F23" i="2"/>
  <c r="E23" i="2"/>
  <c r="AE23" i="2" s="1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AN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N14" i="2"/>
  <c r="AM14" i="2" s="1"/>
  <c r="D14" i="2"/>
  <c r="C14" i="2"/>
  <c r="AN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N13" i="2"/>
  <c r="D13" i="2"/>
  <c r="C13" i="2"/>
  <c r="AO13" i="2" s="1"/>
  <c r="AO12" i="2"/>
  <c r="AN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N12" i="2"/>
  <c r="D12" i="2"/>
  <c r="C12" i="2"/>
  <c r="AN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N11" i="2"/>
  <c r="D11" i="2"/>
  <c r="C11" i="2"/>
  <c r="AO11" i="2" s="1"/>
  <c r="AN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N10" i="2"/>
  <c r="D10" i="2"/>
  <c r="C10" i="2"/>
  <c r="AO10" i="2" s="1"/>
  <c r="AN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N9" i="2"/>
  <c r="D9" i="2"/>
  <c r="C9" i="2"/>
  <c r="AN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N8" i="2"/>
  <c r="D8" i="2"/>
  <c r="C8" i="2"/>
  <c r="AO8" i="2" s="1"/>
  <c r="AN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N7" i="2"/>
  <c r="AM7" i="2" s="1"/>
  <c r="D7" i="2"/>
  <c r="C7" i="2"/>
  <c r="AO7" i="2" s="1"/>
  <c r="AN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N6" i="2"/>
  <c r="D6" i="2"/>
  <c r="C6" i="2"/>
  <c r="AN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N5" i="2"/>
  <c r="D5" i="2"/>
  <c r="C5" i="2"/>
  <c r="AO5" i="2" s="1"/>
  <c r="AN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N4" i="2"/>
  <c r="AM4" i="2" s="1"/>
  <c r="D4" i="2"/>
  <c r="C4" i="2"/>
  <c r="AN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N3" i="2"/>
  <c r="D3" i="2"/>
  <c r="C3" i="2"/>
  <c r="AO3" i="2" s="1"/>
  <c r="AN2" i="2"/>
  <c r="AK2" i="2"/>
  <c r="AJ2" i="2"/>
  <c r="AI2" i="2"/>
  <c r="AH2" i="2"/>
  <c r="AG2" i="2"/>
  <c r="AF2" i="2"/>
  <c r="AE2" i="2"/>
  <c r="AD2" i="2"/>
  <c r="AC2" i="2"/>
  <c r="AB2" i="2"/>
  <c r="AA2" i="2"/>
  <c r="Y2" i="2"/>
  <c r="D2" i="2"/>
  <c r="C2" i="2"/>
  <c r="AO2" i="2" s="1"/>
  <c r="R64" i="1"/>
  <c r="Q64" i="1"/>
  <c r="S64" i="1" s="1"/>
  <c r="S62" i="1"/>
  <c r="Q61" i="1"/>
  <c r="S61" i="1" s="1"/>
  <c r="S60" i="1"/>
  <c r="S59" i="1"/>
  <c r="R59" i="1"/>
  <c r="S58" i="1"/>
  <c r="T54" i="1"/>
  <c r="S54" i="1"/>
  <c r="R54" i="1"/>
  <c r="Q54" i="1"/>
  <c r="K53" i="1"/>
  <c r="S52" i="1"/>
  <c r="Y51" i="1"/>
  <c r="X51" i="1"/>
  <c r="W51" i="1"/>
  <c r="T51" i="1"/>
  <c r="S51" i="1"/>
  <c r="T50" i="1"/>
  <c r="S50" i="1"/>
  <c r="Y49" i="1"/>
  <c r="T49" i="1"/>
  <c r="S49" i="1"/>
  <c r="Y48" i="1"/>
  <c r="T48" i="1"/>
  <c r="S48" i="1"/>
  <c r="N48" i="1"/>
  <c r="Y47" i="1"/>
  <c r="T47" i="1"/>
  <c r="S47" i="1"/>
  <c r="F47" i="1"/>
  <c r="G47" i="1" s="1"/>
  <c r="D47" i="1"/>
  <c r="D48" i="1" s="1"/>
  <c r="Y46" i="1"/>
  <c r="T46" i="1"/>
  <c r="S46" i="1"/>
  <c r="G44" i="1"/>
  <c r="W43" i="1"/>
  <c r="V43" i="1"/>
  <c r="X43" i="1" s="1"/>
  <c r="R43" i="1"/>
  <c r="Q43" i="1"/>
  <c r="S43" i="1" s="1"/>
  <c r="K43" i="1"/>
  <c r="X42" i="1"/>
  <c r="S42" i="1"/>
  <c r="X41" i="1"/>
  <c r="W41" i="1"/>
  <c r="V41" i="1"/>
  <c r="S41" i="1"/>
  <c r="R41" i="1"/>
  <c r="Q41" i="1"/>
  <c r="X40" i="1"/>
  <c r="S40" i="1"/>
  <c r="L40" i="1"/>
  <c r="K40" i="1"/>
  <c r="J40" i="1"/>
  <c r="I40" i="1"/>
  <c r="H40" i="1"/>
  <c r="G40" i="1"/>
  <c r="F40" i="1"/>
  <c r="E40" i="1"/>
  <c r="D40" i="1"/>
  <c r="X39" i="1"/>
  <c r="S39" i="1"/>
  <c r="K39" i="1"/>
  <c r="J39" i="1"/>
  <c r="I39" i="1"/>
  <c r="H39" i="1"/>
  <c r="G39" i="1"/>
  <c r="F39" i="1"/>
  <c r="E39" i="1"/>
  <c r="D39" i="1"/>
  <c r="X38" i="1"/>
  <c r="S38" i="1"/>
  <c r="K38" i="1"/>
  <c r="J38" i="1"/>
  <c r="I38" i="1"/>
  <c r="H38" i="1"/>
  <c r="G38" i="1"/>
  <c r="F38" i="1"/>
  <c r="E38" i="1"/>
  <c r="D38" i="1"/>
  <c r="X37" i="1"/>
  <c r="S37" i="1"/>
  <c r="K37" i="1"/>
  <c r="J37" i="1"/>
  <c r="I37" i="1"/>
  <c r="H37" i="1"/>
  <c r="G37" i="1"/>
  <c r="F37" i="1"/>
  <c r="E37" i="1"/>
  <c r="D37" i="1"/>
  <c r="N34" i="1"/>
  <c r="N40" i="1" s="1"/>
  <c r="M34" i="1"/>
  <c r="M40" i="1" s="1"/>
  <c r="N33" i="1"/>
  <c r="M33" i="1"/>
  <c r="L33" i="1"/>
  <c r="N32" i="1"/>
  <c r="M32" i="1"/>
  <c r="L32" i="1"/>
  <c r="N31" i="1"/>
  <c r="M31" i="1"/>
  <c r="L31" i="1"/>
  <c r="N30" i="1"/>
  <c r="M30" i="1"/>
  <c r="L30" i="1"/>
  <c r="L39" i="1" s="1"/>
  <c r="N29" i="1"/>
  <c r="N39" i="1" s="1"/>
  <c r="M29" i="1"/>
  <c r="M39" i="1" s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N38" i="1" s="1"/>
  <c r="M24" i="1"/>
  <c r="M38" i="1" s="1"/>
  <c r="L24" i="1"/>
  <c r="L38" i="1" s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N37" i="1" s="1"/>
  <c r="M16" i="1"/>
  <c r="L16" i="1"/>
  <c r="N15" i="1"/>
  <c r="M15" i="1"/>
  <c r="L15" i="1"/>
  <c r="N14" i="1"/>
  <c r="M14" i="1"/>
  <c r="M37" i="1" s="1"/>
  <c r="L14" i="1"/>
  <c r="L37" i="1" s="1"/>
  <c r="G43" i="1" s="1"/>
  <c r="N13" i="1"/>
  <c r="M13" i="1"/>
  <c r="L13" i="1"/>
  <c r="N12" i="1"/>
  <c r="L12" i="1"/>
  <c r="F12" i="1"/>
  <c r="M12" i="1" s="1"/>
  <c r="I9" i="1"/>
  <c r="H9" i="1"/>
  <c r="E9" i="1"/>
  <c r="D9" i="1"/>
  <c r="C9" i="1"/>
  <c r="B9" i="1"/>
  <c r="V5" i="1"/>
  <c r="U5" i="1"/>
  <c r="T5" i="1"/>
  <c r="S5" i="1"/>
  <c r="R5" i="1"/>
  <c r="Q5" i="1"/>
  <c r="O5" i="1"/>
  <c r="N5" i="1"/>
  <c r="M5" i="1"/>
  <c r="K5" i="1"/>
  <c r="J5" i="1"/>
  <c r="I5" i="1"/>
  <c r="U4" i="1"/>
  <c r="P4" i="1"/>
  <c r="H4" i="1"/>
  <c r="G4" i="1"/>
  <c r="F4" i="1"/>
  <c r="E4" i="1"/>
  <c r="U3" i="1"/>
  <c r="P3" i="1"/>
  <c r="P5" i="1" s="1"/>
  <c r="L3" i="1"/>
  <c r="L5" i="1" s="1"/>
  <c r="H3" i="1"/>
  <c r="O9" i="1" s="1"/>
  <c r="G3" i="1"/>
  <c r="G5" i="1" s="1"/>
  <c r="E3" i="1"/>
  <c r="F9" i="1" s="1"/>
  <c r="D3" i="1"/>
  <c r="C3" i="1"/>
  <c r="N9" i="1" s="1"/>
  <c r="AM12" i="2" l="1"/>
  <c r="AM9" i="2"/>
  <c r="AM3" i="2"/>
  <c r="AL4" i="2"/>
  <c r="AL9" i="2"/>
  <c r="AM13" i="2"/>
  <c r="AL14" i="2"/>
  <c r="AO4" i="2"/>
  <c r="AM8" i="2"/>
  <c r="AO14" i="2"/>
  <c r="AL5" i="2"/>
  <c r="AL11" i="2"/>
  <c r="AM10" i="2"/>
  <c r="AM5" i="2"/>
  <c r="AL6" i="2"/>
  <c r="AM11" i="2"/>
  <c r="AL12" i="2"/>
  <c r="AO6" i="2"/>
  <c r="AL3" i="2"/>
  <c r="N23" i="2"/>
  <c r="AL13" i="2"/>
  <c r="AM6" i="2"/>
  <c r="D23" i="2"/>
  <c r="O11" i="2" s="1"/>
  <c r="AL8" i="2"/>
  <c r="AO9" i="2"/>
  <c r="AC23" i="2"/>
  <c r="AK23" i="2"/>
  <c r="AL2" i="2"/>
  <c r="AL10" i="2"/>
  <c r="AM2" i="2"/>
  <c r="AL7" i="2"/>
  <c r="L53" i="1"/>
  <c r="N51" i="1" s="1"/>
  <c r="P9" i="1"/>
  <c r="D49" i="1"/>
  <c r="E48" i="1"/>
  <c r="O40" i="1"/>
  <c r="E47" i="1"/>
  <c r="M53" i="1"/>
  <c r="H5" i="1"/>
  <c r="E5" i="1"/>
  <c r="M9" i="1"/>
  <c r="C5" i="1"/>
  <c r="D4" i="1"/>
  <c r="D5" i="1" s="1"/>
  <c r="G9" i="1"/>
  <c r="AO23" i="2" l="1"/>
  <c r="AM23" i="2"/>
  <c r="AL23" i="2"/>
  <c r="O2" i="2"/>
  <c r="O13" i="2"/>
  <c r="O20" i="2"/>
  <c r="O8" i="2"/>
  <c r="O18" i="2"/>
  <c r="O3" i="2"/>
  <c r="O7" i="2"/>
  <c r="O4" i="2"/>
  <c r="O19" i="2"/>
  <c r="O21" i="2"/>
  <c r="O12" i="2"/>
  <c r="O15" i="2"/>
  <c r="O10" i="2"/>
  <c r="O14" i="2"/>
  <c r="O6" i="2"/>
  <c r="O16" i="2"/>
  <c r="O9" i="2"/>
  <c r="O5" i="2"/>
  <c r="O17" i="2"/>
  <c r="E44" i="1"/>
  <c r="F3" i="1"/>
  <c r="E49" i="1"/>
  <c r="F48" i="1"/>
  <c r="O23" i="2" l="1"/>
  <c r="G48" i="1"/>
  <c r="F49" i="1"/>
  <c r="G49" i="1" s="1"/>
  <c r="L9" i="1"/>
  <c r="K9" i="1"/>
  <c r="J9" i="1"/>
  <c r="F5" i="1"/>
</calcChain>
</file>

<file path=xl/sharedStrings.xml><?xml version="1.0" encoding="utf-8"?>
<sst xmlns="http://schemas.openxmlformats.org/spreadsheetml/2006/main" count="489" uniqueCount="193">
  <si>
    <t>CASHFLOW</t>
  </si>
  <si>
    <t>COMPANY</t>
  </si>
  <si>
    <t>PRICE</t>
  </si>
  <si>
    <t>MCAP</t>
  </si>
  <si>
    <t>SALES</t>
  </si>
  <si>
    <t>PROFIT</t>
  </si>
  <si>
    <t>F_EPS</t>
  </si>
  <si>
    <t>EQUITY</t>
  </si>
  <si>
    <t>RESERVE</t>
  </si>
  <si>
    <t>BORROWING</t>
  </si>
  <si>
    <t>LEASE</t>
  </si>
  <si>
    <t>FV</t>
  </si>
  <si>
    <t>CUR.ASSET</t>
  </si>
  <si>
    <t>CUR.LIABILITY</t>
  </si>
  <si>
    <t>ASSET</t>
  </si>
  <si>
    <t>LIABILITY</t>
  </si>
  <si>
    <t>TRADE REC</t>
  </si>
  <si>
    <t>CFO</t>
  </si>
  <si>
    <t>CFI</t>
  </si>
  <si>
    <t>CFF</t>
  </si>
  <si>
    <t>NETCASHFLOW</t>
  </si>
  <si>
    <t>PPE</t>
  </si>
  <si>
    <t>TTKPRESTIG</t>
  </si>
  <si>
    <t>LAST YEAR</t>
  </si>
  <si>
    <t>GROWTH</t>
  </si>
  <si>
    <t>LIQUIDITY</t>
  </si>
  <si>
    <t>SOLVENCY</t>
  </si>
  <si>
    <t>PROFITABILITY</t>
  </si>
  <si>
    <t>VALUATIONS</t>
  </si>
  <si>
    <t>SALES GROWTH</t>
  </si>
  <si>
    <t>PROFIT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</si>
  <si>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</si>
  <si>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</si>
  <si>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</si>
  <si>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</si>
  <si>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</si>
  <si>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</si>
  <si>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</si>
  <si>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</si>
  <si>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</si>
  <si>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F_PE</t>
  </si>
  <si>
    <t>YIELD</t>
  </si>
  <si>
    <t>BOOKVALUE</t>
  </si>
  <si>
    <t>PBV</t>
  </si>
  <si>
    <t>Actual</t>
  </si>
  <si>
    <t>Year</t>
  </si>
  <si>
    <t>Revenue</t>
  </si>
  <si>
    <t>Profit</t>
  </si>
  <si>
    <t>EPS</t>
  </si>
  <si>
    <t>Equity</t>
  </si>
  <si>
    <t>Reserve</t>
  </si>
  <si>
    <t>Debt</t>
  </si>
  <si>
    <t>HIghPrice</t>
  </si>
  <si>
    <t>LowPrice</t>
  </si>
  <si>
    <t>NPM</t>
  </si>
  <si>
    <t>HPE</t>
  </si>
  <si>
    <t>LOWPE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</si>
  <si>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</si>
  <si>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</si>
  <si>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</si>
  <si>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</si>
  <si>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</si>
  <si>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</si>
  <si>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</si>
  <si>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</si>
  <si>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</si>
  <si>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</si>
  <si>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</si>
  <si>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</si>
  <si>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</si>
  <si>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</si>
  <si>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</si>
  <si>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</si>
  <si>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</si>
  <si>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BuyBack</t>
  </si>
  <si>
    <t>FY_2018</t>
  </si>
  <si>
    <t>Bonus1:5</t>
  </si>
  <si>
    <t>FY_2019</t>
  </si>
  <si>
    <t>FY_2020</t>
  </si>
  <si>
    <t>FY_2021</t>
  </si>
  <si>
    <t>SPLIT 10:1</t>
  </si>
  <si>
    <t>FY_2022</t>
  </si>
  <si>
    <t>FY_2023</t>
  </si>
  <si>
    <t>Growth</t>
  </si>
  <si>
    <t>9M_RESULT_FY24</t>
  </si>
  <si>
    <t>9M_FY24</t>
  </si>
  <si>
    <t>9M_FY23</t>
  </si>
  <si>
    <t>RESULT_FY24</t>
  </si>
  <si>
    <t>H1_FY24</t>
  </si>
  <si>
    <t>H1_FY23</t>
  </si>
  <si>
    <t>20 Years</t>
  </si>
  <si>
    <t>10 Years</t>
  </si>
  <si>
    <t>FINANCE</t>
  </si>
  <si>
    <t>5 Years</t>
  </si>
  <si>
    <t>COST</t>
  </si>
  <si>
    <t>MARGIN</t>
  </si>
  <si>
    <t>Estimate</t>
  </si>
  <si>
    <t>Trend</t>
  </si>
  <si>
    <t>FY23</t>
  </si>
  <si>
    <t>Q1_FY24</t>
  </si>
  <si>
    <t>EST_FY24</t>
  </si>
  <si>
    <t>Projected</t>
  </si>
  <si>
    <t>LongTerm</t>
  </si>
  <si>
    <t>Sales</t>
  </si>
  <si>
    <t>Current</t>
  </si>
  <si>
    <t>Shortterm</t>
  </si>
  <si>
    <t>MAJORCOST</t>
  </si>
  <si>
    <t>SHARE</t>
  </si>
  <si>
    <t>SEGMENT</t>
  </si>
  <si>
    <t>Expectation</t>
  </si>
  <si>
    <t>FairValue</t>
  </si>
  <si>
    <t>STOCKINTRADE</t>
  </si>
  <si>
    <t>COOKERS</t>
  </si>
  <si>
    <t>FY_2024</t>
  </si>
  <si>
    <t>TRAILEPS</t>
  </si>
  <si>
    <t>Q4</t>
  </si>
  <si>
    <t>Q1</t>
  </si>
  <si>
    <t>Q2</t>
  </si>
  <si>
    <t>Q3</t>
  </si>
  <si>
    <t>EPS_2024</t>
  </si>
  <si>
    <t>MATERIAL</t>
  </si>
  <si>
    <t>COOKWARE</t>
  </si>
  <si>
    <t>FY_2030</t>
  </si>
  <si>
    <t>OTHER COST</t>
  </si>
  <si>
    <t>APPLIANCES</t>
  </si>
  <si>
    <t>FY_2035</t>
  </si>
  <si>
    <t>EMPLOYEE</t>
  </si>
  <si>
    <t>OTHERS</t>
  </si>
  <si>
    <t>PEG</t>
  </si>
  <si>
    <t>D&amp;A</t>
  </si>
  <si>
    <t>TOTAL</t>
  </si>
  <si>
    <t>PE</t>
  </si>
  <si>
    <t>TRAILPE</t>
  </si>
  <si>
    <t>INVENTORY</t>
  </si>
  <si>
    <t>Investors</t>
  </si>
  <si>
    <t>Promoters</t>
  </si>
  <si>
    <t>MF, INSURANCE, AIF</t>
  </si>
  <si>
    <t>FPI</t>
  </si>
  <si>
    <t>RETAIL</t>
  </si>
  <si>
    <t>Security Code</t>
  </si>
  <si>
    <t>CMP</t>
  </si>
  <si>
    <t>MARKETCAP</t>
  </si>
  <si>
    <t>CUR ASSET</t>
  </si>
  <si>
    <t>CUR LIABILITY</t>
  </si>
  <si>
    <t>TOT. ASSET</t>
  </si>
  <si>
    <t>TOT. LIABILITY</t>
  </si>
  <si>
    <t>TOT. EQUITY</t>
  </si>
  <si>
    <t xml:space="preserve">TRADE REC. </t>
  </si>
  <si>
    <t>TRAIL_EPS</t>
  </si>
  <si>
    <t>Com. weightage</t>
  </si>
  <si>
    <t>SALES_18</t>
  </si>
  <si>
    <t>SALES_23</t>
  </si>
  <si>
    <t>PROFIT_23</t>
  </si>
  <si>
    <t>9M_FY24_SALES</t>
  </si>
  <si>
    <t>9M_FY23_SALES</t>
  </si>
  <si>
    <t>9M_FY24_PROFIT</t>
  </si>
  <si>
    <t>9M_FY23_PROFIT</t>
  </si>
  <si>
    <t>EXPENSE</t>
  </si>
  <si>
    <t>CY_SALES GR</t>
  </si>
  <si>
    <t>CY_PRPFIT_GR</t>
  </si>
  <si>
    <t>SALES_5Y_GR</t>
  </si>
  <si>
    <t>MARGIN_23</t>
  </si>
  <si>
    <t>CY_MARGIN</t>
  </si>
  <si>
    <t>CUR. RATIO</t>
  </si>
  <si>
    <t>TR.DAYS</t>
  </si>
  <si>
    <t>TRAIL_PE</t>
  </si>
  <si>
    <t>VOLTAS</t>
  </si>
  <si>
    <t>N.A.</t>
  </si>
  <si>
    <t>BLUESTARCO</t>
  </si>
  <si>
    <t>CROMPTON</t>
  </si>
  <si>
    <t>WHIRLPOOL</t>
  </si>
  <si>
    <t>VGUARD</t>
  </si>
  <si>
    <t>AMBER</t>
  </si>
  <si>
    <t>BAJAJELEC</t>
  </si>
  <si>
    <t>EUREKAFORBE</t>
  </si>
  <si>
    <t>IFBIND</t>
  </si>
  <si>
    <t>ORIENTELEC</t>
  </si>
  <si>
    <t>JCHAC</t>
  </si>
  <si>
    <t>CARYSIL</t>
  </si>
  <si>
    <t>STOVEKRAFT</t>
  </si>
  <si>
    <t>BUTTERFLY</t>
  </si>
  <si>
    <t>ELIN</t>
  </si>
  <si>
    <t xml:space="preserve"> </t>
  </si>
  <si>
    <t>WEL</t>
  </si>
  <si>
    <t>FORBESCO</t>
  </si>
  <si>
    <t>SINGER</t>
  </si>
  <si>
    <t>JAIPAN</t>
  </si>
  <si>
    <t>INDUSTRY</t>
  </si>
  <si>
    <t>Total Electronics Market, Value in INR Billion, India, FY18-FY26E</t>
  </si>
  <si>
    <t>Overview of Electronics Industry - Domestic Consumption Vs Production, Value in INR Billion, India, FY21 and FY26E</t>
  </si>
  <si>
    <t>industry</t>
  </si>
  <si>
    <t>OTHER-12</t>
  </si>
  <si>
    <t>LIUIDITY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</si>
</sst>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0.0%"/>
    <numFmt numFmtId="166" formatCode="#,##0.0"/>
    <numFmt numFmtId="167" formatCode="0.000"/>
    <numFmt numFmtId="168" formatCode="&quot;Rs.&quot;\ #,##0.00;[Red]&quot;Rs.&quot;\ \-#,##0.00"/>
  </numFmts>
  <fonts count="22">
    <font>
      <sz val="10"/>
      <color rgb="FF000000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Calibri"/>
      <scheme val="minor"/>
    </font>
    <font>
      <sz val="11"/>
      <color rgb="FFFFFFFF"/>
      <name val="Arial"/>
    </font>
    <font>
      <u/>
      <sz val="10"/>
      <color rgb="FF0089D0"/>
      <name val="MyFirstFont"/>
    </font>
    <font>
      <sz val="11"/>
      <color theme="1"/>
      <name val="Arial"/>
    </font>
    <font>
      <b/>
      <i/>
      <sz val="11"/>
      <color theme="1"/>
      <name val="Arial"/>
    </font>
    <font>
      <sz val="11"/>
      <color theme="0"/>
      <name val="Calibri"/>
    </font>
    <font>
      <sz val="11"/>
      <color rgb="FFFF0000"/>
      <name val="Calibri"/>
    </font>
    <font>
      <sz val="11"/>
      <color rgb="FF000000"/>
      <name val="Calibri"/>
    </font>
    <font>
      <i/>
      <sz val="11"/>
      <color rgb="FF000000"/>
      <name val="Calibri"/>
    </font>
    <font>
      <i/>
      <sz val="11"/>
      <color theme="1"/>
      <name val="Calibri"/>
    </font>
    <font>
      <sz val="24"/>
      <color theme="1"/>
      <name val="Calibri"/>
      <scheme val="minor"/>
    </font>
    <font>
      <sz val="10"/>
      <name val="Arial"/>
    </font>
    <font>
      <b/>
      <sz val="14"/>
      <color theme="1"/>
      <name val="Calibri"/>
      <scheme val="minor"/>
    </font>
    <font>
      <sz val="10"/>
      <color rgb="FFFFFFFF"/>
      <name val="Calibri"/>
      <scheme val="minor"/>
    </font>
    <font>
      <b/>
      <sz val="10"/>
      <color rgb="FFFFFFFF"/>
      <name val="Arial"/>
    </font>
    <font>
      <b/>
      <sz val="10"/>
      <color theme="1"/>
      <name val="Calibri"/>
      <scheme val="minor"/>
    </font>
    <font>
      <sz val="10"/>
      <color rgb="FFFFFFFF"/>
      <name val="Arial"/>
    </font>
    <font>
      <sz val="10"/>
      <color theme="1"/>
      <name val="Arial"/>
    </font>
    <font>
      <i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073763"/>
        <bgColor rgb="FF073763"/>
      </patternFill>
    </fill>
    <fill>
      <patternFill patternType="solid">
        <fgColor rgb="FF4C1130"/>
        <bgColor rgb="FF4C113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" fontId="6" fillId="0" borderId="0" xfId="0" applyNumberFormat="1" applyFont="1"/>
    <xf numFmtId="0" fontId="7" fillId="3" borderId="2" xfId="0" applyFont="1" applyFill="1" applyBorder="1"/>
    <xf numFmtId="9" fontId="7" fillId="3" borderId="2" xfId="0" applyNumberFormat="1" applyFont="1" applyFill="1" applyBorder="1"/>
    <xf numFmtId="9" fontId="7" fillId="3" borderId="1" xfId="0" applyNumberFormat="1" applyFont="1" applyFill="1" applyBorder="1"/>
    <xf numFmtId="0" fontId="4" fillId="2" borderId="0" xfId="0" applyFont="1" applyFill="1"/>
    <xf numFmtId="9" fontId="3" fillId="0" borderId="0" xfId="0" applyNumberFormat="1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9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9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right"/>
    </xf>
    <xf numFmtId="2" fontId="3" fillId="0" borderId="0" xfId="0" applyNumberFormat="1" applyFont="1"/>
    <xf numFmtId="0" fontId="10" fillId="0" borderId="1" xfId="0" applyFont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1" fontId="10" fillId="0" borderId="1" xfId="0" applyNumberFormat="1" applyFont="1" applyBorder="1" applyAlignment="1">
      <alignment horizontal="right"/>
    </xf>
    <xf numFmtId="1" fontId="10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3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" fontId="3" fillId="0" borderId="0" xfId="0" applyNumberFormat="1" applyFont="1"/>
    <xf numFmtId="167" fontId="1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11" fillId="5" borderId="1" xfId="0" applyFont="1" applyFill="1" applyBorder="1" applyAlignment="1">
      <alignment horizontal="left"/>
    </xf>
    <xf numFmtId="9" fontId="12" fillId="5" borderId="1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1" fontId="10" fillId="0" borderId="1" xfId="0" applyNumberFormat="1" applyFont="1" applyBorder="1" applyAlignment="1">
      <alignment horizontal="right" vertical="center" wrapText="1"/>
    </xf>
    <xf numFmtId="9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9" fontId="11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9" fontId="1" fillId="0" borderId="1" xfId="0" applyNumberFormat="1" applyFont="1" applyBorder="1" applyAlignment="1">
      <alignment horizontal="right"/>
    </xf>
    <xf numFmtId="168" fontId="3" fillId="0" borderId="0" xfId="0" applyNumberFormat="1" applyFont="1"/>
    <xf numFmtId="166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9" fontId="12" fillId="0" borderId="1" xfId="0" applyNumberFormat="1" applyFont="1" applyBorder="1"/>
    <xf numFmtId="165" fontId="12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3" fillId="3" borderId="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4" fillId="0" borderId="4" xfId="0" applyFont="1" applyBorder="1"/>
    <xf numFmtId="1" fontId="3" fillId="0" borderId="1" xfId="0" applyNumberFormat="1" applyFont="1" applyBorder="1" applyAlignment="1">
      <alignment horizontal="center"/>
    </xf>
    <xf numFmtId="0" fontId="14" fillId="0" borderId="5" xfId="0" applyFont="1" applyBorder="1"/>
    <xf numFmtId="2" fontId="2" fillId="6" borderId="1" xfId="0" applyNumberFormat="1" applyFont="1" applyFill="1" applyBorder="1"/>
    <xf numFmtId="1" fontId="2" fillId="6" borderId="6" xfId="0" applyNumberFormat="1" applyFont="1" applyFill="1" applyBorder="1" applyAlignment="1">
      <alignment horizontal="right"/>
    </xf>
    <xf numFmtId="164" fontId="2" fillId="6" borderId="6" xfId="0" applyNumberFormat="1" applyFont="1" applyFill="1" applyBorder="1"/>
    <xf numFmtId="2" fontId="1" fillId="0" borderId="5" xfId="0" applyNumberFormat="1" applyFont="1" applyBorder="1"/>
    <xf numFmtId="9" fontId="1" fillId="0" borderId="7" xfId="0" applyNumberFormat="1" applyFont="1" applyBorder="1" applyAlignment="1">
      <alignment horizontal="right"/>
    </xf>
    <xf numFmtId="0" fontId="1" fillId="0" borderId="5" xfId="0" applyFont="1" applyBorder="1"/>
    <xf numFmtId="0" fontId="1" fillId="5" borderId="8" xfId="0" applyFont="1" applyFill="1" applyBorder="1"/>
    <xf numFmtId="0" fontId="2" fillId="5" borderId="0" xfId="0" applyFont="1" applyFill="1"/>
    <xf numFmtId="9" fontId="2" fillId="5" borderId="0" xfId="0" applyNumberFormat="1" applyFont="1" applyFill="1" applyAlignment="1">
      <alignment horizontal="right"/>
    </xf>
    <xf numFmtId="9" fontId="2" fillId="0" borderId="7" xfId="0" applyNumberFormat="1" applyFont="1" applyBorder="1" applyAlignment="1">
      <alignment horizontal="right"/>
    </xf>
    <xf numFmtId="0" fontId="15" fillId="0" borderId="0" xfId="0" applyFont="1"/>
    <xf numFmtId="0" fontId="16" fillId="7" borderId="1" xfId="0" applyFont="1" applyFill="1" applyBorder="1"/>
    <xf numFmtId="0" fontId="17" fillId="8" borderId="1" xfId="0" applyFont="1" applyFill="1" applyBorder="1" applyAlignment="1">
      <alignment horizontal="center"/>
    </xf>
    <xf numFmtId="0" fontId="10" fillId="0" borderId="1" xfId="0" applyFont="1" applyBorder="1"/>
    <xf numFmtId="10" fontId="3" fillId="0" borderId="1" xfId="0" applyNumberFormat="1" applyFont="1" applyBorder="1"/>
    <xf numFmtId="2" fontId="3" fillId="0" borderId="1" xfId="0" applyNumberFormat="1" applyFont="1" applyBorder="1"/>
    <xf numFmtId="0" fontId="18" fillId="0" borderId="1" xfId="0" applyFont="1" applyBorder="1"/>
    <xf numFmtId="1" fontId="18" fillId="0" borderId="1" xfId="0" applyNumberFormat="1" applyFont="1" applyBorder="1"/>
    <xf numFmtId="10" fontId="18" fillId="0" borderId="1" xfId="0" applyNumberFormat="1" applyFont="1" applyBorder="1"/>
    <xf numFmtId="2" fontId="18" fillId="0" borderId="1" xfId="0" applyNumberFormat="1" applyFont="1" applyBorder="1"/>
    <xf numFmtId="0" fontId="17" fillId="7" borderId="9" xfId="0" applyFont="1" applyFill="1" applyBorder="1"/>
    <xf numFmtId="0" fontId="17" fillId="7" borderId="0" xfId="0" applyFont="1" applyFill="1"/>
    <xf numFmtId="0" fontId="19" fillId="7" borderId="0" xfId="0" applyFont="1" applyFill="1"/>
    <xf numFmtId="0" fontId="1" fillId="0" borderId="0" xfId="0" applyFont="1"/>
    <xf numFmtId="1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" fillId="0" borderId="8" xfId="0" applyFont="1" applyBorder="1"/>
    <xf numFmtId="1" fontId="20" fillId="0" borderId="8" xfId="0" applyNumberFormat="1" applyFont="1" applyBorder="1" applyAlignment="1">
      <alignment horizontal="right"/>
    </xf>
    <xf numFmtId="0" fontId="20" fillId="0" borderId="8" xfId="0" applyFont="1" applyBorder="1" applyAlignment="1">
      <alignment horizontal="right"/>
    </xf>
    <xf numFmtId="0" fontId="21" fillId="3" borderId="2" xfId="0" applyFont="1" applyFill="1" applyBorder="1"/>
    <xf numFmtId="1" fontId="21" fillId="3" borderId="2" xfId="0" applyNumberFormat="1" applyFont="1" applyFill="1" applyBorder="1" applyAlignment="1">
      <alignment horizontal="right"/>
    </xf>
    <xf numFmtId="0" fontId="20" fillId="0" borderId="0" xfId="0" applyFont="1"/>
    <xf numFmtId="0" fontId="19" fillId="7" borderId="9" xfId="0" applyFont="1" applyFill="1" applyBorder="1"/>
    <xf numFmtId="0" fontId="19" fillId="7" borderId="1" xfId="0" applyFont="1" applyFill="1" applyBorder="1"/>
    <xf numFmtId="165" fontId="20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center"/>
    </xf>
    <xf numFmtId="165" fontId="20" fillId="0" borderId="8" xfId="0" applyNumberFormat="1" applyFont="1" applyBorder="1" applyAlignment="1">
      <alignment horizontal="right"/>
    </xf>
    <xf numFmtId="9" fontId="21" fillId="3" borderId="2" xfId="0" applyNumberFormat="1" applyFont="1" applyFill="1" applyBorder="1" applyAlignment="1">
      <alignment horizontal="right"/>
    </xf>
    <xf numFmtId="165" fontId="21" fillId="3" borderId="2" xfId="0" applyNumberFormat="1" applyFont="1" applyFill="1" applyBorder="1" applyAlignment="1">
      <alignment horizontal="right"/>
    </xf>
    <xf numFmtId="10" fontId="20" fillId="0" borderId="0" xfId="0" applyNumberFormat="1" applyFont="1" applyAlignment="1">
      <alignment horizontal="right"/>
    </xf>
    <xf numFmtId="2" fontId="20" fillId="0" borderId="7" xfId="0" applyNumberFormat="1" applyFont="1" applyBorder="1" applyAlignment="1">
      <alignment horizontal="right"/>
    </xf>
    <xf numFmtId="1" fontId="20" fillId="0" borderId="7" xfId="0" applyNumberFormat="1" applyFont="1" applyBorder="1" applyAlignment="1">
      <alignment horizontal="right"/>
    </xf>
    <xf numFmtId="10" fontId="20" fillId="0" borderId="8" xfId="0" applyNumberFormat="1" applyFont="1" applyBorder="1" applyAlignment="1">
      <alignment horizontal="right"/>
    </xf>
    <xf numFmtId="10" fontId="20" fillId="0" borderId="7" xfId="0" applyNumberFormat="1" applyFont="1" applyBorder="1" applyAlignment="1">
      <alignment horizontal="right"/>
    </xf>
    <xf numFmtId="165" fontId="3" fillId="0" borderId="0" xfId="0" applyNumberFormat="1" applyFont="1"/>
    <xf numFmtId="165" fontId="21" fillId="3" borderId="2" xfId="0" applyNumberFormat="1" applyFont="1" applyFill="1" applyBorder="1"/>
  </cellXfs>
  <cellStyles count="1">
    <cellStyle name="Normal" xfId="0" builtinId="0"/>
  </cellStyles>
  <dxfs count="9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 defaultTableStyle="TableStyleMedium2" defaultPivotStyle="PivotStyleLight16">
    <tableStyle name="Copy of  Household Appliances-style" pivot="0" count="3" xr9:uid="{A66AC6BE-72E8-468F-B7BE-5391748A173A}">
      <tableStyleElement type="headerRow" dxfId="8"/>
      <tableStyleElement type="firstRowStripe" dxfId="7"/>
      <tableStyleElement type="secondRowStripe" dxfId="6"/>
    </tableStyle>
    <tableStyle name="Copy of  Household Appliances-style 2" pivot="0" count="3" xr9:uid="{BF0CEF2A-67C3-4793-928A-11B05E981FCB}">
      <tableStyleElement type="headerRow" dxfId="5"/>
      <tableStyleElement type="firstRowStripe" dxfId="4"/>
      <tableStyleElement type="secondRowStripe" dxfId="3"/>
    </tableStyle>
    <tableStyle name="Copy of  Household Appliances-style 3" pivot="0" count="3" xr9:uid="{CD45359F-A04F-4D8C-8172-341DF906A6EF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'Copy of  Household Appliances'!$C$57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D50-40A2-AB80-D74B515EF64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9D50-40A2-AB80-D74B515EF64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9D50-40A2-AB80-D74B515EF64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9D50-40A2-AB80-D74B515EF64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9D50-40A2-AB80-D74B515EF64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9D50-40A2-AB80-D74B515EF64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9D50-40A2-AB80-D74B515EF64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9D50-40A2-AB80-D74B515EF648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9D50-40A2-AB80-D74B515EF6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'Copy of  Household Appliances'!$B$58:$B$66</c:f>
              <c:strCache>
                <c:ptCount val="9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OTHER-12</c:v>
                </c:pt>
              </c:strCache>
            </c:strRef>
          </c:cat>
          <c:val>
            <c:numRef>
              <c:f>'Copy of  Household Appliances'!$C$58:$C$66</c:f>
              <c:numCache>
                <c:formatCode>0</c:formatCode>
                <c:ptCount val="9"/>
                <c:pt idx="0">
                  <c:v>36203.750258300002</c:v>
                </c:pt>
                <c:pt idx="1">
                  <c:v>26606.555120000001</c:v>
                </c:pt>
                <c:pt idx="2">
                  <c:v>18749.298936200001</c:v>
                </c:pt>
                <c:pt idx="3">
                  <c:v>16134.2861865</c:v>
                </c:pt>
                <c:pt idx="4">
                  <c:v>13501.934380000001</c:v>
                </c:pt>
                <c:pt idx="5">
                  <c:v>13056.489008099999</c:v>
                </c:pt>
                <c:pt idx="6">
                  <c:v>11555.655391</c:v>
                </c:pt>
                <c:pt idx="7">
                  <c:v>10533.963499699999</c:v>
                </c:pt>
                <c:pt idx="8">
                  <c:v>9367.2953498999996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50-40A2-AB80-D74B515E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ICR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Appliances'!$F$157:$F$170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'Copy of  Household Appliances'!$G$157:$G$170</c:f>
              <c:numCache>
                <c:formatCode>0</c:formatCode>
                <c:ptCount val="14"/>
                <c:pt idx="0" formatCode="General">
                  <c:v>0</c:v>
                </c:pt>
                <c:pt idx="1">
                  <c:v>14.931034482758621</c:v>
                </c:pt>
                <c:pt idx="2">
                  <c:v>7.418181818181818</c:v>
                </c:pt>
                <c:pt idx="3">
                  <c:v>5.7247706422018352</c:v>
                </c:pt>
                <c:pt idx="4">
                  <c:v>20.8</c:v>
                </c:pt>
                <c:pt idx="5">
                  <c:v>16</c:v>
                </c:pt>
                <c:pt idx="6">
                  <c:v>2.4910714285714284</c:v>
                </c:pt>
                <c:pt idx="7">
                  <c:v>17.625</c:v>
                </c:pt>
                <c:pt idx="8">
                  <c:v>38.25</c:v>
                </c:pt>
                <c:pt idx="9">
                  <c:v>4.4000000000000004</c:v>
                </c:pt>
                <c:pt idx="10">
                  <c:v>1.3793103448275863</c:v>
                </c:pt>
                <c:pt idx="11">
                  <c:v>4.4090909090909092</c:v>
                </c:pt>
                <c:pt idx="12">
                  <c:v>-12.6</c:v>
                </c:pt>
                <c:pt idx="13">
                  <c:v>5.7142857142857144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A1-4897-8561-BE372E9F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535046"/>
        <c:axId val="1451945644"/>
      </c:barChart>
      <c:catAx>
        <c:axId val="13825350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51945644"/>
        <c:crosses val="autoZero"/>
        <c:auto val="1"/>
        <c:lblAlgn val="ctr"/>
        <c:lblOffset val="100"/>
        <c:noMultiLvlLbl val="1"/>
      </c:catAx>
      <c:valAx>
        <c:axId val="14519456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253504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Appliances'!$K$157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Appliances'!$J$158:$J$170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Appliances'!$K$158:$K$170</c:f>
              <c:numCache>
                <c:formatCode>0.00</c:formatCode>
                <c:ptCount val="13"/>
                <c:pt idx="0">
                  <c:v>0.42501123887351522</c:v>
                </c:pt>
                <c:pt idx="1">
                  <c:v>0.61084879164160955</c:v>
                </c:pt>
                <c:pt idx="2">
                  <c:v>0.44855138455571986</c:v>
                </c:pt>
                <c:pt idx="3">
                  <c:v>0.32427043683161139</c:v>
                </c:pt>
                <c:pt idx="4">
                  <c:v>0.43086722095564106</c:v>
                </c:pt>
                <c:pt idx="5">
                  <c:v>0.56748002591232993</c:v>
                </c:pt>
                <c:pt idx="6">
                  <c:v>0.64404541853710062</c:v>
                </c:pt>
                <c:pt idx="7">
                  <c:v>0.2719881744271988</c:v>
                </c:pt>
                <c:pt idx="8">
                  <c:v>0.31664478003939595</c:v>
                </c:pt>
                <c:pt idx="9">
                  <c:v>0.68773774842864477</c:v>
                </c:pt>
                <c:pt idx="10">
                  <c:v>0.49927160564159745</c:v>
                </c:pt>
                <c:pt idx="11">
                  <c:v>0.52926421404682278</c:v>
                </c:pt>
                <c:pt idx="12">
                  <c:v>0.55838926174496639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774-4A71-9493-8FA3BBD0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067227"/>
        <c:axId val="62461119"/>
      </c:barChart>
      <c:catAx>
        <c:axId val="4430672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461119"/>
        <c:crosses val="autoZero"/>
        <c:auto val="1"/>
        <c:lblAlgn val="ctr"/>
        <c:lblOffset val="100"/>
        <c:noMultiLvlLbl val="1"/>
      </c:catAx>
      <c:valAx>
        <c:axId val="6246111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306722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Appliances'!$B$191:$B$204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'Copy of  Household Appliances'!$C$191:$C$204</c:f>
              <c:numCache>
                <c:formatCode>0.00%</c:formatCode>
                <c:ptCount val="14"/>
                <c:pt idx="0" formatCode="General">
                  <c:v>0</c:v>
                </c:pt>
                <c:pt idx="1">
                  <c:v>2.3629243273484167E-2</c:v>
                </c:pt>
                <c:pt idx="2">
                  <c:v>0.16981748865406907</c:v>
                </c:pt>
                <c:pt idx="3">
                  <c:v>0.14913236360667986</c:v>
                </c:pt>
                <c:pt idx="4">
                  <c:v>5.9833646364368123E-2</c:v>
                </c:pt>
                <c:pt idx="5">
                  <c:v>0.11232949986627441</c:v>
                </c:pt>
                <c:pt idx="6">
                  <c:v>8.1377933100349478E-2</c:v>
                </c:pt>
                <c:pt idx="7">
                  <c:v>0.16226415094339622</c:v>
                </c:pt>
                <c:pt idx="8">
                  <c:v>0.13003569607343193</c:v>
                </c:pt>
                <c:pt idx="9">
                  <c:v>5.0444391064136439E-3</c:v>
                </c:pt>
                <c:pt idx="10">
                  <c:v>2.1831518891541016E-2</c:v>
                </c:pt>
                <c:pt idx="11">
                  <c:v>0.1235250138152976</c:v>
                </c:pt>
                <c:pt idx="12">
                  <c:v>-0.15327102803738318</c:v>
                </c:pt>
                <c:pt idx="13">
                  <c:v>0.1580547112462006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E4D-46E4-87BB-6264100B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010715"/>
        <c:axId val="1599068773"/>
      </c:barChart>
      <c:lineChart>
        <c:grouping val="standard"/>
        <c:varyColors val="0"/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Appliances'!$B$191:$B$204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'Copy of  Household Appliances'!$D$191:$D$204</c:f>
              <c:numCache>
                <c:formatCode>0.00%</c:formatCode>
                <c:ptCount val="14"/>
                <c:pt idx="0" formatCode="General">
                  <c:v>0</c:v>
                </c:pt>
                <c:pt idx="1">
                  <c:v>1.3586549316176985E-2</c:v>
                </c:pt>
                <c:pt idx="2">
                  <c:v>6.6084680910118224E-2</c:v>
                </c:pt>
                <c:pt idx="3">
                  <c:v>8.2238835428836574E-2</c:v>
                </c:pt>
                <c:pt idx="4">
                  <c:v>4.0420518397679898E-2</c:v>
                </c:pt>
                <c:pt idx="5">
                  <c:v>6.3930400427555698E-2</c:v>
                </c:pt>
                <c:pt idx="6">
                  <c:v>3.5197581515871303E-2</c:v>
                </c:pt>
                <c:pt idx="7">
                  <c:v>5.6773171375759178E-2</c:v>
                </c:pt>
                <c:pt idx="8">
                  <c:v>9.4235033259423506E-2</c:v>
                </c:pt>
                <c:pt idx="9">
                  <c:v>3.4471437951411688E-3</c:v>
                </c:pt>
                <c:pt idx="10">
                  <c:v>6.8171592442951741E-3</c:v>
                </c:pt>
                <c:pt idx="11">
                  <c:v>6.1852481830833458E-2</c:v>
                </c:pt>
                <c:pt idx="12">
                  <c:v>-6.8561872909698993E-2</c:v>
                </c:pt>
                <c:pt idx="13">
                  <c:v>6.9798657718120799E-2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D-46E4-87BB-6264100B9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010715"/>
        <c:axId val="1599068773"/>
      </c:lineChart>
      <c:catAx>
        <c:axId val="6970107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99068773"/>
        <c:crosses val="autoZero"/>
        <c:auto val="1"/>
        <c:lblAlgn val="ctr"/>
        <c:lblOffset val="100"/>
        <c:noMultiLvlLbl val="1"/>
      </c:catAx>
      <c:valAx>
        <c:axId val="15990687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70107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Appliances'!$H$191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Appliances'!$G$192:$G$204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Appliances'!$H$192:$H$204</c:f>
              <c:numCache>
                <c:formatCode>0</c:formatCode>
                <c:ptCount val="13"/>
                <c:pt idx="0">
                  <c:v>129.65517241379311</c:v>
                </c:pt>
                <c:pt idx="1">
                  <c:v>52.853648593558908</c:v>
                </c:pt>
                <c:pt idx="2">
                  <c:v>44.634703196347033</c:v>
                </c:pt>
                <c:pt idx="3">
                  <c:v>81.744708146247604</c:v>
                </c:pt>
                <c:pt idx="4">
                  <c:v>57.947761194029852</c:v>
                </c:pt>
                <c:pt idx="5">
                  <c:v>92.366050260787105</c:v>
                </c:pt>
                <c:pt idx="6">
                  <c:v>75.570570570570567</c:v>
                </c:pt>
                <c:pt idx="7">
                  <c:v>45.589480048367591</c:v>
                </c:pt>
                <c:pt idx="8">
                  <c:v>97.620481927710827</c:v>
                </c:pt>
                <c:pt idx="9">
                  <c:v>197.00854700854703</c:v>
                </c:pt>
                <c:pt idx="10">
                  <c:v>51.507352941176471</c:v>
                </c:pt>
                <c:pt idx="11">
                  <c:v>-24.771595583459625</c:v>
                </c:pt>
                <c:pt idx="12">
                  <c:v>44.08038444735692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96E-4FA4-8B7E-8775426A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726415"/>
        <c:axId val="520975374"/>
      </c:barChart>
      <c:lineChart>
        <c:grouping val="standard"/>
        <c:varyColors val="0"/>
        <c:ser>
          <c:idx val="1"/>
          <c:order val="1"/>
          <c:tx>
            <c:strRef>
              <c:f>'Copy of  Household Appliances'!$I$191</c:f>
              <c:strCache>
                <c:ptCount val="1"/>
                <c:pt idx="0">
                  <c:v>PBV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Appliances'!$G$192:$G$204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Appliances'!$I$192:$I$204</c:f>
              <c:numCache>
                <c:formatCode>0</c:formatCode>
                <c:ptCount val="13"/>
                <c:pt idx="0">
                  <c:v>6.2312231155396933</c:v>
                </c:pt>
                <c:pt idx="1">
                  <c:v>11.1224865329489</c:v>
                </c:pt>
                <c:pt idx="2">
                  <c:v>5.6660787263968695</c:v>
                </c:pt>
                <c:pt idx="3">
                  <c:v>4.1995018162947586</c:v>
                </c:pt>
                <c:pt idx="4">
                  <c:v>7.801442725534506</c:v>
                </c:pt>
                <c:pt idx="5">
                  <c:v>6.314734774066797</c:v>
                </c:pt>
                <c:pt idx="6">
                  <c:v>8.5874629080118687</c:v>
                </c:pt>
                <c:pt idx="7">
                  <c:v>4.9658814589665656</c:v>
                </c:pt>
                <c:pt idx="8">
                  <c:v>2.1539703856749313</c:v>
                </c:pt>
                <c:pt idx="9">
                  <c:v>7.8381899060903955</c:v>
                </c:pt>
                <c:pt idx="10">
                  <c:v>7.04461357210179</c:v>
                </c:pt>
                <c:pt idx="11">
                  <c:v>5.4970462633451964</c:v>
                </c:pt>
                <c:pt idx="12">
                  <c:v>7.5523952095808387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E-4FA4-8B7E-8775426A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726415"/>
        <c:axId val="520975374"/>
      </c:lineChart>
      <c:catAx>
        <c:axId val="1092726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0975374"/>
        <c:crosses val="autoZero"/>
        <c:auto val="1"/>
        <c:lblAlgn val="ctr"/>
        <c:lblOffset val="100"/>
        <c:noMultiLvlLbl val="1"/>
      </c:catAx>
      <c:valAx>
        <c:axId val="5209753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27264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Appliances'!$M$191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Appliances'!$L$192:$L$204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Appliances'!$M$192:$M$204</c:f>
              <c:numCache>
                <c:formatCode>0.0%</c:formatCode>
                <c:ptCount val="13"/>
                <c:pt idx="0">
                  <c:v>7.7127659574468084E-3</c:v>
                </c:pt>
                <c:pt idx="1">
                  <c:v>1.8920169687620517E-2</c:v>
                </c:pt>
                <c:pt idx="2">
                  <c:v>2.2404092071611256E-2</c:v>
                </c:pt>
                <c:pt idx="3">
                  <c:v>1.223320778405524E-2</c:v>
                </c:pt>
                <c:pt idx="4">
                  <c:v>1.7256922086284609E-2</c:v>
                </c:pt>
                <c:pt idx="5">
                  <c:v>1.0826488706365503E-2</c:v>
                </c:pt>
                <c:pt idx="6">
                  <c:v>1.3232664414861912E-2</c:v>
                </c:pt>
                <c:pt idx="7">
                  <c:v>2.1934884954578609E-2</c:v>
                </c:pt>
                <c:pt idx="8">
                  <c:v>1.0243751928417156E-2</c:v>
                </c:pt>
                <c:pt idx="9">
                  <c:v>5.0759219088937092E-3</c:v>
                </c:pt>
                <c:pt idx="10">
                  <c:v>1.9414703783012133E-2</c:v>
                </c:pt>
                <c:pt idx="11">
                  <c:v>-4.0368816640447468E-2</c:v>
                </c:pt>
                <c:pt idx="12">
                  <c:v>2.2685827552031714E-2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A7D-4955-A32F-2F2DBB7E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944294"/>
        <c:axId val="1290213140"/>
      </c:barChart>
      <c:catAx>
        <c:axId val="14319442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0213140"/>
        <c:crosses val="autoZero"/>
        <c:auto val="1"/>
        <c:lblAlgn val="ctr"/>
        <c:lblOffset val="100"/>
        <c:noMultiLvlLbl val="1"/>
      </c:catAx>
      <c:valAx>
        <c:axId val="12902131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3194429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HOUSEHOLD APPLIANCES 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8CE-4B50-BD01-D5BC012EB2E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8CE-4B50-BD01-D5BC012EB2E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8CE-4B50-BD01-D5BC012EB2E6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8CE-4B50-BD01-D5BC012EB2E6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08CE-4B50-BD01-D5BC012EB2E6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08CE-4B50-BD01-D5BC012EB2E6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08CE-4B50-BD01-D5BC012EB2E6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08CE-4B50-BD01-D5BC012EB2E6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08CE-4B50-BD01-D5BC012EB2E6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08CE-4B50-BD01-D5BC012EB2E6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08CE-4B50-BD01-D5BC012EB2E6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08CE-4B50-BD01-D5BC012EB2E6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08CE-4B50-BD01-D5BC012EB2E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'Copy of  Household Appliances'!$F$57:$F$70</c:f>
              <c:strCache>
                <c:ptCount val="14"/>
                <c:pt idx="0">
                  <c:v>COMPANY</c:v>
                </c:pt>
                <c:pt idx="1">
                  <c:v>VOLTAS</c:v>
                </c:pt>
                <c:pt idx="2">
                  <c:v>BLUESTARCO</c:v>
                </c:pt>
                <c:pt idx="3">
                  <c:v>CROMPTON</c:v>
                </c:pt>
                <c:pt idx="4">
                  <c:v>WHIRLPOOL</c:v>
                </c:pt>
                <c:pt idx="5">
                  <c:v>VGUARD</c:v>
                </c:pt>
                <c:pt idx="6">
                  <c:v>AMBER</c:v>
                </c:pt>
                <c:pt idx="7">
                  <c:v>BAJAJELEC</c:v>
                </c:pt>
                <c:pt idx="8">
                  <c:v>TTKPRESTIG</c:v>
                </c:pt>
                <c:pt idx="9">
                  <c:v>EUREKAFORBE</c:v>
                </c:pt>
                <c:pt idx="10">
                  <c:v>IFBIND</c:v>
                </c:pt>
                <c:pt idx="11">
                  <c:v>ORIENTELEC</c:v>
                </c:pt>
                <c:pt idx="12">
                  <c:v>JCHAC</c:v>
                </c:pt>
                <c:pt idx="13">
                  <c:v>CARYSIL</c:v>
                </c:pt>
              </c:strCache>
            </c:strRef>
          </c:cat>
          <c:val>
            <c:numRef>
              <c:f>'Copy of  Household Appliances'!$G$57:$G$70</c:f>
              <c:numCache>
                <c:formatCode>General</c:formatCode>
                <c:ptCount val="14"/>
                <c:pt idx="0">
                  <c:v>0</c:v>
                </c:pt>
                <c:pt idx="1">
                  <c:v>9399</c:v>
                </c:pt>
                <c:pt idx="2">
                  <c:v>7977</c:v>
                </c:pt>
                <c:pt idx="3">
                  <c:v>5809</c:v>
                </c:pt>
                <c:pt idx="4">
                  <c:v>6795</c:v>
                </c:pt>
                <c:pt idx="5">
                  <c:v>4127</c:v>
                </c:pt>
                <c:pt idx="6">
                  <c:v>6927</c:v>
                </c:pt>
                <c:pt idx="7">
                  <c:v>5429</c:v>
                </c:pt>
                <c:pt idx="8">
                  <c:v>2777</c:v>
                </c:pt>
                <c:pt idx="9">
                  <c:v>2084</c:v>
                </c:pt>
                <c:pt idx="10">
                  <c:v>4194</c:v>
                </c:pt>
                <c:pt idx="11">
                  <c:v>2529</c:v>
                </c:pt>
                <c:pt idx="12">
                  <c:v>2384</c:v>
                </c:pt>
                <c:pt idx="13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8CE-4B50-BD01-D5BC012E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PROFIT_23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Appliances'!$K$57</c:f>
              <c:strCache>
                <c:ptCount val="1"/>
                <c:pt idx="0">
                  <c:v>PROFIT_23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Appliances'!$J$58:$J$70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Appliances'!$K$58:$K$70</c:f>
              <c:numCache>
                <c:formatCode>General</c:formatCode>
                <c:ptCount val="13"/>
                <c:pt idx="0">
                  <c:v>136</c:v>
                </c:pt>
                <c:pt idx="1">
                  <c:v>400</c:v>
                </c:pt>
                <c:pt idx="2">
                  <c:v>475</c:v>
                </c:pt>
                <c:pt idx="3">
                  <c:v>223</c:v>
                </c:pt>
                <c:pt idx="4">
                  <c:v>189</c:v>
                </c:pt>
                <c:pt idx="5">
                  <c:v>163</c:v>
                </c:pt>
                <c:pt idx="6">
                  <c:v>215</c:v>
                </c:pt>
                <c:pt idx="7">
                  <c:v>255</c:v>
                </c:pt>
                <c:pt idx="8">
                  <c:v>21</c:v>
                </c:pt>
                <c:pt idx="9">
                  <c:v>15</c:v>
                </c:pt>
                <c:pt idx="10">
                  <c:v>76</c:v>
                </c:pt>
                <c:pt idx="11">
                  <c:v>-82</c:v>
                </c:pt>
                <c:pt idx="12">
                  <c:v>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D0C-4A85-81A0-FD37E2EC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964673"/>
        <c:axId val="1342476636"/>
      </c:barChart>
      <c:catAx>
        <c:axId val="1448964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2476636"/>
        <c:crosses val="autoZero"/>
        <c:auto val="1"/>
        <c:lblAlgn val="ctr"/>
        <c:lblOffset val="100"/>
        <c:noMultiLvlLbl val="1"/>
      </c:catAx>
      <c:valAx>
        <c:axId val="13424766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PROFIT_23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896467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SALES_5Y_GR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Appliances'!$C$90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Appliances'!$B$91:$B$103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Appliances'!$C$91:$C$103</c:f>
              <c:numCache>
                <c:formatCode>0.0%</c:formatCode>
                <c:ptCount val="13"/>
                <c:pt idx="0">
                  <c:v>7.898316835041852E-2</c:v>
                </c:pt>
                <c:pt idx="1">
                  <c:v>0.1421030363117155</c:v>
                </c:pt>
                <c:pt idx="2">
                  <c:v>4.0373946082605139E-2</c:v>
                </c:pt>
                <c:pt idx="3">
                  <c:v>6.3867244044784277E-2</c:v>
                </c:pt>
                <c:pt idx="4">
                  <c:v>0.12064876484505516</c:v>
                </c:pt>
                <c:pt idx="5">
                  <c:v>0.26106384152025708</c:v>
                </c:pt>
                <c:pt idx="6">
                  <c:v>2.6219570312039364E-2</c:v>
                </c:pt>
                <c:pt idx="7">
                  <c:v>8.2182280180676415E-2</c:v>
                </c:pt>
                <c:pt idx="9">
                  <c:v>0.13172898548178735</c:v>
                </c:pt>
                <c:pt idx="10">
                  <c:v>9.2359670095730317E-2</c:v>
                </c:pt>
                <c:pt idx="11">
                  <c:v>1.0919241165702642E-2</c:v>
                </c:pt>
                <c:pt idx="12">
                  <c:v>0.2440571264604765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932-4FA3-A2F6-698EE3E7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638380"/>
        <c:axId val="242727094"/>
      </c:barChart>
      <c:catAx>
        <c:axId val="14086383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2727094"/>
        <c:crosses val="autoZero"/>
        <c:auto val="1"/>
        <c:lblAlgn val="ctr"/>
        <c:lblOffset val="100"/>
        <c:noMultiLvlLbl val="1"/>
      </c:catAx>
      <c:valAx>
        <c:axId val="24272709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863838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CY_SALES GR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Appliances'!$G$90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Appliances'!$F$91:$F$103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Appliances'!$G$91:$G$103</c:f>
              <c:numCache>
                <c:formatCode>0.0%</c:formatCode>
                <c:ptCount val="13"/>
                <c:pt idx="0">
                  <c:v>0.27324860508369508</c:v>
                </c:pt>
                <c:pt idx="1">
                  <c:v>0.1875583784793573</c:v>
                </c:pt>
                <c:pt idx="2">
                  <c:v>9.2033293697978635E-2</c:v>
                </c:pt>
                <c:pt idx="3">
                  <c:v>2.0020020020020013E-2</c:v>
                </c:pt>
                <c:pt idx="4">
                  <c:v>0.1760374832663989</c:v>
                </c:pt>
                <c:pt idx="5">
                  <c:v>-2.5484199796121931E-4</c:v>
                </c:pt>
                <c:pt idx="6">
                  <c:v>-3.8020687727145619E-2</c:v>
                </c:pt>
                <c:pt idx="7">
                  <c:v>-5.1246537396121838E-2</c:v>
                </c:pt>
                <c:pt idx="8">
                  <c:v>3.8095238095238182E-2</c:v>
                </c:pt>
                <c:pt idx="9">
                  <c:v>5.1193467336683396E-2</c:v>
                </c:pt>
                <c:pt idx="10">
                  <c:v>8.1774452164617761E-2</c:v>
                </c:pt>
                <c:pt idx="11">
                  <c:v>-0.37527233115468406</c:v>
                </c:pt>
                <c:pt idx="12">
                  <c:v>0.1004464285714286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F76-418A-BBAD-5EA828CBD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5041104"/>
        <c:axId val="414195376"/>
      </c:barChart>
      <c:catAx>
        <c:axId val="138504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4195376"/>
        <c:crosses val="autoZero"/>
        <c:auto val="1"/>
        <c:lblAlgn val="ctr"/>
        <c:lblOffset val="100"/>
        <c:noMultiLvlLbl val="1"/>
      </c:catAx>
      <c:valAx>
        <c:axId val="4141953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CY_SALES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50411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Appliances'!$C$123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'Copy of  Household Appliances'!$B$124:$B$136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Appliances'!$C$124:$C$136</c:f>
              <c:numCache>
                <c:formatCode>0.00%</c:formatCode>
                <c:ptCount val="13"/>
                <c:pt idx="0">
                  <c:v>1.4469624428130653E-2</c:v>
                </c:pt>
                <c:pt idx="1">
                  <c:v>5.0144164472859472E-2</c:v>
                </c:pt>
                <c:pt idx="2">
                  <c:v>8.1769667756928899E-2</c:v>
                </c:pt>
                <c:pt idx="3">
                  <c:v>3.2818248712288445E-2</c:v>
                </c:pt>
                <c:pt idx="4">
                  <c:v>4.5795977707778046E-2</c:v>
                </c:pt>
                <c:pt idx="5">
                  <c:v>2.3531110148693517E-2</c:v>
                </c:pt>
                <c:pt idx="6">
                  <c:v>3.9602136673420517E-2</c:v>
                </c:pt>
                <c:pt idx="7">
                  <c:v>9.1825711199135754E-2</c:v>
                </c:pt>
                <c:pt idx="8">
                  <c:v>1.0076775431861805E-2</c:v>
                </c:pt>
                <c:pt idx="9">
                  <c:v>3.5765379113018598E-3</c:v>
                </c:pt>
                <c:pt idx="10">
                  <c:v>3.0051403716884143E-2</c:v>
                </c:pt>
                <c:pt idx="11">
                  <c:v>-3.4395973154362415E-2</c:v>
                </c:pt>
                <c:pt idx="12">
                  <c:v>8.7689713322091065E-2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DFB-4208-906A-AA1F88CF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06249"/>
        <c:axId val="121279811"/>
      </c:barChart>
      <c:lineChart>
        <c:grouping val="standard"/>
        <c:varyColors val="0"/>
        <c:ser>
          <c:idx val="1"/>
          <c:order val="1"/>
          <c:tx>
            <c:strRef>
              <c:f>'Copy of  Household Appliances'!$D$123</c:f>
              <c:strCache>
                <c:ptCount val="1"/>
                <c:pt idx="0">
                  <c:v>CY_MARGIN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'Copy of  Household Appliances'!$B$124:$B$136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Appliances'!$D$124:$D$136</c:f>
              <c:numCache>
                <c:formatCode>0.00%</c:formatCode>
                <c:ptCount val="13"/>
                <c:pt idx="0">
                  <c:v>1.6676810712111991E-2</c:v>
                </c:pt>
                <c:pt idx="1">
                  <c:v>3.9955954066383512E-2</c:v>
                </c:pt>
                <c:pt idx="2">
                  <c:v>6.6419860627177696E-2</c:v>
                </c:pt>
                <c:pt idx="3">
                  <c:v>2.8263002944062806E-2</c:v>
                </c:pt>
                <c:pt idx="4">
                  <c:v>5.1508252703471827E-2</c:v>
                </c:pt>
                <c:pt idx="5">
                  <c:v>1.0196278358399185E-2</c:v>
                </c:pt>
                <c:pt idx="6">
                  <c:v>3.0804998546934029E-2</c:v>
                </c:pt>
                <c:pt idx="7">
                  <c:v>8.1751824817518248E-2</c:v>
                </c:pt>
                <c:pt idx="8">
                  <c:v>4.4648318042813454E-2</c:v>
                </c:pt>
                <c:pt idx="9">
                  <c:v>1.1353450851508814E-2</c:v>
                </c:pt>
                <c:pt idx="10">
                  <c:v>3.0632411067193676E-2</c:v>
                </c:pt>
                <c:pt idx="11">
                  <c:v>-0.10810810810810811</c:v>
                </c:pt>
                <c:pt idx="12">
                  <c:v>8.5192697768762676E-2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B-4208-906A-AA1F88CF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06249"/>
        <c:axId val="121279811"/>
      </c:lineChart>
      <c:catAx>
        <c:axId val="312406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279811"/>
        <c:crosses val="autoZero"/>
        <c:auto val="1"/>
        <c:lblAlgn val="ctr"/>
        <c:lblOffset val="100"/>
        <c:noMultiLvlLbl val="1"/>
      </c:catAx>
      <c:valAx>
        <c:axId val="1212798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240624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CUR. RATIO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Appliances'!$H$123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Appliances'!$G$124:$G$136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Appliances'!$H$124:$H$136</c:f>
              <c:numCache>
                <c:formatCode>0.00</c:formatCode>
                <c:ptCount val="13"/>
                <c:pt idx="0">
                  <c:v>1.4595278473836246</c:v>
                </c:pt>
                <c:pt idx="1">
                  <c:v>1.3615064810873532</c:v>
                </c:pt>
                <c:pt idx="2">
                  <c:v>1.1496140262238699</c:v>
                </c:pt>
                <c:pt idx="3">
                  <c:v>2.5179224579370887</c:v>
                </c:pt>
                <c:pt idx="4">
                  <c:v>1.7624555895232588</c:v>
                </c:pt>
                <c:pt idx="5">
                  <c:v>1.0830248545742993</c:v>
                </c:pt>
                <c:pt idx="6">
                  <c:v>1.1361161524500907</c:v>
                </c:pt>
                <c:pt idx="7">
                  <c:v>3.2142857142857144</c:v>
                </c:pt>
                <c:pt idx="8">
                  <c:v>0.58273381294964033</c:v>
                </c:pt>
                <c:pt idx="9">
                  <c:v>1.0998005436793259</c:v>
                </c:pt>
                <c:pt idx="10">
                  <c:v>1.4731115758989624</c:v>
                </c:pt>
                <c:pt idx="11">
                  <c:v>1.3228962818003913</c:v>
                </c:pt>
                <c:pt idx="12">
                  <c:v>1.1489361702127661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908-4C8E-AFBB-928D181D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345785"/>
        <c:axId val="1845840415"/>
      </c:barChart>
      <c:catAx>
        <c:axId val="16743457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45840415"/>
        <c:crosses val="autoZero"/>
        <c:auto val="1"/>
        <c:lblAlgn val="ctr"/>
        <c:lblOffset val="100"/>
        <c:noMultiLvlLbl val="1"/>
      </c:catAx>
      <c:valAx>
        <c:axId val="184584041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434578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TR.DAYS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Appliances'!$L$123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Appliances'!$K$124:$K$136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Appliances'!$L$124:$L$136</c:f>
              <c:numCache>
                <c:formatCode>0</c:formatCode>
                <c:ptCount val="13"/>
                <c:pt idx="0">
                  <c:v>58.738631769337161</c:v>
                </c:pt>
                <c:pt idx="1">
                  <c:v>56.952262755421842</c:v>
                </c:pt>
                <c:pt idx="2">
                  <c:v>42.623127904975043</c:v>
                </c:pt>
                <c:pt idx="3">
                  <c:v>10.796909492273731</c:v>
                </c:pt>
                <c:pt idx="4">
                  <c:v>40.306542282529684</c:v>
                </c:pt>
                <c:pt idx="5">
                  <c:v>36.937346614696118</c:v>
                </c:pt>
                <c:pt idx="6">
                  <c:v>1.4790937557561246</c:v>
                </c:pt>
                <c:pt idx="7">
                  <c:v>45.871444004321205</c:v>
                </c:pt>
                <c:pt idx="8">
                  <c:v>28.548464491362765</c:v>
                </c:pt>
                <c:pt idx="9">
                  <c:v>36.333774439675729</c:v>
                </c:pt>
                <c:pt idx="10">
                  <c:v>44.573586397785682</c:v>
                </c:pt>
                <c:pt idx="11">
                  <c:v>23.884228187919465</c:v>
                </c:pt>
                <c:pt idx="12">
                  <c:v>77.554806070826302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522-42A3-A9DA-1450DDBCB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251713"/>
        <c:axId val="253821910"/>
      </c:barChart>
      <c:catAx>
        <c:axId val="15752517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3821910"/>
        <c:crosses val="autoZero"/>
        <c:auto val="1"/>
        <c:lblAlgn val="ctr"/>
        <c:lblOffset val="100"/>
        <c:noMultiLvlLbl val="1"/>
      </c:catAx>
      <c:valAx>
        <c:axId val="2538219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7525171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'Copy of  Household Appliances'!$C$157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'Copy of  Household Appliances'!$B$158:$B$170</c:f>
              <c:strCache>
                <c:ptCount val="13"/>
                <c:pt idx="0">
                  <c:v>VOLTAS</c:v>
                </c:pt>
                <c:pt idx="1">
                  <c:v>BLUESTARCO</c:v>
                </c:pt>
                <c:pt idx="2">
                  <c:v>CROMPTON</c:v>
                </c:pt>
                <c:pt idx="3">
                  <c:v>WHIRLPOOL</c:v>
                </c:pt>
                <c:pt idx="4">
                  <c:v>VGUARD</c:v>
                </c:pt>
                <c:pt idx="5">
                  <c:v>AMBER</c:v>
                </c:pt>
                <c:pt idx="6">
                  <c:v>BAJAJELEC</c:v>
                </c:pt>
                <c:pt idx="7">
                  <c:v>TTKPRESTIG</c:v>
                </c:pt>
                <c:pt idx="8">
                  <c:v>EUREKAFORBE</c:v>
                </c:pt>
                <c:pt idx="9">
                  <c:v>IFBIND</c:v>
                </c:pt>
                <c:pt idx="10">
                  <c:v>ORIENTELEC</c:v>
                </c:pt>
                <c:pt idx="11">
                  <c:v>JCHAC</c:v>
                </c:pt>
                <c:pt idx="12">
                  <c:v>CARYSIL</c:v>
                </c:pt>
              </c:strCache>
            </c:strRef>
          </c:cat>
          <c:val>
            <c:numRef>
              <c:f>'Copy of  Household Appliances'!$C$158:$C$170</c:f>
              <c:numCache>
                <c:formatCode>0.00</c:formatCode>
                <c:ptCount val="13"/>
                <c:pt idx="0">
                  <c:v>9.0781467723496156E-2</c:v>
                </c:pt>
                <c:pt idx="1">
                  <c:v>0.33574615681795994</c:v>
                </c:pt>
                <c:pt idx="2">
                  <c:v>0.28983482413369793</c:v>
                </c:pt>
                <c:pt idx="3">
                  <c:v>0</c:v>
                </c:pt>
                <c:pt idx="4">
                  <c:v>0.17424147870791357</c:v>
                </c:pt>
                <c:pt idx="5">
                  <c:v>0.72141787319021466</c:v>
                </c:pt>
                <c:pt idx="6">
                  <c:v>0</c:v>
                </c:pt>
                <c:pt idx="7">
                  <c:v>2.0397756246812851E-2</c:v>
                </c:pt>
                <c:pt idx="8">
                  <c:v>1.5373528705260629E-2</c:v>
                </c:pt>
                <c:pt idx="9">
                  <c:v>0.21397799382895732</c:v>
                </c:pt>
                <c:pt idx="10">
                  <c:v>2.860579267301629E-2</c:v>
                </c:pt>
                <c:pt idx="11">
                  <c:v>0.37383177570093457</c:v>
                </c:pt>
                <c:pt idx="12">
                  <c:v>0.63221884498480241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A58-45DA-A4A6-CDB54D39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94029"/>
        <c:axId val="881225269"/>
      </c:barChart>
      <c:catAx>
        <c:axId val="8155940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1225269"/>
        <c:crosses val="autoZero"/>
        <c:auto val="1"/>
        <c:lblAlgn val="ctr"/>
        <c:lblOffset val="100"/>
        <c:noMultiLvlLbl val="1"/>
      </c:catAx>
      <c:valAx>
        <c:axId val="8812252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559402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4.png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2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49</xdr:row>
      <xdr:rowOff>57150</xdr:rowOff>
    </xdr:from>
    <xdr:ext cx="7229475" cy="722947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1579E0EC-6A9E-4406-8370-9E89338E0D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284970"/>
          <a:ext cx="7229475" cy="72294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72</xdr:row>
      <xdr:rowOff>66675</xdr:rowOff>
    </xdr:from>
    <xdr:ext cx="4638675" cy="28575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1C3BD856-CC13-4C2C-B12C-A41886ABA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19050</xdr:colOff>
      <xdr:row>72</xdr:row>
      <xdr:rowOff>66675</xdr:rowOff>
    </xdr:from>
    <xdr:ext cx="4638675" cy="28575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E8170D3-9A2C-4446-AFAE-CDF9F996F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819150</xdr:colOff>
      <xdr:row>72</xdr:row>
      <xdr:rowOff>66675</xdr:rowOff>
    </xdr:from>
    <xdr:ext cx="4600575" cy="28575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3AD9F450-D5EB-43B0-B3F1-FA8D2BCB6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114300</xdr:colOff>
      <xdr:row>105</xdr:row>
      <xdr:rowOff>76200</xdr:rowOff>
    </xdr:from>
    <xdr:ext cx="4705350" cy="290512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7497CF5C-FA33-4BF0-B6E6-6DCFCE12E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19050</xdr:colOff>
      <xdr:row>105</xdr:row>
      <xdr:rowOff>76200</xdr:rowOff>
    </xdr:from>
    <xdr:ext cx="4638675" cy="290512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C23DE128-17A6-44C9-93EE-C40C653F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47625</xdr:colOff>
      <xdr:row>138</xdr:row>
      <xdr:rowOff>76200</xdr:rowOff>
    </xdr:from>
    <xdr:ext cx="4810125" cy="298132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ABC14E-B333-4F42-88E7-D1B08567A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57150</xdr:colOff>
      <xdr:row>138</xdr:row>
      <xdr:rowOff>76200</xdr:rowOff>
    </xdr:from>
    <xdr:ext cx="4810125" cy="2981325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4B522E13-6FE4-4BD7-A767-557C8880E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66675</xdr:colOff>
      <xdr:row>138</xdr:row>
      <xdr:rowOff>76200</xdr:rowOff>
    </xdr:from>
    <xdr:ext cx="4810125" cy="298132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AB90F0B0-880E-4D47-A9B5-D8B3EB958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85725</xdr:colOff>
      <xdr:row>172</xdr:row>
      <xdr:rowOff>190500</xdr:rowOff>
    </xdr:from>
    <xdr:ext cx="4772025" cy="290512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8E539814-D072-4D99-AA75-6E288AEFE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5</xdr:col>
      <xdr:colOff>57150</xdr:colOff>
      <xdr:row>172</xdr:row>
      <xdr:rowOff>190500</xdr:rowOff>
    </xdr:from>
    <xdr:ext cx="4705350" cy="2905125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C0D8FFC8-2204-4E9F-B0E5-0F9E3FD9A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923925</xdr:colOff>
      <xdr:row>172</xdr:row>
      <xdr:rowOff>190500</xdr:rowOff>
    </xdr:from>
    <xdr:ext cx="4705350" cy="2905125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8E797273-2ACA-4F95-A857-649E5D7E1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47625</xdr:colOff>
      <xdr:row>206</xdr:row>
      <xdr:rowOff>28575</xdr:rowOff>
    </xdr:from>
    <xdr:ext cx="4772025" cy="290512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2B9ED8C2-7BA2-499E-ABE9-88DD4E335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5</xdr:col>
      <xdr:colOff>28575</xdr:colOff>
      <xdr:row>206</xdr:row>
      <xdr:rowOff>28575</xdr:rowOff>
    </xdr:from>
    <xdr:ext cx="4772025" cy="290512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0E4560DC-16DE-4691-917A-4549015A8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9</xdr:col>
      <xdr:colOff>923925</xdr:colOff>
      <xdr:row>206</xdr:row>
      <xdr:rowOff>28575</xdr:rowOff>
    </xdr:from>
    <xdr:ext cx="4705350" cy="290512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36DDD8FA-4FF1-4FD5-B0E5-6D87D46A3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295275</xdr:colOff>
      <xdr:row>23</xdr:row>
      <xdr:rowOff>114300</xdr:rowOff>
    </xdr:from>
    <xdr:ext cx="5219700" cy="2781300"/>
    <xdr:pic>
      <xdr:nvPicPr>
        <xdr:cNvPr id="16" name="image4.png" title="Image">
          <a:extLst>
            <a:ext uri="{FF2B5EF4-FFF2-40B4-BE49-F238E27FC236}">
              <a16:creationId xmlns:a16="http://schemas.microsoft.com/office/drawing/2014/main" id="{865971ED-D677-42A1-A716-F66F08D1B1E5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95275" y="4671060"/>
          <a:ext cx="5219700" cy="27813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23</xdr:row>
      <xdr:rowOff>114300</xdr:rowOff>
    </xdr:from>
    <xdr:ext cx="4391025" cy="2781300"/>
    <xdr:pic>
      <xdr:nvPicPr>
        <xdr:cNvPr id="17" name="image2.png" title="Image">
          <a:extLst>
            <a:ext uri="{FF2B5EF4-FFF2-40B4-BE49-F238E27FC236}">
              <a16:creationId xmlns:a16="http://schemas.microsoft.com/office/drawing/2014/main" id="{DD69EC90-6350-4DE7-8804-5FB590C73F76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57775" y="4671060"/>
          <a:ext cx="4391025" cy="27813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304800</xdr:colOff>
      <xdr:row>24</xdr:row>
      <xdr:rowOff>190500</xdr:rowOff>
    </xdr:from>
    <xdr:ext cx="4638675" cy="2514600"/>
    <xdr:pic>
      <xdr:nvPicPr>
        <xdr:cNvPr id="18" name="image1.png" title="Image">
          <a:extLst>
            <a:ext uri="{FF2B5EF4-FFF2-40B4-BE49-F238E27FC236}">
              <a16:creationId xmlns:a16="http://schemas.microsoft.com/office/drawing/2014/main" id="{4DECAAED-742B-4E7C-95D3-2C303BC1DF24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991600" y="4945380"/>
          <a:ext cx="4638675" cy="2514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40</xdr:row>
      <xdr:rowOff>57150</xdr:rowOff>
    </xdr:from>
    <xdr:ext cx="5572125" cy="2781300"/>
    <xdr:pic>
      <xdr:nvPicPr>
        <xdr:cNvPr id="19" name="image3.png" title="Image">
          <a:extLst>
            <a:ext uri="{FF2B5EF4-FFF2-40B4-BE49-F238E27FC236}">
              <a16:creationId xmlns:a16="http://schemas.microsoft.com/office/drawing/2014/main" id="{431272E6-C85B-44FF-B4D8-4147439F87DE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80975" y="7951470"/>
          <a:ext cx="5572125" cy="27813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HouseholdAppliances%20(9).xlsx" TargetMode="External"/><Relationship Id="rId1" Type="http://schemas.openxmlformats.org/officeDocument/2006/relationships/externalLinkPath" Target="/Users/profi/Downloads/HouseholdAppliances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y of  Household Appliances"/>
      <sheetName val="HouseHold INDUSTRY"/>
      <sheetName val="TTKPRE"/>
      <sheetName val="Voltas"/>
    </sheetNames>
    <sheetDataSet>
      <sheetData sheetId="0">
        <row r="57">
          <cell r="C57" t="str">
            <v>MARKETCAP</v>
          </cell>
          <cell r="F57" t="str">
            <v>COMPANY</v>
          </cell>
          <cell r="G57" t="str">
            <v>SALES_23</v>
          </cell>
          <cell r="K57" t="str">
            <v>PROFIT_23</v>
          </cell>
        </row>
        <row r="58">
          <cell r="B58" t="str">
            <v>VOLTAS</v>
          </cell>
          <cell r="C58">
            <v>36203.750258300002</v>
          </cell>
          <cell r="F58" t="str">
            <v>VOLTAS</v>
          </cell>
          <cell r="G58">
            <v>9399</v>
          </cell>
          <cell r="J58" t="str">
            <v>VOLTAS</v>
          </cell>
          <cell r="K58">
            <v>136</v>
          </cell>
        </row>
        <row r="59">
          <cell r="B59" t="str">
            <v>BLUESTARCO</v>
          </cell>
          <cell r="C59">
            <v>26606.555120000001</v>
          </cell>
          <cell r="F59" t="str">
            <v>BLUESTARCO</v>
          </cell>
          <cell r="G59">
            <v>7977</v>
          </cell>
          <cell r="J59" t="str">
            <v>BLUESTARCO</v>
          </cell>
          <cell r="K59">
            <v>400</v>
          </cell>
        </row>
        <row r="60">
          <cell r="B60" t="str">
            <v>CROMPTON</v>
          </cell>
          <cell r="C60">
            <v>18749.298936200001</v>
          </cell>
          <cell r="F60" t="str">
            <v>CROMPTON</v>
          </cell>
          <cell r="G60">
            <v>5809</v>
          </cell>
          <cell r="J60" t="str">
            <v>CROMPTON</v>
          </cell>
          <cell r="K60">
            <v>475</v>
          </cell>
        </row>
        <row r="61">
          <cell r="B61" t="str">
            <v>WHIRLPOOL</v>
          </cell>
          <cell r="C61">
            <v>16134.2861865</v>
          </cell>
          <cell r="F61" t="str">
            <v>WHIRLPOOL</v>
          </cell>
          <cell r="G61">
            <v>6795</v>
          </cell>
          <cell r="J61" t="str">
            <v>WHIRLPOOL</v>
          </cell>
          <cell r="K61">
            <v>223</v>
          </cell>
        </row>
        <row r="62">
          <cell r="B62" t="str">
            <v>VGUARD</v>
          </cell>
          <cell r="C62">
            <v>13501.934380000001</v>
          </cell>
          <cell r="F62" t="str">
            <v>VGUARD</v>
          </cell>
          <cell r="G62">
            <v>4127</v>
          </cell>
          <cell r="J62" t="str">
            <v>VGUARD</v>
          </cell>
          <cell r="K62">
            <v>189</v>
          </cell>
        </row>
        <row r="63">
          <cell r="B63" t="str">
            <v>AMBER</v>
          </cell>
          <cell r="C63">
            <v>13056.489008099999</v>
          </cell>
          <cell r="F63" t="str">
            <v>AMBER</v>
          </cell>
          <cell r="G63">
            <v>6927</v>
          </cell>
          <cell r="J63" t="str">
            <v>AMBER</v>
          </cell>
          <cell r="K63">
            <v>163</v>
          </cell>
        </row>
        <row r="64">
          <cell r="B64" t="str">
            <v>BAJAJELEC</v>
          </cell>
          <cell r="C64">
            <v>11555.655391</v>
          </cell>
          <cell r="F64" t="str">
            <v>BAJAJELEC</v>
          </cell>
          <cell r="G64">
            <v>5429</v>
          </cell>
          <cell r="J64" t="str">
            <v>BAJAJELEC</v>
          </cell>
          <cell r="K64">
            <v>215</v>
          </cell>
        </row>
        <row r="65">
          <cell r="B65" t="str">
            <v>TTKPRESTIG</v>
          </cell>
          <cell r="C65">
            <v>10533.963499699999</v>
          </cell>
          <cell r="F65" t="str">
            <v>TTKPRESTIG</v>
          </cell>
          <cell r="G65">
            <v>2777</v>
          </cell>
          <cell r="J65" t="str">
            <v>TTKPRESTIG</v>
          </cell>
          <cell r="K65">
            <v>255</v>
          </cell>
        </row>
        <row r="66">
          <cell r="B66" t="str">
            <v>OTHER-12</v>
          </cell>
          <cell r="C66">
            <v>9367.2953498999996</v>
          </cell>
          <cell r="F66" t="str">
            <v>EUREKAFORBE</v>
          </cell>
          <cell r="G66">
            <v>2084</v>
          </cell>
          <cell r="J66" t="str">
            <v>EUREKAFORBE</v>
          </cell>
          <cell r="K66">
            <v>21</v>
          </cell>
        </row>
        <row r="67">
          <cell r="F67" t="str">
            <v>IFBIND</v>
          </cell>
          <cell r="G67">
            <v>4194</v>
          </cell>
          <cell r="J67" t="str">
            <v>IFBIND</v>
          </cell>
          <cell r="K67">
            <v>15</v>
          </cell>
        </row>
        <row r="68">
          <cell r="F68" t="str">
            <v>ORIENTELEC</v>
          </cell>
          <cell r="G68">
            <v>2529</v>
          </cell>
          <cell r="J68" t="str">
            <v>ORIENTELEC</v>
          </cell>
          <cell r="K68">
            <v>76</v>
          </cell>
        </row>
        <row r="69">
          <cell r="F69" t="str">
            <v>JCHAC</v>
          </cell>
          <cell r="G69">
            <v>2384</v>
          </cell>
          <cell r="J69" t="str">
            <v>JCHAC</v>
          </cell>
          <cell r="K69">
            <v>-82</v>
          </cell>
        </row>
        <row r="70">
          <cell r="F70" t="str">
            <v>CARYSIL</v>
          </cell>
          <cell r="G70">
            <v>593</v>
          </cell>
          <cell r="J70" t="str">
            <v>CARYSIL</v>
          </cell>
          <cell r="K70">
            <v>52</v>
          </cell>
        </row>
        <row r="90">
          <cell r="C90" t="str">
            <v>SALES_5Y_GR</v>
          </cell>
          <cell r="G90" t="str">
            <v>CY_SALES GR</v>
          </cell>
        </row>
        <row r="91">
          <cell r="B91" t="str">
            <v>VOLTAS</v>
          </cell>
          <cell r="C91">
            <v>7.898316835041852E-2</v>
          </cell>
          <cell r="F91" t="str">
            <v>VOLTAS</v>
          </cell>
          <cell r="G91">
            <v>0.27324860508369508</v>
          </cell>
        </row>
        <row r="92">
          <cell r="B92" t="str">
            <v>BLUESTARCO</v>
          </cell>
          <cell r="C92">
            <v>0.1421030363117155</v>
          </cell>
          <cell r="F92" t="str">
            <v>BLUESTARCO</v>
          </cell>
          <cell r="G92">
            <v>0.1875583784793573</v>
          </cell>
        </row>
        <row r="93">
          <cell r="B93" t="str">
            <v>CROMPTON</v>
          </cell>
          <cell r="C93">
            <v>4.0373946082605139E-2</v>
          </cell>
          <cell r="F93" t="str">
            <v>CROMPTON</v>
          </cell>
          <cell r="G93">
            <v>9.2033293697978635E-2</v>
          </cell>
        </row>
        <row r="94">
          <cell r="B94" t="str">
            <v>WHIRLPOOL</v>
          </cell>
          <cell r="C94">
            <v>6.3867244044784277E-2</v>
          </cell>
          <cell r="F94" t="str">
            <v>WHIRLPOOL</v>
          </cell>
          <cell r="G94">
            <v>2.0020020020020013E-2</v>
          </cell>
        </row>
        <row r="95">
          <cell r="B95" t="str">
            <v>VGUARD</v>
          </cell>
          <cell r="C95">
            <v>0.12064876484505516</v>
          </cell>
          <cell r="F95" t="str">
            <v>VGUARD</v>
          </cell>
          <cell r="G95">
            <v>0.1760374832663989</v>
          </cell>
        </row>
        <row r="96">
          <cell r="B96" t="str">
            <v>AMBER</v>
          </cell>
          <cell r="C96">
            <v>0.26106384152025708</v>
          </cell>
          <cell r="F96" t="str">
            <v>AMBER</v>
          </cell>
          <cell r="G96">
            <v>-2.5484199796121931E-4</v>
          </cell>
        </row>
        <row r="97">
          <cell r="B97" t="str">
            <v>BAJAJELEC</v>
          </cell>
          <cell r="C97">
            <v>2.6219570312039364E-2</v>
          </cell>
          <cell r="F97" t="str">
            <v>BAJAJELEC</v>
          </cell>
          <cell r="G97">
            <v>-3.8020687727145619E-2</v>
          </cell>
        </row>
        <row r="98">
          <cell r="B98" t="str">
            <v>TTKPRESTIG</v>
          </cell>
          <cell r="C98">
            <v>8.2182280180676415E-2</v>
          </cell>
          <cell r="F98" t="str">
            <v>TTKPRESTIG</v>
          </cell>
          <cell r="G98">
            <v>-5.1246537396121838E-2</v>
          </cell>
        </row>
        <row r="99">
          <cell r="B99" t="str">
            <v>EUREKAFORBE</v>
          </cell>
          <cell r="F99" t="str">
            <v>EUREKAFORBE</v>
          </cell>
          <cell r="G99">
            <v>3.8095238095238182E-2</v>
          </cell>
        </row>
        <row r="100">
          <cell r="B100" t="str">
            <v>IFBIND</v>
          </cell>
          <cell r="C100">
            <v>0.13172898548178735</v>
          </cell>
          <cell r="F100" t="str">
            <v>IFBIND</v>
          </cell>
          <cell r="G100">
            <v>5.1193467336683396E-2</v>
          </cell>
        </row>
        <row r="101">
          <cell r="B101" t="str">
            <v>ORIENTELEC</v>
          </cell>
          <cell r="C101">
            <v>9.2359670095730317E-2</v>
          </cell>
          <cell r="F101" t="str">
            <v>ORIENTELEC</v>
          </cell>
          <cell r="G101">
            <v>8.1774452164617761E-2</v>
          </cell>
        </row>
        <row r="102">
          <cell r="B102" t="str">
            <v>JCHAC</v>
          </cell>
          <cell r="C102">
            <v>1.0919241165702642E-2</v>
          </cell>
          <cell r="F102" t="str">
            <v>JCHAC</v>
          </cell>
          <cell r="G102">
            <v>-0.37527233115468406</v>
          </cell>
        </row>
        <row r="103">
          <cell r="B103" t="str">
            <v>CARYSIL</v>
          </cell>
          <cell r="C103">
            <v>0.2440571264604765</v>
          </cell>
          <cell r="F103" t="str">
            <v>CARYSIL</v>
          </cell>
          <cell r="G103">
            <v>0.1004464285714286</v>
          </cell>
        </row>
        <row r="123">
          <cell r="C123" t="str">
            <v>MARGIN_23</v>
          </cell>
          <cell r="D123" t="str">
            <v>CY_MARGIN</v>
          </cell>
          <cell r="H123" t="str">
            <v>CUR. RATIO</v>
          </cell>
          <cell r="L123" t="str">
            <v>TR.DAYS</v>
          </cell>
        </row>
        <row r="124">
          <cell r="B124" t="str">
            <v>VOLTAS</v>
          </cell>
          <cell r="C124">
            <v>1.4469624428130653E-2</v>
          </cell>
          <cell r="D124">
            <v>1.6676810712111991E-2</v>
          </cell>
          <cell r="G124" t="str">
            <v>VOLTAS</v>
          </cell>
          <cell r="H124">
            <v>1.4595278473836246</v>
          </cell>
          <cell r="K124" t="str">
            <v>VOLTAS</v>
          </cell>
          <cell r="L124">
            <v>58.738631769337161</v>
          </cell>
        </row>
        <row r="125">
          <cell r="B125" t="str">
            <v>BLUESTARCO</v>
          </cell>
          <cell r="C125">
            <v>5.0144164472859472E-2</v>
          </cell>
          <cell r="D125">
            <v>3.9955954066383512E-2</v>
          </cell>
          <cell r="G125" t="str">
            <v>BLUESTARCO</v>
          </cell>
          <cell r="H125">
            <v>1.3615064810873532</v>
          </cell>
          <cell r="K125" t="str">
            <v>BLUESTARCO</v>
          </cell>
          <cell r="L125">
            <v>56.952262755421842</v>
          </cell>
        </row>
        <row r="126">
          <cell r="B126" t="str">
            <v>CROMPTON</v>
          </cell>
          <cell r="C126">
            <v>8.1769667756928899E-2</v>
          </cell>
          <cell r="D126">
            <v>6.6419860627177696E-2</v>
          </cell>
          <cell r="G126" t="str">
            <v>CROMPTON</v>
          </cell>
          <cell r="H126">
            <v>1.1496140262238699</v>
          </cell>
          <cell r="K126" t="str">
            <v>CROMPTON</v>
          </cell>
          <cell r="L126">
            <v>42.623127904975043</v>
          </cell>
        </row>
        <row r="127">
          <cell r="B127" t="str">
            <v>WHIRLPOOL</v>
          </cell>
          <cell r="C127">
            <v>3.2818248712288445E-2</v>
          </cell>
          <cell r="D127">
            <v>2.8263002944062806E-2</v>
          </cell>
          <cell r="G127" t="str">
            <v>WHIRLPOOL</v>
          </cell>
          <cell r="H127">
            <v>2.5179224579370887</v>
          </cell>
          <cell r="K127" t="str">
            <v>WHIRLPOOL</v>
          </cell>
          <cell r="L127">
            <v>10.796909492273731</v>
          </cell>
        </row>
        <row r="128">
          <cell r="B128" t="str">
            <v>VGUARD</v>
          </cell>
          <cell r="C128">
            <v>4.5795977707778046E-2</v>
          </cell>
          <cell r="D128">
            <v>5.1508252703471827E-2</v>
          </cell>
          <cell r="G128" t="str">
            <v>VGUARD</v>
          </cell>
          <cell r="H128">
            <v>1.7624555895232588</v>
          </cell>
          <cell r="K128" t="str">
            <v>VGUARD</v>
          </cell>
          <cell r="L128">
            <v>40.306542282529684</v>
          </cell>
        </row>
        <row r="129">
          <cell r="B129" t="str">
            <v>AMBER</v>
          </cell>
          <cell r="C129">
            <v>2.3531110148693517E-2</v>
          </cell>
          <cell r="D129">
            <v>1.0196278358399185E-2</v>
          </cell>
          <cell r="G129" t="str">
            <v>AMBER</v>
          </cell>
          <cell r="H129">
            <v>1.0830248545742993</v>
          </cell>
          <cell r="K129" t="str">
            <v>AMBER</v>
          </cell>
          <cell r="L129">
            <v>36.937346614696118</v>
          </cell>
        </row>
        <row r="130">
          <cell r="B130" t="str">
            <v>BAJAJELEC</v>
          </cell>
          <cell r="C130">
            <v>3.9602136673420517E-2</v>
          </cell>
          <cell r="D130">
            <v>3.0804998546934029E-2</v>
          </cell>
          <cell r="G130" t="str">
            <v>BAJAJELEC</v>
          </cell>
          <cell r="H130">
            <v>1.1361161524500907</v>
          </cell>
          <cell r="K130" t="str">
            <v>BAJAJELEC</v>
          </cell>
          <cell r="L130">
            <v>1.4790937557561246</v>
          </cell>
        </row>
        <row r="131">
          <cell r="B131" t="str">
            <v>TTKPRESTIG</v>
          </cell>
          <cell r="C131">
            <v>9.1825711199135754E-2</v>
          </cell>
          <cell r="D131">
            <v>8.1751824817518248E-2</v>
          </cell>
          <cell r="G131" t="str">
            <v>TTKPRESTIG</v>
          </cell>
          <cell r="H131">
            <v>3.2142857142857144</v>
          </cell>
          <cell r="K131" t="str">
            <v>TTKPRESTIG</v>
          </cell>
          <cell r="L131">
            <v>45.871444004321205</v>
          </cell>
        </row>
        <row r="132">
          <cell r="B132" t="str">
            <v>EUREKAFORBE</v>
          </cell>
          <cell r="C132">
            <v>1.0076775431861805E-2</v>
          </cell>
          <cell r="D132">
            <v>4.4648318042813454E-2</v>
          </cell>
          <cell r="G132" t="str">
            <v>EUREKAFORBE</v>
          </cell>
          <cell r="H132">
            <v>0.58273381294964033</v>
          </cell>
          <cell r="K132" t="str">
            <v>EUREKAFORBE</v>
          </cell>
          <cell r="L132">
            <v>28.548464491362765</v>
          </cell>
        </row>
        <row r="133">
          <cell r="B133" t="str">
            <v>IFBIND</v>
          </cell>
          <cell r="C133">
            <v>3.5765379113018598E-3</v>
          </cell>
          <cell r="D133">
            <v>1.1353450851508814E-2</v>
          </cell>
          <cell r="G133" t="str">
            <v>IFBIND</v>
          </cell>
          <cell r="H133">
            <v>1.0998005436793259</v>
          </cell>
          <cell r="K133" t="str">
            <v>IFBIND</v>
          </cell>
          <cell r="L133">
            <v>36.333774439675729</v>
          </cell>
        </row>
        <row r="134">
          <cell r="B134" t="str">
            <v>ORIENTELEC</v>
          </cell>
          <cell r="C134">
            <v>3.0051403716884143E-2</v>
          </cell>
          <cell r="D134">
            <v>3.0632411067193676E-2</v>
          </cell>
          <cell r="G134" t="str">
            <v>ORIENTELEC</v>
          </cell>
          <cell r="H134">
            <v>1.4731115758989624</v>
          </cell>
          <cell r="K134" t="str">
            <v>ORIENTELEC</v>
          </cell>
          <cell r="L134">
            <v>44.573586397785682</v>
          </cell>
        </row>
        <row r="135">
          <cell r="B135" t="str">
            <v>JCHAC</v>
          </cell>
          <cell r="C135">
            <v>-3.4395973154362415E-2</v>
          </cell>
          <cell r="D135">
            <v>-0.10810810810810811</v>
          </cell>
          <cell r="G135" t="str">
            <v>JCHAC</v>
          </cell>
          <cell r="H135">
            <v>1.3228962818003913</v>
          </cell>
          <cell r="K135" t="str">
            <v>JCHAC</v>
          </cell>
          <cell r="L135">
            <v>23.884228187919465</v>
          </cell>
        </row>
        <row r="136">
          <cell r="B136" t="str">
            <v>CARYSIL</v>
          </cell>
          <cell r="C136">
            <v>8.7689713322091065E-2</v>
          </cell>
          <cell r="D136">
            <v>8.5192697768762676E-2</v>
          </cell>
          <cell r="G136" t="str">
            <v>CARYSIL</v>
          </cell>
          <cell r="H136">
            <v>1.1489361702127661</v>
          </cell>
          <cell r="K136" t="str">
            <v>CARYSIL</v>
          </cell>
          <cell r="L136">
            <v>77.554806070826302</v>
          </cell>
        </row>
        <row r="157">
          <cell r="C157" t="str">
            <v>DEBT2EQUITY</v>
          </cell>
          <cell r="F157" t="str">
            <v>COMPANY</v>
          </cell>
          <cell r="G157" t="str">
            <v>ICR</v>
          </cell>
          <cell r="K157" t="str">
            <v>DEBTRATIO</v>
          </cell>
        </row>
        <row r="158">
          <cell r="B158" t="str">
            <v>VOLTAS</v>
          </cell>
          <cell r="C158">
            <v>9.0781467723496156E-2</v>
          </cell>
          <cell r="F158" t="str">
            <v>VOLTAS</v>
          </cell>
          <cell r="G158">
            <v>14.931034482758621</v>
          </cell>
          <cell r="J158" t="str">
            <v>VOLTAS</v>
          </cell>
          <cell r="K158">
            <v>0.42501123887351522</v>
          </cell>
        </row>
        <row r="159">
          <cell r="B159" t="str">
            <v>BLUESTARCO</v>
          </cell>
          <cell r="C159">
            <v>0.33574615681795994</v>
          </cell>
          <cell r="F159" t="str">
            <v>BLUESTARCO</v>
          </cell>
          <cell r="G159">
            <v>7.418181818181818</v>
          </cell>
          <cell r="J159" t="str">
            <v>BLUESTARCO</v>
          </cell>
          <cell r="K159">
            <v>0.61084879164160955</v>
          </cell>
        </row>
        <row r="160">
          <cell r="B160" t="str">
            <v>CROMPTON</v>
          </cell>
          <cell r="C160">
            <v>0.28983482413369793</v>
          </cell>
          <cell r="F160" t="str">
            <v>CROMPTON</v>
          </cell>
          <cell r="G160">
            <v>5.7247706422018352</v>
          </cell>
          <cell r="J160" t="str">
            <v>CROMPTON</v>
          </cell>
          <cell r="K160">
            <v>0.44855138455571986</v>
          </cell>
        </row>
        <row r="161">
          <cell r="B161" t="str">
            <v>WHIRLPOOL</v>
          </cell>
          <cell r="C161">
            <v>0</v>
          </cell>
          <cell r="F161" t="str">
            <v>WHIRLPOOL</v>
          </cell>
          <cell r="G161">
            <v>20.8</v>
          </cell>
          <cell r="J161" t="str">
            <v>WHIRLPOOL</v>
          </cell>
          <cell r="K161">
            <v>0.32427043683161139</v>
          </cell>
        </row>
        <row r="162">
          <cell r="B162" t="str">
            <v>VGUARD</v>
          </cell>
          <cell r="C162">
            <v>0.17424147870791357</v>
          </cell>
          <cell r="F162" t="str">
            <v>VGUARD</v>
          </cell>
          <cell r="G162">
            <v>16</v>
          </cell>
          <cell r="J162" t="str">
            <v>VGUARD</v>
          </cell>
          <cell r="K162">
            <v>0.43086722095564106</v>
          </cell>
        </row>
        <row r="163">
          <cell r="B163" t="str">
            <v>AMBER</v>
          </cell>
          <cell r="C163">
            <v>0.72141787319021466</v>
          </cell>
          <cell r="F163" t="str">
            <v>AMBER</v>
          </cell>
          <cell r="G163">
            <v>2.4910714285714284</v>
          </cell>
          <cell r="J163" t="str">
            <v>AMBER</v>
          </cell>
          <cell r="K163">
            <v>0.56748002591232993</v>
          </cell>
        </row>
        <row r="164">
          <cell r="B164" t="str">
            <v>BAJAJELEC</v>
          </cell>
          <cell r="C164">
            <v>0</v>
          </cell>
          <cell r="F164" t="str">
            <v>BAJAJELEC</v>
          </cell>
          <cell r="G164">
            <v>17.625</v>
          </cell>
          <cell r="J164" t="str">
            <v>BAJAJELEC</v>
          </cell>
          <cell r="K164">
            <v>0.64404541853710062</v>
          </cell>
        </row>
        <row r="165">
          <cell r="B165" t="str">
            <v>TTKPRESTIG</v>
          </cell>
          <cell r="C165">
            <v>2.0397756246812851E-2</v>
          </cell>
          <cell r="F165" t="str">
            <v>TTKPRESTIG</v>
          </cell>
          <cell r="G165">
            <v>38.25</v>
          </cell>
          <cell r="J165" t="str">
            <v>TTKPRESTIG</v>
          </cell>
          <cell r="K165">
            <v>0.2719881744271988</v>
          </cell>
        </row>
        <row r="166">
          <cell r="B166" t="str">
            <v>EUREKAFORBE</v>
          </cell>
          <cell r="C166">
            <v>1.5373528705260629E-2</v>
          </cell>
          <cell r="F166" t="str">
            <v>EUREKAFORBE</v>
          </cell>
          <cell r="G166">
            <v>4.4000000000000004</v>
          </cell>
          <cell r="J166" t="str">
            <v>EUREKAFORBE</v>
          </cell>
          <cell r="K166">
            <v>0.31664478003939595</v>
          </cell>
        </row>
        <row r="167">
          <cell r="B167" t="str">
            <v>IFBIND</v>
          </cell>
          <cell r="C167">
            <v>0.21397799382895732</v>
          </cell>
          <cell r="F167" t="str">
            <v>IFBIND</v>
          </cell>
          <cell r="G167">
            <v>1.3793103448275863</v>
          </cell>
          <cell r="J167" t="str">
            <v>IFBIND</v>
          </cell>
          <cell r="K167">
            <v>0.68773774842864477</v>
          </cell>
        </row>
        <row r="168">
          <cell r="B168" t="str">
            <v>ORIENTELEC</v>
          </cell>
          <cell r="C168">
            <v>2.860579267301629E-2</v>
          </cell>
          <cell r="F168" t="str">
            <v>ORIENTELEC</v>
          </cell>
          <cell r="G168">
            <v>4.4090909090909092</v>
          </cell>
          <cell r="J168" t="str">
            <v>ORIENTELEC</v>
          </cell>
          <cell r="K168">
            <v>0.49927160564159745</v>
          </cell>
        </row>
        <row r="169">
          <cell r="B169" t="str">
            <v>JCHAC</v>
          </cell>
          <cell r="C169">
            <v>0.37383177570093457</v>
          </cell>
          <cell r="F169" t="str">
            <v>JCHAC</v>
          </cell>
          <cell r="G169">
            <v>-12.6</v>
          </cell>
          <cell r="J169" t="str">
            <v>JCHAC</v>
          </cell>
          <cell r="K169">
            <v>0.52926421404682278</v>
          </cell>
        </row>
        <row r="170">
          <cell r="B170" t="str">
            <v>CARYSIL</v>
          </cell>
          <cell r="C170">
            <v>0.63221884498480241</v>
          </cell>
          <cell r="F170" t="str">
            <v>CARYSIL</v>
          </cell>
          <cell r="G170">
            <v>5.7142857142857144</v>
          </cell>
          <cell r="J170" t="str">
            <v>CARYSIL</v>
          </cell>
          <cell r="K170">
            <v>0.55838926174496639</v>
          </cell>
        </row>
        <row r="191">
          <cell r="B191" t="str">
            <v>COMPANY</v>
          </cell>
          <cell r="C191" t="str">
            <v>ROE</v>
          </cell>
          <cell r="D191" t="str">
            <v>ROA</v>
          </cell>
          <cell r="H191" t="str">
            <v>TRAIL_PE</v>
          </cell>
          <cell r="I191" t="str">
            <v>PBV</v>
          </cell>
          <cell r="M191" t="str">
            <v>YIELD</v>
          </cell>
        </row>
        <row r="192">
          <cell r="B192" t="str">
            <v>VOLTAS</v>
          </cell>
          <cell r="C192">
            <v>2.3629243273484167E-2</v>
          </cell>
          <cell r="D192">
            <v>1.3586549316176985E-2</v>
          </cell>
          <cell r="G192" t="str">
            <v>VOLTAS</v>
          </cell>
          <cell r="H192">
            <v>129.65517241379311</v>
          </cell>
          <cell r="I192">
            <v>6.2312231155396933</v>
          </cell>
          <cell r="L192" t="str">
            <v>VOLTAS</v>
          </cell>
          <cell r="M192">
            <v>7.7127659574468084E-3</v>
          </cell>
        </row>
        <row r="193">
          <cell r="B193" t="str">
            <v>BLUESTARCO</v>
          </cell>
          <cell r="C193">
            <v>0.16981748865406907</v>
          </cell>
          <cell r="D193">
            <v>6.6084680910118224E-2</v>
          </cell>
          <cell r="G193" t="str">
            <v>BLUESTARCO</v>
          </cell>
          <cell r="H193">
            <v>52.853648593558908</v>
          </cell>
          <cell r="I193">
            <v>11.1224865329489</v>
          </cell>
          <cell r="L193" t="str">
            <v>BLUESTARCO</v>
          </cell>
          <cell r="M193">
            <v>1.8920169687620517E-2</v>
          </cell>
        </row>
        <row r="194">
          <cell r="B194" t="str">
            <v>CROMPTON</v>
          </cell>
          <cell r="C194">
            <v>0.14913236360667986</v>
          </cell>
          <cell r="D194">
            <v>8.2238835428836574E-2</v>
          </cell>
          <cell r="G194" t="str">
            <v>CROMPTON</v>
          </cell>
          <cell r="H194">
            <v>44.634703196347033</v>
          </cell>
          <cell r="I194">
            <v>5.6660787263968695</v>
          </cell>
          <cell r="L194" t="str">
            <v>CROMPTON</v>
          </cell>
          <cell r="M194">
            <v>2.2404092071611256E-2</v>
          </cell>
        </row>
        <row r="195">
          <cell r="B195" t="str">
            <v>WHIRLPOOL</v>
          </cell>
          <cell r="C195">
            <v>5.9833646364368123E-2</v>
          </cell>
          <cell r="D195">
            <v>4.0420518397679898E-2</v>
          </cell>
          <cell r="G195" t="str">
            <v>WHIRLPOOL</v>
          </cell>
          <cell r="H195">
            <v>81.744708146247604</v>
          </cell>
          <cell r="I195">
            <v>4.1995018162947586</v>
          </cell>
          <cell r="L195" t="str">
            <v>WHIRLPOOL</v>
          </cell>
          <cell r="M195">
            <v>1.223320778405524E-2</v>
          </cell>
        </row>
        <row r="196">
          <cell r="B196" t="str">
            <v>VGUARD</v>
          </cell>
          <cell r="C196">
            <v>0.11232949986627441</v>
          </cell>
          <cell r="D196">
            <v>6.3930400427555698E-2</v>
          </cell>
          <cell r="G196" t="str">
            <v>VGUARD</v>
          </cell>
          <cell r="H196">
            <v>57.947761194029852</v>
          </cell>
          <cell r="I196">
            <v>7.801442725534506</v>
          </cell>
          <cell r="L196" t="str">
            <v>VGUARD</v>
          </cell>
          <cell r="M196">
            <v>1.7256922086284609E-2</v>
          </cell>
        </row>
        <row r="197">
          <cell r="B197" t="str">
            <v>AMBER</v>
          </cell>
          <cell r="C197">
            <v>8.1377933100349478E-2</v>
          </cell>
          <cell r="D197">
            <v>3.5197581515871303E-2</v>
          </cell>
          <cell r="G197" t="str">
            <v>AMBER</v>
          </cell>
          <cell r="H197">
            <v>92.366050260787105</v>
          </cell>
          <cell r="I197">
            <v>6.314734774066797</v>
          </cell>
          <cell r="L197" t="str">
            <v>AMBER</v>
          </cell>
          <cell r="M197">
            <v>1.0826488706365503E-2</v>
          </cell>
        </row>
        <row r="198">
          <cell r="B198" t="str">
            <v>BAJAJELEC</v>
          </cell>
          <cell r="C198">
            <v>0.16226415094339622</v>
          </cell>
          <cell r="D198">
            <v>5.6773171375759178E-2</v>
          </cell>
          <cell r="G198" t="str">
            <v>BAJAJELEC</v>
          </cell>
          <cell r="H198">
            <v>75.570570570570567</v>
          </cell>
          <cell r="I198">
            <v>8.5874629080118687</v>
          </cell>
          <cell r="L198" t="str">
            <v>BAJAJELEC</v>
          </cell>
          <cell r="M198">
            <v>1.3232664414861912E-2</v>
          </cell>
        </row>
        <row r="199">
          <cell r="B199" t="str">
            <v>TTKPRESTIG</v>
          </cell>
          <cell r="C199">
            <v>0.13003569607343193</v>
          </cell>
          <cell r="D199">
            <v>9.4235033259423506E-2</v>
          </cell>
          <cell r="G199" t="str">
            <v>TTKPRESTIG</v>
          </cell>
          <cell r="H199">
            <v>45.589480048367591</v>
          </cell>
          <cell r="I199">
            <v>4.9658814589665656</v>
          </cell>
          <cell r="L199" t="str">
            <v>TTKPRESTIG</v>
          </cell>
          <cell r="M199">
            <v>2.1934884954578609E-2</v>
          </cell>
        </row>
        <row r="200">
          <cell r="B200" t="str">
            <v>EUREKAFORBE</v>
          </cell>
          <cell r="C200">
            <v>5.0444391064136439E-3</v>
          </cell>
          <cell r="D200">
            <v>3.4471437951411688E-3</v>
          </cell>
          <cell r="G200" t="str">
            <v>EUREKAFORBE</v>
          </cell>
          <cell r="H200">
            <v>97.620481927710827</v>
          </cell>
          <cell r="I200">
            <v>2.1539703856749313</v>
          </cell>
          <cell r="L200" t="str">
            <v>EUREKAFORBE</v>
          </cell>
          <cell r="M200">
            <v>1.0243751928417156E-2</v>
          </cell>
        </row>
        <row r="201">
          <cell r="B201" t="str">
            <v>IFBIND</v>
          </cell>
          <cell r="C201">
            <v>2.1831518891541016E-2</v>
          </cell>
          <cell r="D201">
            <v>6.8171592442951741E-3</v>
          </cell>
          <cell r="G201" t="str">
            <v>IFBIND</v>
          </cell>
          <cell r="H201">
            <v>197.00854700854703</v>
          </cell>
          <cell r="I201">
            <v>7.8381899060903955</v>
          </cell>
          <cell r="L201" t="str">
            <v>IFBIND</v>
          </cell>
          <cell r="M201">
            <v>5.0759219088937092E-3</v>
          </cell>
        </row>
        <row r="202">
          <cell r="B202" t="str">
            <v>ORIENTELEC</v>
          </cell>
          <cell r="C202">
            <v>0.1235250138152976</v>
          </cell>
          <cell r="D202">
            <v>6.1852481830833458E-2</v>
          </cell>
          <cell r="G202" t="str">
            <v>ORIENTELEC</v>
          </cell>
          <cell r="H202">
            <v>51.507352941176471</v>
          </cell>
          <cell r="I202">
            <v>7.04461357210179</v>
          </cell>
          <cell r="L202" t="str">
            <v>ORIENTELEC</v>
          </cell>
          <cell r="M202">
            <v>1.9414703783012133E-2</v>
          </cell>
        </row>
        <row r="203">
          <cell r="B203" t="str">
            <v>JCHAC</v>
          </cell>
          <cell r="C203">
            <v>-0.15327102803738318</v>
          </cell>
          <cell r="D203">
            <v>-6.8561872909698993E-2</v>
          </cell>
          <cell r="G203" t="str">
            <v>JCHAC</v>
          </cell>
          <cell r="H203">
            <v>-24.771595583459625</v>
          </cell>
          <cell r="I203">
            <v>5.4970462633451964</v>
          </cell>
          <cell r="L203" t="str">
            <v>JCHAC</v>
          </cell>
          <cell r="M203">
            <v>-4.0368816640447468E-2</v>
          </cell>
        </row>
        <row r="204">
          <cell r="B204" t="str">
            <v>CARYSIL</v>
          </cell>
          <cell r="C204">
            <v>0.1580547112462006</v>
          </cell>
          <cell r="D204">
            <v>6.9798657718120799E-2</v>
          </cell>
          <cell r="G204" t="str">
            <v>CARYSIL</v>
          </cell>
          <cell r="H204">
            <v>44.08038444735692</v>
          </cell>
          <cell r="I204">
            <v>7.5523952095808387</v>
          </cell>
          <cell r="L204" t="str">
            <v>CARYSIL</v>
          </cell>
          <cell r="M204">
            <v>2.2685827552031714E-2</v>
          </cell>
        </row>
      </sheetData>
      <sheetData sheetId="1">
        <row r="5">
          <cell r="R5">
            <v>1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F3BFC6-D409-4B13-A8B5-61CA9CF91BDC}" name="Table_1" displayName="Table_1" ref="G58:G70" headerRowCount="0">
  <tableColumns count="1">
    <tableColumn id="1" xr3:uid="{764BAF00-3AB1-4193-8720-D449416FBA20}" name="Column1"/>
  </tableColumns>
  <tableStyleInfo name="Copy of  Household Applianc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A278A4-52BF-4AD2-AD84-0C57233DA109}" name="Table_2" displayName="Table_2" ref="G158:G170" headerRowCount="0">
  <tableColumns count="1">
    <tableColumn id="1" xr3:uid="{02110A74-9379-4397-B878-E43B397E61B0}" name="Column1"/>
  </tableColumns>
  <tableStyleInfo name="Copy of  Household Applianc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93C989-5ACF-4634-9B4B-B846A411A15C}" name="Table_3" displayName="Table_3" ref="D192:D204" headerRowCount="0">
  <tableColumns count="1">
    <tableColumn id="1" xr3:uid="{1E92D63C-903E-4406-84DD-41D920457CEB}" name="Column1"/>
  </tableColumns>
  <tableStyleInfo name="Copy of  Household Appliances-style 3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seindia.com/stock-share-price/ttk-prestige-ltd/ttkprestig/517506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7C92-313B-4D99-825B-4BCBECE69119}">
  <dimension ref="A1:Y1016"/>
  <sheetViews>
    <sheetView showGridLines="0" tabSelected="1" workbookViewId="0"/>
  </sheetViews>
  <sheetFormatPr defaultColWidth="12.6640625" defaultRowHeight="15.75" customHeight="1"/>
  <cols>
    <col min="1" max="1" width="5.88671875" customWidth="1"/>
    <col min="2" max="2" width="17.33203125" customWidth="1"/>
    <col min="3" max="3" width="16.6640625" customWidth="1"/>
    <col min="4" max="4" width="10.109375" customWidth="1"/>
    <col min="5" max="5" width="11" customWidth="1"/>
    <col min="6" max="6" width="11.6640625" customWidth="1"/>
    <col min="7" max="7" width="13.77734375" customWidth="1"/>
    <col min="8" max="8" width="11.33203125" customWidth="1"/>
    <col min="9" max="9" width="15.33203125" customWidth="1"/>
    <col min="10" max="10" width="14.33203125" customWidth="1"/>
    <col min="11" max="11" width="7.77734375" customWidth="1"/>
    <col min="12" max="12" width="9.88671875" customWidth="1"/>
    <col min="13" max="13" width="12.33203125" customWidth="1"/>
    <col min="14" max="14" width="13.88671875" customWidth="1"/>
    <col min="15" max="15" width="12.109375" customWidth="1"/>
    <col min="16" max="16" width="17.33203125" customWidth="1"/>
    <col min="17" max="17" width="11.6640625" customWidth="1"/>
    <col min="18" max="18" width="11.44140625" customWidth="1"/>
    <col min="19" max="19" width="13.77734375" customWidth="1"/>
    <col min="20" max="20" width="7.21875" customWidth="1"/>
    <col min="21" max="22" width="15.33203125" customWidth="1"/>
    <col min="23" max="23" width="8.88671875" customWidth="1"/>
    <col min="24" max="24" width="8.44140625" customWidth="1"/>
    <col min="25" max="25" width="10.6640625" customWidth="1"/>
    <col min="26" max="30" width="7.6640625" customWidth="1"/>
  </cols>
  <sheetData>
    <row r="1" spans="1:22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4" t="s">
        <v>0</v>
      </c>
      <c r="S1" s="1"/>
      <c r="T1" s="1"/>
    </row>
    <row r="2" spans="1:22" ht="14.25" customHeight="1">
      <c r="A2" s="1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</row>
    <row r="3" spans="1:22" ht="14.25" customHeight="1">
      <c r="A3" s="1"/>
      <c r="B3" s="5" t="s">
        <v>22</v>
      </c>
      <c r="C3" s="6">
        <f ca="1">IFERROR(__xludf.DUMMYFUNCTION("GOOGLEFINANCE(""nse:""&amp;$B$3,""price"")"),697.3)</f>
        <v>697.3</v>
      </c>
      <c r="D3" s="6">
        <f ca="1">IFERROR(__xludf.DUMMYFUNCTION("GOOGLEFINANCE(""nse:""&amp;$B$3,""MARKETCAP"")/10000000"),9696.5277117)</f>
        <v>9696.5277117000005</v>
      </c>
      <c r="E3" s="7">
        <f t="shared" ref="E3:G3" si="0">D47</f>
        <v>2721.46</v>
      </c>
      <c r="F3" s="7">
        <f t="shared" si="0"/>
        <v>220.43826000000001</v>
      </c>
      <c r="G3" s="7">
        <f t="shared" si="0"/>
        <v>15.772399999999999</v>
      </c>
      <c r="H3" s="7">
        <f>G34</f>
        <v>13.9</v>
      </c>
      <c r="I3" s="7">
        <v>1946</v>
      </c>
      <c r="J3" s="7">
        <v>40.75</v>
      </c>
      <c r="K3" s="7">
        <v>121</v>
      </c>
      <c r="L3" s="7">
        <f>'[1]HouseHold INDUSTRY'!R5</f>
        <v>1</v>
      </c>
      <c r="M3" s="6">
        <v>1936</v>
      </c>
      <c r="N3" s="6">
        <v>608</v>
      </c>
      <c r="O3" s="6">
        <v>2707</v>
      </c>
      <c r="P3" s="6">
        <f>2707-N3</f>
        <v>2099</v>
      </c>
      <c r="Q3" s="6">
        <v>349</v>
      </c>
      <c r="R3" s="8">
        <v>84</v>
      </c>
      <c r="S3" s="8">
        <v>48</v>
      </c>
      <c r="T3" s="8">
        <v>-94</v>
      </c>
      <c r="U3" s="8">
        <f t="shared" ref="U3:U4" si="1">SUM(R3:T3)</f>
        <v>38</v>
      </c>
      <c r="V3" s="9">
        <v>0.46</v>
      </c>
    </row>
    <row r="4" spans="1:22" ht="14.25" customHeight="1">
      <c r="A4" s="1"/>
      <c r="B4" s="10" t="s">
        <v>23</v>
      </c>
      <c r="C4" s="11">
        <v>827</v>
      </c>
      <c r="D4" s="12">
        <f ca="1">(C4*D3)/C3</f>
        <v>11500.11245887839</v>
      </c>
      <c r="E4" s="7">
        <f t="shared" ref="E4:G4" si="2">D34</f>
        <v>2777</v>
      </c>
      <c r="F4" s="7">
        <f t="shared" si="2"/>
        <v>255</v>
      </c>
      <c r="G4" s="7">
        <f t="shared" si="2"/>
        <v>18.34</v>
      </c>
      <c r="H4" s="7">
        <f>G33</f>
        <v>13.86</v>
      </c>
      <c r="I4" s="7">
        <v>1925</v>
      </c>
      <c r="J4" s="12">
        <v>39.82</v>
      </c>
      <c r="K4" s="11">
        <v>90</v>
      </c>
      <c r="L4" s="11">
        <v>1</v>
      </c>
      <c r="M4" s="11">
        <v>1862</v>
      </c>
      <c r="N4" s="11">
        <v>496</v>
      </c>
      <c r="O4" s="11">
        <v>2588</v>
      </c>
      <c r="P4" s="11">
        <f>2585-N4</f>
        <v>2089</v>
      </c>
      <c r="Q4" s="11">
        <v>333</v>
      </c>
      <c r="R4" s="8">
        <v>23</v>
      </c>
      <c r="S4" s="8">
        <v>46</v>
      </c>
      <c r="T4" s="8">
        <v>-57</v>
      </c>
      <c r="U4" s="8">
        <f t="shared" si="1"/>
        <v>12</v>
      </c>
      <c r="V4" s="9">
        <v>40</v>
      </c>
    </row>
    <row r="5" spans="1:22" ht="14.25" customHeight="1">
      <c r="A5" s="1"/>
      <c r="B5" s="13" t="s">
        <v>24</v>
      </c>
      <c r="C5" s="14">
        <f t="shared" ref="C5:V5" ca="1" si="3">(C3/C4)-1</f>
        <v>-0.15683192261185008</v>
      </c>
      <c r="D5" s="14">
        <f t="shared" ca="1" si="3"/>
        <v>-0.15683192261185008</v>
      </c>
      <c r="E5" s="14">
        <f t="shared" si="3"/>
        <v>-2.0000000000000018E-2</v>
      </c>
      <c r="F5" s="14">
        <f t="shared" si="3"/>
        <v>-0.13553623529411762</v>
      </c>
      <c r="G5" s="14">
        <f t="shared" si="3"/>
        <v>-0.14000000000000001</v>
      </c>
      <c r="H5" s="14">
        <f t="shared" si="3"/>
        <v>2.8860028860029363E-3</v>
      </c>
      <c r="I5" s="14">
        <f t="shared" si="3"/>
        <v>1.0909090909090979E-2</v>
      </c>
      <c r="J5" s="14">
        <f t="shared" si="3"/>
        <v>2.3355097940733316E-2</v>
      </c>
      <c r="K5" s="14">
        <f t="shared" si="3"/>
        <v>0.34444444444444455</v>
      </c>
      <c r="L5" s="14">
        <f t="shared" si="3"/>
        <v>0</v>
      </c>
      <c r="M5" s="14">
        <f t="shared" si="3"/>
        <v>3.9742212674543476E-2</v>
      </c>
      <c r="N5" s="14">
        <f t="shared" si="3"/>
        <v>0.22580645161290325</v>
      </c>
      <c r="O5" s="14">
        <f t="shared" si="3"/>
        <v>4.5981452859350957E-2</v>
      </c>
      <c r="P5" s="14">
        <f t="shared" si="3"/>
        <v>4.7869794159884904E-3</v>
      </c>
      <c r="Q5" s="14">
        <f t="shared" si="3"/>
        <v>4.8048048048048075E-2</v>
      </c>
      <c r="R5" s="15">
        <f t="shared" si="3"/>
        <v>2.652173913043478</v>
      </c>
      <c r="S5" s="15">
        <f t="shared" si="3"/>
        <v>4.3478260869565188E-2</v>
      </c>
      <c r="T5" s="15">
        <f t="shared" si="3"/>
        <v>0.64912280701754388</v>
      </c>
      <c r="U5" s="15">
        <f t="shared" si="3"/>
        <v>2.1666666666666665</v>
      </c>
      <c r="V5" s="15">
        <f t="shared" si="3"/>
        <v>-0.98850000000000005</v>
      </c>
    </row>
    <row r="6" spans="1:22" ht="14.25" customHeight="1">
      <c r="A6" s="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  <c r="S6" s="3"/>
    </row>
    <row r="7" spans="1:22" ht="14.25" customHeight="1">
      <c r="A7" s="1"/>
      <c r="B7" s="16" t="s">
        <v>24</v>
      </c>
      <c r="C7" s="11"/>
      <c r="D7" s="16" t="s">
        <v>25</v>
      </c>
      <c r="E7" s="11"/>
      <c r="F7" s="11"/>
      <c r="G7" s="16" t="s">
        <v>26</v>
      </c>
      <c r="H7" s="11"/>
      <c r="I7" s="11"/>
      <c r="J7" s="16" t="s">
        <v>27</v>
      </c>
      <c r="K7" s="11"/>
      <c r="L7" s="11"/>
      <c r="M7" s="16" t="s">
        <v>28</v>
      </c>
      <c r="N7" s="11"/>
      <c r="O7" s="11"/>
      <c r="P7" s="11"/>
      <c r="Q7" s="11"/>
      <c r="R7" s="17"/>
    </row>
    <row r="8" spans="1:22" ht="14.4">
      <c r="A8" s="1"/>
      <c r="B8" s="18" t="s">
        <v>29</v>
      </c>
      <c r="C8" s="18" t="s">
        <v>30</v>
      </c>
      <c r="D8" s="19" t="s">
        <v>31</v>
      </c>
      <c r="E8" s="18" t="s">
        <v>32</v>
      </c>
      <c r="F8" s="18" t="s">
        <v>33</v>
      </c>
      <c r="G8" s="18" t="s">
        <v>34</v>
      </c>
      <c r="H8" s="18" t="s">
        <v>35</v>
      </c>
      <c r="I8" s="18" t="s">
        <v>36</v>
      </c>
      <c r="J8" s="18" t="s">
        <v>37</v>
      </c>
      <c r="K8" s="18" t="s">
        <v>38</v>
      </c>
      <c r="L8" s="18" t="s">
        <v>39</v>
      </c>
      <c r="M8" s="18" t="s">
        <v>40</v>
      </c>
      <c r="N8" s="18" t="s">
        <v>41</v>
      </c>
      <c r="O8" s="18" t="s">
        <v>42</v>
      </c>
      <c r="P8" s="18" t="s">
        <v>43</v>
      </c>
      <c r="Q8" s="11"/>
    </row>
    <row r="9" spans="1:22" ht="14.4">
      <c r="A9" s="1"/>
      <c r="B9" s="20">
        <f>S37</f>
        <v>-5.1246537396121838E-2</v>
      </c>
      <c r="C9" s="20">
        <f>S40</f>
        <v>-0.14795918367346939</v>
      </c>
      <c r="D9" s="21">
        <f>Q41</f>
        <v>8.1265206812652063E-2</v>
      </c>
      <c r="E9" s="22">
        <f>M3/N3</f>
        <v>3.1842105263157894</v>
      </c>
      <c r="F9" s="23">
        <f>(Q3/E3)*365</f>
        <v>46.807595922776748</v>
      </c>
      <c r="G9" s="20">
        <f>J3/(I3+H3)</f>
        <v>2.0791877136588602E-2</v>
      </c>
      <c r="H9" s="20">
        <f>P3/O3</f>
        <v>0.77539711858145544</v>
      </c>
      <c r="I9" s="23">
        <f>Q43</f>
        <v>19.888888888888889</v>
      </c>
      <c r="J9" s="20">
        <f>F3/(H3+I3)</f>
        <v>0.11247423848155519</v>
      </c>
      <c r="K9" s="23">
        <f>F3/H3</f>
        <v>15.858867625899281</v>
      </c>
      <c r="L9" s="20">
        <f>F3/O3</f>
        <v>8.1432678241595863E-2</v>
      </c>
      <c r="M9" s="23">
        <f ca="1">C3/G3</f>
        <v>44.210139230554638</v>
      </c>
      <c r="N9" s="21">
        <f ca="1">G3/C3</f>
        <v>2.2619245661838521E-2</v>
      </c>
      <c r="O9" s="23">
        <f>(H3+I3)/(H3/L3)</f>
        <v>141</v>
      </c>
      <c r="P9" s="23">
        <f ca="1">C3/O9</f>
        <v>4.9453900709219853</v>
      </c>
      <c r="Q9" s="11"/>
    </row>
    <row r="10" spans="1:22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22" ht="14.4">
      <c r="A11" s="1"/>
      <c r="B11" s="4" t="s">
        <v>44</v>
      </c>
      <c r="C11" s="4" t="s">
        <v>45</v>
      </c>
      <c r="D11" s="4" t="s">
        <v>46</v>
      </c>
      <c r="E11" s="4" t="s">
        <v>47</v>
      </c>
      <c r="F11" s="4" t="s">
        <v>48</v>
      </c>
      <c r="G11" s="4" t="s">
        <v>49</v>
      </c>
      <c r="H11" s="4" t="s">
        <v>50</v>
      </c>
      <c r="I11" s="4" t="s">
        <v>51</v>
      </c>
      <c r="J11" s="4" t="s">
        <v>52</v>
      </c>
      <c r="K11" s="4" t="s">
        <v>53</v>
      </c>
      <c r="L11" s="4" t="s">
        <v>54</v>
      </c>
      <c r="M11" s="4" t="s">
        <v>55</v>
      </c>
      <c r="N11" s="4" t="s">
        <v>56</v>
      </c>
      <c r="O11" s="1"/>
    </row>
    <row r="12" spans="1:22" ht="14.4">
      <c r="A12" s="1"/>
      <c r="C12" s="24" t="s">
        <v>57</v>
      </c>
      <c r="D12" s="25">
        <v>139</v>
      </c>
      <c r="E12" s="25">
        <v>1.6</v>
      </c>
      <c r="F12" s="26">
        <f>(E12*F13)/E13</f>
        <v>1.0971428571428572</v>
      </c>
      <c r="G12" s="27">
        <v>11.33</v>
      </c>
      <c r="H12" s="28">
        <v>68</v>
      </c>
      <c r="I12" s="28">
        <v>50</v>
      </c>
      <c r="J12" s="26">
        <v>18.05</v>
      </c>
      <c r="K12" s="26">
        <v>10.45</v>
      </c>
      <c r="L12" s="29">
        <f t="shared" ref="L12:L33" si="4">E12/D12</f>
        <v>1.1510791366906475E-2</v>
      </c>
      <c r="M12" s="30">
        <f t="shared" ref="M12:M34" si="5">J12/F12</f>
        <v>16.451822916666668</v>
      </c>
      <c r="N12" s="30">
        <f t="shared" ref="N12:N33" si="6">K12/F12</f>
        <v>9.5247395833333321</v>
      </c>
      <c r="O12" s="1"/>
    </row>
    <row r="13" spans="1:22" ht="14.4">
      <c r="A13" s="1"/>
      <c r="B13" s="3"/>
      <c r="C13" s="24" t="s">
        <v>58</v>
      </c>
      <c r="D13" s="25">
        <v>141</v>
      </c>
      <c r="E13" s="31">
        <v>0.7</v>
      </c>
      <c r="F13" s="26">
        <v>0.48</v>
      </c>
      <c r="G13" s="27">
        <v>11.33</v>
      </c>
      <c r="H13" s="28">
        <v>66</v>
      </c>
      <c r="I13" s="28">
        <v>66</v>
      </c>
      <c r="J13" s="26">
        <v>18.05</v>
      </c>
      <c r="K13" s="26">
        <v>10.45</v>
      </c>
      <c r="L13" s="29">
        <f t="shared" si="4"/>
        <v>4.9645390070921979E-3</v>
      </c>
      <c r="M13" s="30">
        <f t="shared" si="5"/>
        <v>37.604166666666671</v>
      </c>
      <c r="N13" s="30">
        <f t="shared" si="6"/>
        <v>21.770833333333332</v>
      </c>
      <c r="O13" s="1"/>
    </row>
    <row r="14" spans="1:22" ht="14.4">
      <c r="A14" s="1"/>
      <c r="B14" s="3"/>
      <c r="C14" s="24" t="s">
        <v>59</v>
      </c>
      <c r="D14" s="31">
        <v>113</v>
      </c>
      <c r="E14" s="32">
        <v>-12</v>
      </c>
      <c r="F14" s="33">
        <v>-10.119999999999999</v>
      </c>
      <c r="G14" s="27">
        <v>11.33</v>
      </c>
      <c r="H14" s="28">
        <v>34</v>
      </c>
      <c r="I14" s="28">
        <v>81</v>
      </c>
      <c r="J14" s="26">
        <v>28</v>
      </c>
      <c r="K14" s="26">
        <v>5.75</v>
      </c>
      <c r="L14" s="29">
        <f t="shared" si="4"/>
        <v>-0.10619469026548672</v>
      </c>
      <c r="M14" s="30">
        <f t="shared" si="5"/>
        <v>-2.766798418972332</v>
      </c>
      <c r="N14" s="30">
        <f t="shared" si="6"/>
        <v>-0.56818181818181823</v>
      </c>
      <c r="O14" s="1"/>
    </row>
    <row r="15" spans="1:22" ht="14.4">
      <c r="A15" s="1"/>
      <c r="B15" s="3"/>
      <c r="C15" s="24" t="s">
        <v>60</v>
      </c>
      <c r="D15" s="25">
        <v>153</v>
      </c>
      <c r="E15" s="25">
        <v>0.2</v>
      </c>
      <c r="F15" s="26">
        <v>0.19</v>
      </c>
      <c r="G15" s="27">
        <v>11.33</v>
      </c>
      <c r="H15" s="28">
        <v>31</v>
      </c>
      <c r="I15" s="28">
        <v>77</v>
      </c>
      <c r="J15" s="26">
        <v>22</v>
      </c>
      <c r="K15" s="26">
        <v>7.1</v>
      </c>
      <c r="L15" s="29">
        <f t="shared" si="4"/>
        <v>1.3071895424836603E-3</v>
      </c>
      <c r="M15" s="30">
        <f t="shared" si="5"/>
        <v>115.78947368421052</v>
      </c>
      <c r="N15" s="30">
        <f t="shared" si="6"/>
        <v>37.368421052631575</v>
      </c>
      <c r="O15" s="1"/>
    </row>
    <row r="16" spans="1:22" ht="14.4">
      <c r="A16" s="1"/>
      <c r="B16" s="3"/>
      <c r="C16" s="24" t="s">
        <v>61</v>
      </c>
      <c r="D16" s="25">
        <v>192</v>
      </c>
      <c r="E16" s="25">
        <v>3.8</v>
      </c>
      <c r="F16" s="26">
        <v>3.36</v>
      </c>
      <c r="G16" s="27">
        <v>11.33</v>
      </c>
      <c r="H16" s="28">
        <v>32</v>
      </c>
      <c r="I16" s="28">
        <v>65</v>
      </c>
      <c r="J16" s="26">
        <v>53.5</v>
      </c>
      <c r="K16" s="26">
        <v>13</v>
      </c>
      <c r="L16" s="29">
        <f t="shared" si="4"/>
        <v>1.9791666666666666E-2</v>
      </c>
      <c r="M16" s="30">
        <f t="shared" si="5"/>
        <v>15.922619047619047</v>
      </c>
      <c r="N16" s="30">
        <f t="shared" si="6"/>
        <v>3.8690476190476191</v>
      </c>
      <c r="O16" s="1"/>
    </row>
    <row r="17" spans="1:21" ht="14.4">
      <c r="A17" s="1"/>
      <c r="B17" s="3"/>
      <c r="C17" s="24" t="s">
        <v>62</v>
      </c>
      <c r="D17" s="25">
        <v>232</v>
      </c>
      <c r="E17" s="25">
        <v>7.1</v>
      </c>
      <c r="F17" s="26">
        <v>6.27</v>
      </c>
      <c r="G17" s="27">
        <v>11.33</v>
      </c>
      <c r="H17" s="28">
        <v>36</v>
      </c>
      <c r="I17" s="28">
        <v>57</v>
      </c>
      <c r="J17" s="26">
        <v>184.6</v>
      </c>
      <c r="K17" s="26">
        <v>42.5</v>
      </c>
      <c r="L17" s="29">
        <f t="shared" si="4"/>
        <v>3.0603448275862068E-2</v>
      </c>
      <c r="M17" s="30">
        <f t="shared" si="5"/>
        <v>29.441786283891549</v>
      </c>
      <c r="N17" s="30">
        <f t="shared" si="6"/>
        <v>6.7783094098883581</v>
      </c>
      <c r="O17" s="1"/>
    </row>
    <row r="18" spans="1:21" ht="14.4">
      <c r="A18" s="1"/>
      <c r="B18" s="3"/>
      <c r="C18" s="24" t="s">
        <v>63</v>
      </c>
      <c r="D18" s="25">
        <v>294</v>
      </c>
      <c r="E18" s="25">
        <v>12</v>
      </c>
      <c r="F18" s="26">
        <v>10.37</v>
      </c>
      <c r="G18" s="27">
        <v>11.33</v>
      </c>
      <c r="H18" s="28">
        <v>44</v>
      </c>
      <c r="I18" s="28">
        <v>74</v>
      </c>
      <c r="J18" s="26">
        <v>166</v>
      </c>
      <c r="K18" s="26">
        <v>72.8</v>
      </c>
      <c r="L18" s="29">
        <f t="shared" si="4"/>
        <v>4.0816326530612242E-2</v>
      </c>
      <c r="M18" s="30">
        <f t="shared" si="5"/>
        <v>16.00771456123433</v>
      </c>
      <c r="N18" s="30">
        <f t="shared" si="6"/>
        <v>7.0202507232401157</v>
      </c>
      <c r="O18" s="1"/>
    </row>
    <row r="19" spans="1:21" ht="14.4">
      <c r="A19" s="1"/>
      <c r="B19" s="3"/>
      <c r="C19" s="24" t="s">
        <v>64</v>
      </c>
      <c r="D19" s="25">
        <v>341</v>
      </c>
      <c r="E19" s="25">
        <v>21</v>
      </c>
      <c r="F19" s="26">
        <v>18.21</v>
      </c>
      <c r="G19" s="27">
        <v>11.33</v>
      </c>
      <c r="H19" s="28">
        <v>58</v>
      </c>
      <c r="I19" s="28">
        <v>47</v>
      </c>
      <c r="J19" s="26">
        <v>233.7</v>
      </c>
      <c r="K19" s="26">
        <v>102</v>
      </c>
      <c r="L19" s="29">
        <f t="shared" si="4"/>
        <v>6.1583577712609971E-2</v>
      </c>
      <c r="M19" s="30">
        <f t="shared" si="5"/>
        <v>12.833607907742998</v>
      </c>
      <c r="N19" s="30">
        <f t="shared" si="6"/>
        <v>5.6013179571663922</v>
      </c>
      <c r="O19" s="1"/>
    </row>
    <row r="20" spans="1:21" ht="14.4">
      <c r="A20" s="1"/>
      <c r="B20" s="3"/>
      <c r="C20" s="24" t="s">
        <v>65</v>
      </c>
      <c r="D20" s="25">
        <v>417</v>
      </c>
      <c r="E20" s="25">
        <v>22</v>
      </c>
      <c r="F20" s="26">
        <v>19.77</v>
      </c>
      <c r="G20" s="27">
        <v>11.33</v>
      </c>
      <c r="H20" s="28">
        <v>73</v>
      </c>
      <c r="I20" s="28">
        <v>21</v>
      </c>
      <c r="J20" s="26">
        <v>169.5</v>
      </c>
      <c r="K20" s="26">
        <v>93</v>
      </c>
      <c r="L20" s="29">
        <f t="shared" si="4"/>
        <v>5.2757793764988008E-2</v>
      </c>
      <c r="M20" s="30">
        <f t="shared" si="5"/>
        <v>8.5735963581183618</v>
      </c>
      <c r="N20" s="30">
        <f t="shared" si="6"/>
        <v>4.7040971168437027</v>
      </c>
      <c r="O20" s="1"/>
    </row>
    <row r="21" spans="1:21" ht="14.4">
      <c r="A21" s="1"/>
      <c r="B21" s="3"/>
      <c r="C21" s="24" t="s">
        <v>66</v>
      </c>
      <c r="D21" s="25">
        <v>518</v>
      </c>
      <c r="E21" s="25">
        <v>52</v>
      </c>
      <c r="F21" s="26">
        <v>46.33</v>
      </c>
      <c r="G21" s="27">
        <v>11.33</v>
      </c>
      <c r="H21" s="28">
        <v>113</v>
      </c>
      <c r="I21" s="28">
        <v>3</v>
      </c>
      <c r="J21" s="26">
        <v>628</v>
      </c>
      <c r="K21" s="26">
        <v>90</v>
      </c>
      <c r="L21" s="29">
        <f t="shared" si="4"/>
        <v>0.10038610038610038</v>
      </c>
      <c r="M21" s="30">
        <f t="shared" si="5"/>
        <v>13.554932009497087</v>
      </c>
      <c r="N21" s="30">
        <f t="shared" si="6"/>
        <v>1.9425857975393914</v>
      </c>
      <c r="O21" s="3"/>
    </row>
    <row r="22" spans="1:21" ht="14.4">
      <c r="A22" s="1"/>
      <c r="B22" s="3"/>
      <c r="C22" s="24" t="s">
        <v>67</v>
      </c>
      <c r="D22" s="25">
        <v>776</v>
      </c>
      <c r="E22" s="25">
        <v>84</v>
      </c>
      <c r="F22" s="26">
        <v>73.98</v>
      </c>
      <c r="G22" s="27">
        <v>11.33</v>
      </c>
      <c r="H22" s="28">
        <v>180</v>
      </c>
      <c r="I22" s="28">
        <v>2</v>
      </c>
      <c r="J22" s="26">
        <v>2288.25</v>
      </c>
      <c r="K22" s="26">
        <v>562</v>
      </c>
      <c r="L22" s="29">
        <f t="shared" si="4"/>
        <v>0.10824742268041238</v>
      </c>
      <c r="M22" s="30">
        <f t="shared" si="5"/>
        <v>30.930656934306569</v>
      </c>
      <c r="N22" s="30">
        <f t="shared" si="6"/>
        <v>7.5966477426331434</v>
      </c>
      <c r="O22" s="3"/>
    </row>
    <row r="23" spans="1:21" ht="14.4">
      <c r="A23" s="1"/>
      <c r="B23" s="3"/>
      <c r="C23" s="24" t="s">
        <v>68</v>
      </c>
      <c r="D23" s="25">
        <v>1123</v>
      </c>
      <c r="E23" s="25">
        <v>113</v>
      </c>
      <c r="F23" s="26">
        <v>100.13</v>
      </c>
      <c r="G23" s="27">
        <v>11.33</v>
      </c>
      <c r="H23" s="28">
        <v>274</v>
      </c>
      <c r="I23" s="28">
        <v>79</v>
      </c>
      <c r="J23" s="26">
        <v>3244</v>
      </c>
      <c r="K23" s="26">
        <v>2115</v>
      </c>
      <c r="L23" s="29">
        <f t="shared" si="4"/>
        <v>0.10062333036509349</v>
      </c>
      <c r="M23" s="30">
        <f t="shared" si="5"/>
        <v>32.39788275242185</v>
      </c>
      <c r="N23" s="30">
        <f t="shared" si="6"/>
        <v>21.122540697093779</v>
      </c>
      <c r="O23" s="3"/>
      <c r="U23" s="1"/>
    </row>
    <row r="24" spans="1:21" ht="14.4">
      <c r="A24" s="1"/>
      <c r="B24" s="3"/>
      <c r="C24" s="24" t="s">
        <v>69</v>
      </c>
      <c r="D24" s="25">
        <v>1386</v>
      </c>
      <c r="E24" s="25">
        <v>133</v>
      </c>
      <c r="F24" s="26">
        <v>117.35</v>
      </c>
      <c r="G24" s="27">
        <v>11.33</v>
      </c>
      <c r="H24" s="28">
        <v>384</v>
      </c>
      <c r="I24" s="28">
        <v>115</v>
      </c>
      <c r="J24" s="26">
        <v>3996</v>
      </c>
      <c r="K24" s="26">
        <v>2650</v>
      </c>
      <c r="L24" s="29">
        <f t="shared" si="4"/>
        <v>9.5959595959595953E-2</v>
      </c>
      <c r="M24" s="30">
        <f t="shared" si="5"/>
        <v>34.051981252662976</v>
      </c>
      <c r="N24" s="30">
        <f t="shared" si="6"/>
        <v>22.58201959948871</v>
      </c>
      <c r="O24" s="3"/>
      <c r="T24" s="34"/>
    </row>
    <row r="25" spans="1:21" ht="14.4">
      <c r="A25" s="1"/>
      <c r="B25" s="3"/>
      <c r="C25" s="24" t="s">
        <v>70</v>
      </c>
      <c r="D25" s="31">
        <v>1323</v>
      </c>
      <c r="E25" s="31">
        <v>112</v>
      </c>
      <c r="F25" s="26">
        <v>96.78</v>
      </c>
      <c r="G25" s="27">
        <v>11.65</v>
      </c>
      <c r="H25" s="28">
        <v>574</v>
      </c>
      <c r="I25" s="28">
        <v>27</v>
      </c>
      <c r="J25" s="26">
        <v>3899</v>
      </c>
      <c r="K25" s="26">
        <v>2700</v>
      </c>
      <c r="L25" s="29">
        <f t="shared" si="4"/>
        <v>8.4656084656084651E-2</v>
      </c>
      <c r="M25" s="30">
        <f t="shared" si="5"/>
        <v>40.287249431700765</v>
      </c>
      <c r="N25" s="30">
        <f t="shared" si="6"/>
        <v>27.898326100433973</v>
      </c>
      <c r="O25" s="3"/>
      <c r="T25" s="17"/>
    </row>
    <row r="26" spans="1:21" ht="14.4">
      <c r="A26" s="1"/>
      <c r="B26" s="3"/>
      <c r="C26" s="24" t="s">
        <v>71</v>
      </c>
      <c r="D26" s="25">
        <v>1422</v>
      </c>
      <c r="E26" s="31">
        <v>92</v>
      </c>
      <c r="F26" s="26">
        <v>79.3</v>
      </c>
      <c r="G26" s="27">
        <v>11.65</v>
      </c>
      <c r="H26" s="28">
        <v>634</v>
      </c>
      <c r="I26" s="28">
        <v>0</v>
      </c>
      <c r="J26" s="26">
        <v>4830</v>
      </c>
      <c r="K26" s="26">
        <v>2953</v>
      </c>
      <c r="L26" s="29">
        <f t="shared" si="4"/>
        <v>6.4697609001406475E-2</v>
      </c>
      <c r="M26" s="30">
        <f t="shared" si="5"/>
        <v>60.907944514501892</v>
      </c>
      <c r="N26" s="30">
        <f t="shared" si="6"/>
        <v>37.238335435056747</v>
      </c>
      <c r="O26" s="3"/>
      <c r="T26" s="17"/>
    </row>
    <row r="27" spans="1:21" ht="14.4">
      <c r="A27" s="1"/>
      <c r="B27" s="3"/>
      <c r="C27" s="24" t="s">
        <v>72</v>
      </c>
      <c r="D27" s="25">
        <v>1559</v>
      </c>
      <c r="E27" s="25">
        <v>115</v>
      </c>
      <c r="F27" s="26">
        <v>98.63</v>
      </c>
      <c r="G27" s="27">
        <v>11.65</v>
      </c>
      <c r="H27" s="28">
        <v>711</v>
      </c>
      <c r="I27" s="28">
        <v>0</v>
      </c>
      <c r="J27" s="26">
        <v>4970</v>
      </c>
      <c r="K27" s="26">
        <v>3450</v>
      </c>
      <c r="L27" s="29">
        <f t="shared" si="4"/>
        <v>7.3765234124438736E-2</v>
      </c>
      <c r="M27" s="30">
        <f t="shared" si="5"/>
        <v>50.390347764371896</v>
      </c>
      <c r="N27" s="30">
        <f t="shared" si="6"/>
        <v>34.979215248910073</v>
      </c>
      <c r="O27" s="3"/>
      <c r="T27" s="17"/>
    </row>
    <row r="28" spans="1:21" ht="14.4">
      <c r="A28" s="1"/>
      <c r="B28" s="3"/>
      <c r="C28" s="24" t="s">
        <v>73</v>
      </c>
      <c r="D28" s="25">
        <v>1683</v>
      </c>
      <c r="E28" s="25">
        <v>143</v>
      </c>
      <c r="F28" s="26">
        <v>122.81</v>
      </c>
      <c r="G28" s="27">
        <v>11.65</v>
      </c>
      <c r="H28" s="28">
        <v>845</v>
      </c>
      <c r="I28" s="28">
        <v>0</v>
      </c>
      <c r="J28" s="26">
        <v>6550</v>
      </c>
      <c r="K28" s="26">
        <v>4211</v>
      </c>
      <c r="L28" s="29">
        <f t="shared" si="4"/>
        <v>8.4967320261437912E-2</v>
      </c>
      <c r="M28" s="30">
        <f t="shared" si="5"/>
        <v>53.334419021252337</v>
      </c>
      <c r="N28" s="30">
        <f t="shared" si="6"/>
        <v>34.288738702060094</v>
      </c>
      <c r="O28" s="1"/>
      <c r="T28" s="17"/>
    </row>
    <row r="29" spans="1:21" ht="15.75" customHeight="1">
      <c r="B29" s="3" t="s">
        <v>74</v>
      </c>
      <c r="C29" s="24" t="s">
        <v>75</v>
      </c>
      <c r="D29" s="25">
        <v>1849</v>
      </c>
      <c r="E29" s="25">
        <v>257</v>
      </c>
      <c r="F29" s="26">
        <v>221.74</v>
      </c>
      <c r="G29" s="27">
        <v>11.56</v>
      </c>
      <c r="H29" s="28">
        <v>994</v>
      </c>
      <c r="I29" s="28">
        <v>0</v>
      </c>
      <c r="J29" s="26">
        <v>8911</v>
      </c>
      <c r="K29" s="26">
        <v>5860</v>
      </c>
      <c r="L29" s="29">
        <f t="shared" si="4"/>
        <v>0.13899405083829097</v>
      </c>
      <c r="M29" s="30">
        <f t="shared" si="5"/>
        <v>40.186705150175882</v>
      </c>
      <c r="N29" s="30">
        <f t="shared" si="6"/>
        <v>26.427347343735907</v>
      </c>
      <c r="O29" s="1"/>
      <c r="T29" s="17"/>
    </row>
    <row r="30" spans="1:21" ht="15.75" customHeight="1">
      <c r="A30" s="1"/>
      <c r="B30" s="3" t="s">
        <v>76</v>
      </c>
      <c r="C30" s="24" t="s">
        <v>77</v>
      </c>
      <c r="D30" s="35">
        <v>2106</v>
      </c>
      <c r="E30" s="36">
        <v>190</v>
      </c>
      <c r="F30" s="37">
        <v>138.76</v>
      </c>
      <c r="G30" s="27">
        <v>11.56</v>
      </c>
      <c r="H30" s="28">
        <v>1142</v>
      </c>
      <c r="I30" s="28">
        <v>0</v>
      </c>
      <c r="J30" s="37">
        <v>8702</v>
      </c>
      <c r="K30" s="37">
        <v>4400</v>
      </c>
      <c r="L30" s="29">
        <f t="shared" si="4"/>
        <v>9.0218423551756882E-2</v>
      </c>
      <c r="M30" s="38">
        <f t="shared" si="5"/>
        <v>62.712597290285387</v>
      </c>
      <c r="N30" s="38">
        <f t="shared" si="6"/>
        <v>31.709426347650624</v>
      </c>
      <c r="O30" s="1"/>
      <c r="T30" s="17"/>
    </row>
    <row r="31" spans="1:21" ht="15.75" customHeight="1">
      <c r="A31" s="1"/>
      <c r="B31" s="3"/>
      <c r="C31" s="24" t="s">
        <v>78</v>
      </c>
      <c r="D31" s="39">
        <v>2073</v>
      </c>
      <c r="E31" s="40">
        <v>199</v>
      </c>
      <c r="F31" s="30">
        <v>133</v>
      </c>
      <c r="G31" s="27">
        <v>13.86</v>
      </c>
      <c r="H31" s="28">
        <v>1287</v>
      </c>
      <c r="I31" s="28">
        <v>19</v>
      </c>
      <c r="J31" s="30">
        <v>7300</v>
      </c>
      <c r="K31" s="30">
        <v>3918</v>
      </c>
      <c r="L31" s="29">
        <f t="shared" si="4"/>
        <v>9.5996140858658943E-2</v>
      </c>
      <c r="M31" s="38">
        <f t="shared" si="5"/>
        <v>54.887218045112782</v>
      </c>
      <c r="N31" s="38">
        <f t="shared" si="6"/>
        <v>29.458646616541355</v>
      </c>
      <c r="O31" s="1"/>
      <c r="T31" s="17"/>
    </row>
    <row r="32" spans="1:21" ht="15.75" customHeight="1">
      <c r="A32" s="1"/>
      <c r="B32" s="3"/>
      <c r="C32" s="24" t="s">
        <v>79</v>
      </c>
      <c r="D32" s="40">
        <v>2187</v>
      </c>
      <c r="E32" s="40">
        <v>237</v>
      </c>
      <c r="F32" s="30">
        <v>171</v>
      </c>
      <c r="G32" s="27">
        <v>13.86</v>
      </c>
      <c r="H32" s="28">
        <v>1491</v>
      </c>
      <c r="I32" s="28">
        <v>40</v>
      </c>
      <c r="J32" s="30">
        <v>8056</v>
      </c>
      <c r="K32" s="30">
        <v>4450</v>
      </c>
      <c r="L32" s="29">
        <f t="shared" si="4"/>
        <v>0.1083676268861454</v>
      </c>
      <c r="M32" s="38">
        <f t="shared" si="5"/>
        <v>47.111111111111114</v>
      </c>
      <c r="N32" s="38">
        <f t="shared" si="6"/>
        <v>26.023391812865498</v>
      </c>
      <c r="O32" s="1"/>
      <c r="T32" s="17"/>
    </row>
    <row r="33" spans="1:25" ht="15.75" customHeight="1">
      <c r="A33" s="1"/>
      <c r="B33" s="3" t="s">
        <v>80</v>
      </c>
      <c r="C33" s="24" t="s">
        <v>81</v>
      </c>
      <c r="D33" s="40">
        <v>2723</v>
      </c>
      <c r="E33" s="40">
        <v>306</v>
      </c>
      <c r="F33" s="30">
        <v>21.99</v>
      </c>
      <c r="G33" s="27">
        <v>13.86</v>
      </c>
      <c r="H33" s="28">
        <v>1714</v>
      </c>
      <c r="I33" s="28">
        <v>40</v>
      </c>
      <c r="J33" s="30">
        <v>1265</v>
      </c>
      <c r="K33" s="30">
        <v>682</v>
      </c>
      <c r="L33" s="29">
        <f t="shared" si="4"/>
        <v>0.1123760558207859</v>
      </c>
      <c r="M33" s="38">
        <f t="shared" si="5"/>
        <v>57.526148249204191</v>
      </c>
      <c r="N33" s="38">
        <f t="shared" si="6"/>
        <v>31.014097316962257</v>
      </c>
      <c r="O33" s="1"/>
    </row>
    <row r="34" spans="1:25" ht="15.75" customHeight="1">
      <c r="A34" s="1"/>
      <c r="B34" s="3"/>
      <c r="C34" s="24" t="s">
        <v>82</v>
      </c>
      <c r="D34" s="40">
        <v>2777</v>
      </c>
      <c r="E34" s="40">
        <v>255</v>
      </c>
      <c r="F34" s="30">
        <v>18.34</v>
      </c>
      <c r="G34" s="41">
        <v>13.9</v>
      </c>
      <c r="H34" s="8">
        <v>1922</v>
      </c>
      <c r="I34" s="41">
        <v>40.75</v>
      </c>
      <c r="J34" s="30">
        <v>1050</v>
      </c>
      <c r="K34" s="30">
        <v>652</v>
      </c>
      <c r="L34" s="29">
        <v>9.1999999999999998E-2</v>
      </c>
      <c r="M34" s="38">
        <f t="shared" si="5"/>
        <v>57.251908396946568</v>
      </c>
      <c r="N34" s="38">
        <f>K34/G34</f>
        <v>46.906474820143885</v>
      </c>
      <c r="O34" s="1"/>
      <c r="T34" s="1"/>
    </row>
    <row r="35" spans="1:25" ht="15.75" customHeight="1">
      <c r="A35" s="1"/>
      <c r="B35" s="3"/>
      <c r="C35" s="42"/>
      <c r="D35" s="42"/>
      <c r="E35" s="42"/>
      <c r="F35" s="30"/>
      <c r="G35" s="43"/>
      <c r="J35" s="30"/>
      <c r="K35" s="30"/>
      <c r="L35" s="42"/>
      <c r="M35" s="42"/>
      <c r="N35" s="44"/>
      <c r="O35" s="1"/>
      <c r="T35" s="1"/>
    </row>
    <row r="36" spans="1:25" ht="15.75" customHeight="1">
      <c r="A36" s="1"/>
      <c r="B36" s="4" t="s">
        <v>83</v>
      </c>
      <c r="C36" s="4" t="s">
        <v>45</v>
      </c>
      <c r="D36" s="4" t="s">
        <v>46</v>
      </c>
      <c r="E36" s="4" t="s">
        <v>47</v>
      </c>
      <c r="F36" s="4" t="s">
        <v>48</v>
      </c>
      <c r="G36" s="4" t="s">
        <v>49</v>
      </c>
      <c r="H36" s="4" t="s">
        <v>50</v>
      </c>
      <c r="I36" s="4" t="s">
        <v>51</v>
      </c>
      <c r="J36" s="4" t="s">
        <v>52</v>
      </c>
      <c r="K36" s="4" t="s">
        <v>53</v>
      </c>
      <c r="L36" s="4" t="s">
        <v>54</v>
      </c>
      <c r="M36" s="4" t="s">
        <v>55</v>
      </c>
      <c r="N36" s="4" t="s">
        <v>56</v>
      </c>
      <c r="O36" s="1"/>
      <c r="P36" s="4" t="s">
        <v>84</v>
      </c>
      <c r="Q36" s="45" t="s">
        <v>85</v>
      </c>
      <c r="R36" s="45" t="s">
        <v>86</v>
      </c>
      <c r="S36" s="46" t="s">
        <v>24</v>
      </c>
      <c r="U36" s="4" t="s">
        <v>87</v>
      </c>
      <c r="V36" s="45" t="s">
        <v>88</v>
      </c>
      <c r="W36" s="45" t="s">
        <v>89</v>
      </c>
      <c r="X36" s="46" t="s">
        <v>24</v>
      </c>
    </row>
    <row r="37" spans="1:25" ht="15.75" customHeight="1">
      <c r="A37" s="1"/>
      <c r="C37" s="47" t="s">
        <v>90</v>
      </c>
      <c r="D37" s="48">
        <f t="shared" ref="D37:I37" si="7">(D34/D14)^(1/20)-1</f>
        <v>0.17361289275112912</v>
      </c>
      <c r="E37" s="48" t="e">
        <f t="shared" si="7"/>
        <v>#NUM!</v>
      </c>
      <c r="F37" s="48" t="e">
        <f t="shared" si="7"/>
        <v>#NUM!</v>
      </c>
      <c r="G37" s="48">
        <f t="shared" si="7"/>
        <v>1.0274158678349465E-2</v>
      </c>
      <c r="H37" s="48">
        <f t="shared" si="7"/>
        <v>0.22352746708205551</v>
      </c>
      <c r="I37" s="48">
        <f t="shared" si="7"/>
        <v>-3.376641322929852E-2</v>
      </c>
      <c r="J37" s="48">
        <f t="shared" ref="J37:K37" si="8">((10*J34)/J14)^(1/20)-1</f>
        <v>0.34493582922000821</v>
      </c>
      <c r="K37" s="48">
        <f t="shared" si="8"/>
        <v>0.42144148927431502</v>
      </c>
      <c r="L37" s="48">
        <f t="shared" ref="L37:N37" si="9">MEDIAN(L14:L34)</f>
        <v>8.4967320261437912E-2</v>
      </c>
      <c r="M37" s="49">
        <f t="shared" si="9"/>
        <v>40.186705150175882</v>
      </c>
      <c r="N37" s="49">
        <f t="shared" si="9"/>
        <v>26.023391812865498</v>
      </c>
      <c r="O37" s="50"/>
      <c r="P37" s="4" t="s">
        <v>4</v>
      </c>
      <c r="Q37" s="51">
        <v>2055</v>
      </c>
      <c r="R37" s="51">
        <v>2166</v>
      </c>
      <c r="S37" s="52">
        <f t="shared" ref="S37:S40" si="10">(Q37/R37)-1</f>
        <v>-5.1246537396121838E-2</v>
      </c>
      <c r="U37" s="4" t="s">
        <v>4</v>
      </c>
      <c r="V37" s="51">
        <v>1317</v>
      </c>
      <c r="W37" s="51">
        <v>1471</v>
      </c>
      <c r="X37" s="52">
        <f t="shared" ref="X37:X40" si="11">(V37/W37)-1</f>
        <v>-0.10469068660774983</v>
      </c>
      <c r="Y37" s="17"/>
    </row>
    <row r="38" spans="1:25" ht="15.75" customHeight="1">
      <c r="A38" s="1"/>
      <c r="B38" s="50"/>
      <c r="C38" s="24" t="s">
        <v>91</v>
      </c>
      <c r="D38" s="52">
        <f t="shared" ref="D38:E38" si="12">(D34/D24)^(1/10)-1</f>
        <v>7.1966627130277905E-2</v>
      </c>
      <c r="E38" s="52">
        <f t="shared" si="12"/>
        <v>6.7256611674500144E-2</v>
      </c>
      <c r="F38" s="52">
        <f>((10*F34)/F24)^(1/10)-1</f>
        <v>4.5662717412912279E-2</v>
      </c>
      <c r="G38" s="52">
        <f t="shared" ref="G38:I38" si="13">(G34/G24)^(1/10)-1</f>
        <v>2.0653875693246837E-2</v>
      </c>
      <c r="H38" s="52">
        <f t="shared" si="13"/>
        <v>0.17474124191129281</v>
      </c>
      <c r="I38" s="52">
        <f t="shared" si="13"/>
        <v>-9.8547230627501925E-2</v>
      </c>
      <c r="J38" s="52">
        <f t="shared" ref="J38:K38" si="14">((10*J34)/J24)^(1/10)-1</f>
        <v>0.10142868280260253</v>
      </c>
      <c r="K38" s="52">
        <f t="shared" si="14"/>
        <v>9.4208721844371235E-2</v>
      </c>
      <c r="L38" s="52">
        <f t="shared" ref="L38:N38" si="15">MEDIAN(L24:L34)</f>
        <v>9.1999999999999998E-2</v>
      </c>
      <c r="M38" s="53">
        <f t="shared" si="15"/>
        <v>53.334419021252337</v>
      </c>
      <c r="N38" s="53">
        <f t="shared" si="15"/>
        <v>31.014097316962257</v>
      </c>
      <c r="O38" s="50"/>
      <c r="P38" s="4" t="s">
        <v>92</v>
      </c>
      <c r="Q38" s="51">
        <v>9</v>
      </c>
      <c r="R38" s="51">
        <v>5</v>
      </c>
      <c r="S38" s="52">
        <f t="shared" si="10"/>
        <v>0.8</v>
      </c>
      <c r="U38" s="4" t="s">
        <v>92</v>
      </c>
      <c r="V38" s="51">
        <v>6</v>
      </c>
      <c r="W38" s="51">
        <v>3</v>
      </c>
      <c r="X38" s="52">
        <f t="shared" si="11"/>
        <v>1</v>
      </c>
    </row>
    <row r="39" spans="1:25" ht="15.75" customHeight="1">
      <c r="A39" s="1"/>
      <c r="B39" s="50"/>
      <c r="C39" s="24" t="s">
        <v>93</v>
      </c>
      <c r="D39" s="52">
        <f t="shared" ref="D39:E39" si="16">(D34/D29)^(1/5)-1</f>
        <v>8.4745341537689978E-2</v>
      </c>
      <c r="E39" s="52">
        <f t="shared" si="16"/>
        <v>-1.561287867360206E-3</v>
      </c>
      <c r="F39" s="52">
        <f>((10*F34)/F29)^(1/5)-1</f>
        <v>-3.7255474775190422E-2</v>
      </c>
      <c r="G39" s="52">
        <f t="shared" ref="G39:I39" si="17">(G34/G29)^(1/5)-1</f>
        <v>3.755563458197031E-2</v>
      </c>
      <c r="H39" s="52">
        <f t="shared" si="17"/>
        <v>0.14096783075125718</v>
      </c>
      <c r="I39" s="52" t="e">
        <f t="shared" si="17"/>
        <v>#DIV/0!</v>
      </c>
      <c r="J39" s="52">
        <f t="shared" ref="J39:K39" si="18">((10*J34)/J29)^(1/5)-1</f>
        <v>3.336219978289634E-2</v>
      </c>
      <c r="K39" s="52">
        <f t="shared" si="18"/>
        <v>2.1574387515454374E-2</v>
      </c>
      <c r="L39" s="52">
        <f>MEDIAN(L28:L33)</f>
        <v>0.10218188387240218</v>
      </c>
      <c r="M39" s="53">
        <f t="shared" ref="M39:N39" si="19">MEDIAN(M29:M34)</f>
        <v>56.069563221029675</v>
      </c>
      <c r="N39" s="53">
        <f t="shared" si="19"/>
        <v>30.236371966751804</v>
      </c>
      <c r="O39" s="50"/>
      <c r="P39" s="4" t="s">
        <v>94</v>
      </c>
      <c r="Q39" s="26">
        <v>1885</v>
      </c>
      <c r="R39" s="26">
        <v>1929</v>
      </c>
      <c r="S39" s="52">
        <f t="shared" si="10"/>
        <v>-2.2809745982374285E-2</v>
      </c>
      <c r="U39" s="4" t="s">
        <v>94</v>
      </c>
      <c r="V39" s="26">
        <v>1212</v>
      </c>
      <c r="W39" s="26">
        <v>1300</v>
      </c>
      <c r="X39" s="52">
        <f t="shared" si="11"/>
        <v>-6.7692307692307718E-2</v>
      </c>
    </row>
    <row r="40" spans="1:25" ht="15.75" customHeight="1">
      <c r="A40" s="1"/>
      <c r="B40" s="50"/>
      <c r="C40" s="24" t="s">
        <v>23</v>
      </c>
      <c r="D40" s="52">
        <f t="shared" ref="D40:K40" si="20">(D34/D33)-1</f>
        <v>1.9831068674256436E-2</v>
      </c>
      <c r="E40" s="52">
        <f t="shared" si="20"/>
        <v>-0.16666666666666663</v>
      </c>
      <c r="F40" s="52">
        <f t="shared" si="20"/>
        <v>-0.16598453842655747</v>
      </c>
      <c r="G40" s="52">
        <f t="shared" si="20"/>
        <v>2.8860028860029363E-3</v>
      </c>
      <c r="H40" s="52">
        <f t="shared" si="20"/>
        <v>0.1213535589264878</v>
      </c>
      <c r="I40" s="52">
        <f t="shared" si="20"/>
        <v>1.8750000000000044E-2</v>
      </c>
      <c r="J40" s="52">
        <f t="shared" si="20"/>
        <v>-0.16996047430830041</v>
      </c>
      <c r="K40" s="52">
        <f t="shared" si="20"/>
        <v>-4.3988269794721369E-2</v>
      </c>
      <c r="L40" s="52">
        <f t="shared" ref="L40:N40" si="21">L34</f>
        <v>9.1999999999999998E-2</v>
      </c>
      <c r="M40" s="53">
        <f t="shared" si="21"/>
        <v>57.251908396946568</v>
      </c>
      <c r="N40" s="53">
        <f t="shared" si="21"/>
        <v>46.906474820143885</v>
      </c>
      <c r="O40" s="54">
        <f>MEDIAN(M37:N39)</f>
        <v>35.600401233569073</v>
      </c>
      <c r="P40" s="4" t="s">
        <v>5</v>
      </c>
      <c r="Q40" s="51">
        <v>167</v>
      </c>
      <c r="R40" s="51">
        <v>196</v>
      </c>
      <c r="S40" s="52">
        <f t="shared" si="10"/>
        <v>-0.14795918367346939</v>
      </c>
      <c r="U40" s="4" t="s">
        <v>5</v>
      </c>
      <c r="V40" s="51">
        <v>106</v>
      </c>
      <c r="W40" s="51">
        <v>139</v>
      </c>
      <c r="X40" s="52">
        <f t="shared" si="11"/>
        <v>-0.23741007194244601</v>
      </c>
    </row>
    <row r="41" spans="1:25" ht="15.75" customHeight="1">
      <c r="A41" s="1"/>
      <c r="B41" s="50"/>
      <c r="C41" s="50"/>
      <c r="D41" s="55"/>
      <c r="E41" s="50"/>
      <c r="F41" s="50"/>
      <c r="G41" s="56"/>
      <c r="H41" s="56"/>
      <c r="I41" s="50"/>
      <c r="J41" s="50"/>
      <c r="K41" s="50"/>
      <c r="L41" s="50"/>
      <c r="M41" s="50"/>
      <c r="N41" s="50"/>
      <c r="O41" s="50"/>
      <c r="P41" s="4" t="s">
        <v>95</v>
      </c>
      <c r="Q41" s="57">
        <f t="shared" ref="Q41:R41" si="22">Q40/Q37</f>
        <v>8.1265206812652063E-2</v>
      </c>
      <c r="R41" s="57">
        <f t="shared" si="22"/>
        <v>9.0489381348107106E-2</v>
      </c>
      <c r="S41" s="58">
        <f>Q41-R41</f>
        <v>-9.2241745354550431E-3</v>
      </c>
      <c r="U41" s="4" t="s">
        <v>95</v>
      </c>
      <c r="V41" s="57">
        <f t="shared" ref="V41:W41" si="23">V40/V37</f>
        <v>8.0485952923310553E-2</v>
      </c>
      <c r="W41" s="57">
        <f t="shared" si="23"/>
        <v>9.4493541808293682E-2</v>
      </c>
      <c r="X41" s="58">
        <f>V41-W41</f>
        <v>-1.400758888498313E-2</v>
      </c>
    </row>
    <row r="42" spans="1:25" ht="15.75" customHeight="1">
      <c r="A42" s="1"/>
      <c r="B42" s="4" t="s">
        <v>96</v>
      </c>
      <c r="C42" s="4" t="s">
        <v>45</v>
      </c>
      <c r="D42" s="4" t="s">
        <v>46</v>
      </c>
      <c r="E42" s="4" t="s">
        <v>47</v>
      </c>
      <c r="F42" s="4" t="s">
        <v>48</v>
      </c>
      <c r="G42" s="4" t="s">
        <v>95</v>
      </c>
      <c r="H42" s="56"/>
      <c r="I42" s="4" t="s">
        <v>97</v>
      </c>
      <c r="J42" s="4" t="s">
        <v>98</v>
      </c>
      <c r="K42" s="4" t="s">
        <v>99</v>
      </c>
      <c r="L42" s="4" t="s">
        <v>88</v>
      </c>
      <c r="M42" s="4" t="s">
        <v>85</v>
      </c>
      <c r="N42" s="4" t="s">
        <v>100</v>
      </c>
      <c r="O42" s="50"/>
      <c r="P42" s="4" t="s">
        <v>48</v>
      </c>
      <c r="Q42" s="51">
        <v>12.25</v>
      </c>
      <c r="R42" s="51">
        <v>14.05</v>
      </c>
      <c r="S42" s="52">
        <f>(Q42/R42)-1</f>
        <v>-0.12811387900355875</v>
      </c>
      <c r="U42" s="4" t="s">
        <v>48</v>
      </c>
      <c r="V42" s="51">
        <v>7.74</v>
      </c>
      <c r="W42" s="51">
        <v>9.89</v>
      </c>
      <c r="X42" s="52">
        <f>(V42/W42)-1</f>
        <v>-0.21739130434782616</v>
      </c>
    </row>
    <row r="43" spans="1:25" ht="15.75" customHeight="1">
      <c r="A43" s="1"/>
      <c r="B43" s="59" t="s">
        <v>101</v>
      </c>
      <c r="C43" s="60" t="s">
        <v>102</v>
      </c>
      <c r="D43" s="61">
        <v>0.12</v>
      </c>
      <c r="E43" s="61">
        <v>0.12</v>
      </c>
      <c r="F43" s="61">
        <v>0.12</v>
      </c>
      <c r="G43" s="62">
        <f>AVERAGE(L37:L39)</f>
        <v>9.304973471128003E-2</v>
      </c>
      <c r="H43" s="56"/>
      <c r="I43" s="63" t="s">
        <v>103</v>
      </c>
      <c r="J43" s="64">
        <v>0.02</v>
      </c>
      <c r="K43" s="64">
        <f>(588/629)-1</f>
        <v>-6.5182829888712268E-2</v>
      </c>
      <c r="L43" s="64">
        <v>-0.1</v>
      </c>
      <c r="M43" s="64">
        <v>-0.05</v>
      </c>
      <c r="N43" s="64">
        <v>-0.02</v>
      </c>
      <c r="O43" s="65"/>
      <c r="P43" s="4" t="s">
        <v>36</v>
      </c>
      <c r="Q43" s="26">
        <f t="shared" ref="Q43:R43" si="24">(Q37-Q39+Q38)/Q38</f>
        <v>19.888888888888889</v>
      </c>
      <c r="R43" s="26">
        <f t="shared" si="24"/>
        <v>48.4</v>
      </c>
      <c r="S43" s="66">
        <f>Q43-R43</f>
        <v>-28.511111111111109</v>
      </c>
      <c r="U43" s="4" t="s">
        <v>36</v>
      </c>
      <c r="V43" s="26">
        <f t="shared" ref="V43:W43" si="25">(V37-V39+V38)/V38</f>
        <v>18.5</v>
      </c>
      <c r="W43" s="26">
        <f t="shared" si="25"/>
        <v>58</v>
      </c>
      <c r="X43" s="66">
        <f>V43-W43</f>
        <v>-39.5</v>
      </c>
    </row>
    <row r="44" spans="1:25" ht="15.75" customHeight="1">
      <c r="A44" s="1"/>
      <c r="B44" s="67" t="s">
        <v>104</v>
      </c>
      <c r="C44" s="60" t="s">
        <v>105</v>
      </c>
      <c r="D44" s="68">
        <v>-0.02</v>
      </c>
      <c r="E44" s="68">
        <f>(E47/E34)-1</f>
        <v>-0.13553623529411762</v>
      </c>
      <c r="F44" s="68">
        <v>-0.14000000000000001</v>
      </c>
      <c r="G44" s="69">
        <f>N45</f>
        <v>8.1000000000000003E-2</v>
      </c>
      <c r="I44" s="63" t="s">
        <v>47</v>
      </c>
      <c r="J44" s="64">
        <v>-0.16</v>
      </c>
      <c r="K44" s="64">
        <v>-0.13</v>
      </c>
      <c r="L44" s="64">
        <v>-0.24</v>
      </c>
      <c r="M44" s="64">
        <v>-0.15</v>
      </c>
      <c r="N44" s="64">
        <v>-0.14000000000000001</v>
      </c>
      <c r="O44" s="65"/>
    </row>
    <row r="45" spans="1:25" ht="15.75" customHeight="1">
      <c r="A45" s="1"/>
      <c r="I45" s="63" t="s">
        <v>95</v>
      </c>
      <c r="J45" s="70">
        <v>9.1999999999999998E-2</v>
      </c>
      <c r="K45" s="70">
        <v>0.08</v>
      </c>
      <c r="L45" s="70">
        <v>0.08</v>
      </c>
      <c r="M45" s="70">
        <v>8.1000000000000003E-2</v>
      </c>
      <c r="N45" s="70">
        <v>8.1000000000000003E-2</v>
      </c>
      <c r="O45" s="3"/>
      <c r="P45" s="4" t="s">
        <v>106</v>
      </c>
      <c r="Q45" s="45" t="s">
        <v>85</v>
      </c>
      <c r="R45" s="45" t="s">
        <v>86</v>
      </c>
      <c r="S45" s="46" t="s">
        <v>107</v>
      </c>
      <c r="T45" s="46" t="s">
        <v>24</v>
      </c>
      <c r="V45" s="4" t="s">
        <v>108</v>
      </c>
      <c r="W45" s="45" t="s">
        <v>85</v>
      </c>
      <c r="X45" s="45" t="s">
        <v>86</v>
      </c>
      <c r="Y45" s="46" t="s">
        <v>24</v>
      </c>
    </row>
    <row r="46" spans="1:25" ht="15.75" customHeight="1">
      <c r="A46" s="1"/>
      <c r="B46" s="4" t="s">
        <v>109</v>
      </c>
      <c r="C46" s="4" t="s">
        <v>45</v>
      </c>
      <c r="D46" s="4" t="s">
        <v>46</v>
      </c>
      <c r="E46" s="4" t="s">
        <v>47</v>
      </c>
      <c r="F46" s="4" t="s">
        <v>48</v>
      </c>
      <c r="G46" s="4" t="s">
        <v>110</v>
      </c>
      <c r="H46" s="34"/>
      <c r="O46" s="3"/>
      <c r="P46" s="4" t="s">
        <v>111</v>
      </c>
      <c r="Q46" s="51">
        <v>776</v>
      </c>
      <c r="R46" s="51">
        <v>874</v>
      </c>
      <c r="S46" s="52">
        <f t="shared" ref="S46:S52" si="26">Q46/$Q$54</f>
        <v>0.41167108753315651</v>
      </c>
      <c r="T46" s="52">
        <f t="shared" ref="T46:T51" si="27">(Q46/R46)-1</f>
        <v>-0.11212814645308922</v>
      </c>
      <c r="V46" s="4" t="s">
        <v>112</v>
      </c>
      <c r="W46" s="51">
        <v>601</v>
      </c>
      <c r="X46" s="51">
        <v>646</v>
      </c>
      <c r="Y46" s="52">
        <f t="shared" ref="Y46:Y49" si="28">(W46/X46)-1</f>
        <v>-6.9659442724458231E-2</v>
      </c>
    </row>
    <row r="47" spans="1:25" ht="15.75" customHeight="1">
      <c r="A47" s="1"/>
      <c r="B47" s="67"/>
      <c r="C47" s="24" t="s">
        <v>113</v>
      </c>
      <c r="D47" s="71">
        <f>FV(D44,1,0,-D34,0)</f>
        <v>2721.46</v>
      </c>
      <c r="E47" s="71">
        <f>D47*G44</f>
        <v>220.43826000000001</v>
      </c>
      <c r="F47" s="72">
        <f>FV(F44,1,0,-F34,0)</f>
        <v>15.772399999999999</v>
      </c>
      <c r="G47" s="71">
        <f t="shared" ref="G47:G48" si="29">F47*35</f>
        <v>552.03399999999999</v>
      </c>
      <c r="H47" s="34"/>
      <c r="I47" s="4" t="s">
        <v>114</v>
      </c>
      <c r="J47" s="4" t="s">
        <v>115</v>
      </c>
      <c r="K47" s="4" t="s">
        <v>116</v>
      </c>
      <c r="L47" s="4" t="s">
        <v>117</v>
      </c>
      <c r="M47" s="4" t="s">
        <v>118</v>
      </c>
      <c r="N47" s="4" t="s">
        <v>119</v>
      </c>
      <c r="O47" s="3"/>
      <c r="P47" s="4" t="s">
        <v>120</v>
      </c>
      <c r="Q47" s="51">
        <v>438</v>
      </c>
      <c r="R47" s="51">
        <v>502</v>
      </c>
      <c r="S47" s="52">
        <f t="shared" si="26"/>
        <v>0.23236074270557031</v>
      </c>
      <c r="T47" s="52">
        <f t="shared" si="27"/>
        <v>-0.12749003984063745</v>
      </c>
      <c r="V47" s="4" t="s">
        <v>121</v>
      </c>
      <c r="W47" s="51">
        <v>309</v>
      </c>
      <c r="X47" s="51">
        <v>334</v>
      </c>
      <c r="Y47" s="52">
        <f t="shared" si="28"/>
        <v>-7.4850299401197584E-2</v>
      </c>
    </row>
    <row r="48" spans="1:25" ht="15.75" customHeight="1">
      <c r="A48" s="1"/>
      <c r="B48" s="42"/>
      <c r="C48" s="24" t="s">
        <v>122</v>
      </c>
      <c r="D48" s="71">
        <f>FV(D43,6,0,-D47,0)</f>
        <v>5371.679484820851</v>
      </c>
      <c r="E48" s="71">
        <f>D48*G43</f>
        <v>499.83335101660555</v>
      </c>
      <c r="F48" s="71">
        <f>(E48*F47)/E47</f>
        <v>35.76317262517999</v>
      </c>
      <c r="G48" s="71">
        <f t="shared" si="29"/>
        <v>1251.7110418812997</v>
      </c>
      <c r="H48" s="34"/>
      <c r="I48" s="8"/>
      <c r="J48" s="9">
        <v>4.29</v>
      </c>
      <c r="K48" s="9">
        <v>3.46</v>
      </c>
      <c r="L48" s="9">
        <v>4.28</v>
      </c>
      <c r="M48" s="9">
        <v>4.51</v>
      </c>
      <c r="N48" s="9">
        <f>SUM(J48:M48)</f>
        <v>16.54</v>
      </c>
      <c r="O48" s="1"/>
      <c r="P48" s="4" t="s">
        <v>123</v>
      </c>
      <c r="Q48" s="26">
        <v>419</v>
      </c>
      <c r="R48" s="26">
        <v>431</v>
      </c>
      <c r="S48" s="52">
        <f t="shared" si="26"/>
        <v>0.22228116710875331</v>
      </c>
      <c r="T48" s="52">
        <f t="shared" si="27"/>
        <v>-2.784222737819031E-2</v>
      </c>
      <c r="V48" s="4" t="s">
        <v>124</v>
      </c>
      <c r="W48" s="51">
        <v>909</v>
      </c>
      <c r="X48" s="51">
        <v>996</v>
      </c>
      <c r="Y48" s="52">
        <f t="shared" si="28"/>
        <v>-8.7349397590361422E-2</v>
      </c>
    </row>
    <row r="49" spans="1:25" ht="15.75" customHeight="1">
      <c r="A49" s="1"/>
      <c r="B49" s="42"/>
      <c r="C49" s="24" t="s">
        <v>125</v>
      </c>
      <c r="D49" s="71">
        <f t="shared" ref="D49:F49" si="30">FV(D43,5,0,-D48,0)</f>
        <v>9466.7346648900893</v>
      </c>
      <c r="E49" s="71">
        <f t="shared" si="30"/>
        <v>880.87714915010133</v>
      </c>
      <c r="F49" s="71">
        <f t="shared" si="30"/>
        <v>63.026929840831883</v>
      </c>
      <c r="G49" s="71">
        <f>F49*30</f>
        <v>1890.8078952249566</v>
      </c>
      <c r="H49" s="34"/>
      <c r="O49" s="1"/>
      <c r="P49" s="4" t="s">
        <v>126</v>
      </c>
      <c r="Q49" s="51">
        <v>202</v>
      </c>
      <c r="R49" s="51">
        <v>168</v>
      </c>
      <c r="S49" s="52">
        <f t="shared" si="26"/>
        <v>0.10716180371352785</v>
      </c>
      <c r="T49" s="52">
        <f t="shared" si="27"/>
        <v>0.20238095238095233</v>
      </c>
      <c r="V49" s="4" t="s">
        <v>127</v>
      </c>
      <c r="W49" s="51">
        <v>101</v>
      </c>
      <c r="X49" s="51">
        <v>83</v>
      </c>
      <c r="Y49" s="52">
        <f t="shared" si="28"/>
        <v>0.2168674698795181</v>
      </c>
    </row>
    <row r="50" spans="1:25" ht="15.75" customHeight="1">
      <c r="A50" s="1"/>
      <c r="B50" s="50"/>
      <c r="C50" s="73"/>
      <c r="D50" s="74"/>
      <c r="E50" s="74"/>
      <c r="F50" s="74"/>
      <c r="G50" s="74"/>
      <c r="H50" s="1"/>
      <c r="K50" s="75" t="s">
        <v>48</v>
      </c>
      <c r="L50" s="75" t="s">
        <v>114</v>
      </c>
      <c r="M50" s="75" t="s">
        <v>6</v>
      </c>
      <c r="N50" s="75" t="s">
        <v>128</v>
      </c>
      <c r="O50" s="1"/>
      <c r="P50" s="4" t="s">
        <v>129</v>
      </c>
      <c r="Q50" s="51">
        <v>48</v>
      </c>
      <c r="R50" s="51">
        <v>37</v>
      </c>
      <c r="S50" s="52">
        <f t="shared" si="26"/>
        <v>2.546419098143236E-2</v>
      </c>
      <c r="T50" s="52">
        <f t="shared" si="27"/>
        <v>0.29729729729729737</v>
      </c>
      <c r="V50" s="3"/>
    </row>
    <row r="51" spans="1:25" ht="15.75" customHeight="1">
      <c r="A51" s="1"/>
      <c r="B51" s="1"/>
      <c r="C51" s="1"/>
      <c r="D51" s="1"/>
      <c r="E51" s="1"/>
      <c r="F51" s="1"/>
      <c r="G51" s="1"/>
      <c r="H51" s="1"/>
      <c r="K51" s="76">
        <v>18</v>
      </c>
      <c r="L51" s="76">
        <v>16.5</v>
      </c>
      <c r="M51" s="76">
        <v>15.8</v>
      </c>
      <c r="N51" s="77">
        <f ca="1">L53/(-15)</f>
        <v>-2.8173737373737371</v>
      </c>
      <c r="O51" s="1"/>
      <c r="P51" s="4" t="s">
        <v>92</v>
      </c>
      <c r="Q51" s="51">
        <v>9</v>
      </c>
      <c r="R51" s="51">
        <v>5</v>
      </c>
      <c r="S51" s="52">
        <f t="shared" si="26"/>
        <v>4.7745358090185673E-3</v>
      </c>
      <c r="T51" s="52">
        <f t="shared" si="27"/>
        <v>0.8</v>
      </c>
      <c r="V51" s="4" t="s">
        <v>130</v>
      </c>
      <c r="W51" s="78">
        <f t="shared" ref="W51:X51" si="31">SUM(W46:W49)</f>
        <v>1920</v>
      </c>
      <c r="X51" s="78">
        <f t="shared" si="31"/>
        <v>2059</v>
      </c>
      <c r="Y51" s="52">
        <f>(W51/X51)-1</f>
        <v>-6.7508499271491051E-2</v>
      </c>
    </row>
    <row r="52" spans="1:25" ht="15.75" customHeight="1">
      <c r="C52" s="1"/>
      <c r="D52" s="1"/>
      <c r="E52" s="1"/>
      <c r="F52" s="1"/>
      <c r="G52" s="1"/>
      <c r="H52" s="1"/>
      <c r="K52" s="75" t="s">
        <v>131</v>
      </c>
      <c r="L52" s="75" t="s">
        <v>132</v>
      </c>
      <c r="M52" s="75" t="s">
        <v>40</v>
      </c>
      <c r="N52" s="79"/>
      <c r="O52" s="1"/>
      <c r="P52" s="4" t="s">
        <v>133</v>
      </c>
      <c r="Q52" s="26">
        <v>-7</v>
      </c>
      <c r="R52" s="26">
        <v>-90</v>
      </c>
      <c r="S52" s="52">
        <f t="shared" si="26"/>
        <v>-3.7135278514588859E-3</v>
      </c>
      <c r="T52" s="52">
        <v>2.6</v>
      </c>
      <c r="V52" s="3"/>
    </row>
    <row r="53" spans="1:25" ht="15.75" customHeight="1">
      <c r="A53" s="1"/>
      <c r="B53" s="1"/>
      <c r="C53" s="1"/>
      <c r="D53" s="1"/>
      <c r="E53" s="1"/>
      <c r="F53" s="1"/>
      <c r="G53" s="1"/>
      <c r="H53" s="1"/>
      <c r="K53" s="80">
        <f>827/K51</f>
        <v>45.944444444444443</v>
      </c>
      <c r="L53" s="80">
        <f ca="1">C3/L51</f>
        <v>42.260606060606058</v>
      </c>
      <c r="M53" s="80">
        <f ca="1">C3/M51</f>
        <v>44.132911392405056</v>
      </c>
      <c r="N53" s="81"/>
      <c r="O53" s="1"/>
    </row>
    <row r="54" spans="1:25" ht="15.75" customHeight="1">
      <c r="P54" s="4" t="s">
        <v>130</v>
      </c>
      <c r="Q54" s="41">
        <f t="shared" ref="Q54:R54" si="32">SUM(Q46:Q52)</f>
        <v>1885</v>
      </c>
      <c r="R54" s="41">
        <f t="shared" si="32"/>
        <v>1927</v>
      </c>
      <c r="S54" s="52">
        <f>Q54/$Q$54</f>
        <v>1</v>
      </c>
      <c r="T54" s="52">
        <f>(Q54/R54)-1</f>
        <v>-2.1795537104307261E-2</v>
      </c>
    </row>
    <row r="57" spans="1:25" ht="15.75" customHeight="1">
      <c r="P57" s="82" t="s">
        <v>134</v>
      </c>
      <c r="Q57" s="83">
        <v>2023</v>
      </c>
      <c r="R57" s="83">
        <v>2001</v>
      </c>
      <c r="S57" s="84" t="s">
        <v>83</v>
      </c>
    </row>
    <row r="58" spans="1:25" ht="15.75" customHeight="1">
      <c r="P58" s="85" t="s">
        <v>135</v>
      </c>
      <c r="Q58" s="86">
        <v>0.70409999999999995</v>
      </c>
      <c r="R58" s="86">
        <v>0.72409999999999997</v>
      </c>
      <c r="S58" s="86">
        <f t="shared" ref="S58:S62" si="33">(Q58/R58)^(1/1)-1</f>
        <v>-2.7620494406849883E-2</v>
      </c>
    </row>
    <row r="59" spans="1:25" ht="15.75" customHeight="1">
      <c r="P59" s="87" t="s">
        <v>136</v>
      </c>
      <c r="Q59" s="86">
        <v>0.1358</v>
      </c>
      <c r="R59" s="86">
        <f>1.53%+1.56%</f>
        <v>3.0900000000000004E-2</v>
      </c>
      <c r="S59" s="86">
        <f t="shared" si="33"/>
        <v>3.3948220064724914</v>
      </c>
    </row>
    <row r="60" spans="1:25" ht="15.75" customHeight="1">
      <c r="P60" s="87" t="s">
        <v>137</v>
      </c>
      <c r="Q60" s="86">
        <v>8.8400000000000006E-2</v>
      </c>
      <c r="R60" s="86">
        <v>0</v>
      </c>
      <c r="S60" s="86" t="e">
        <f t="shared" si="33"/>
        <v>#DIV/0!</v>
      </c>
    </row>
    <row r="61" spans="1:25" ht="15.75" customHeight="1">
      <c r="P61" s="87" t="s">
        <v>138</v>
      </c>
      <c r="Q61" s="86">
        <f>5.96%+0.17%</f>
        <v>6.13E-2</v>
      </c>
      <c r="R61" s="86">
        <v>0.215</v>
      </c>
      <c r="S61" s="86">
        <f t="shared" si="33"/>
        <v>-0.71488372093023256</v>
      </c>
    </row>
    <row r="62" spans="1:25" ht="15.75" customHeight="1">
      <c r="P62" s="87" t="s">
        <v>127</v>
      </c>
      <c r="Q62" s="86">
        <v>0.01</v>
      </c>
      <c r="R62" s="86">
        <v>0.03</v>
      </c>
      <c r="S62" s="86">
        <f t="shared" si="33"/>
        <v>-0.66666666666666663</v>
      </c>
    </row>
    <row r="63" spans="1:25" ht="15.75" customHeight="1">
      <c r="P63" s="88"/>
      <c r="Q63" s="88"/>
      <c r="R63" s="88"/>
      <c r="S63" s="88"/>
    </row>
    <row r="64" spans="1:25" ht="15.75" customHeight="1">
      <c r="P64" s="89" t="s">
        <v>130</v>
      </c>
      <c r="Q64" s="90">
        <f t="shared" ref="Q64:R64" si="34">SUM(Q58:Q62)</f>
        <v>0.99960000000000004</v>
      </c>
      <c r="R64" s="90">
        <f t="shared" si="34"/>
        <v>1</v>
      </c>
      <c r="S64" s="91">
        <f>(Q64/R64)^(1/1)-1</f>
        <v>-3.9999999999995595E-4</v>
      </c>
    </row>
    <row r="77" spans="2:5" ht="15.75" customHeight="1">
      <c r="B77" s="92"/>
      <c r="C77" s="92"/>
      <c r="D77" s="92"/>
      <c r="E77" s="92"/>
    </row>
    <row r="94" spans="2:3" ht="15.75" customHeight="1">
      <c r="B94" s="3"/>
      <c r="C94" s="3"/>
    </row>
    <row r="95" spans="2:3" ht="15.75" customHeight="1">
      <c r="B95" s="3"/>
      <c r="C95" s="3"/>
    </row>
    <row r="96" spans="2:3" ht="15.75" customHeight="1">
      <c r="B96" s="3"/>
      <c r="C96" s="3"/>
    </row>
    <row r="97" spans="2:3" ht="15.75" customHeight="1">
      <c r="B97" s="3"/>
      <c r="C97" s="3"/>
    </row>
    <row r="98" spans="2:3" ht="15.75" customHeight="1">
      <c r="B98" s="3"/>
      <c r="C98" s="3"/>
    </row>
    <row r="99" spans="2:3" ht="15.75" customHeight="1">
      <c r="B99" s="3"/>
      <c r="C99" s="3"/>
    </row>
    <row r="100" spans="2:3" ht="15.75" customHeight="1">
      <c r="B100" s="3"/>
      <c r="C100" s="3"/>
    </row>
    <row r="101" spans="2:3" ht="15.75" customHeight="1">
      <c r="B101" s="3"/>
      <c r="C101" s="3"/>
    </row>
    <row r="102" spans="2:3" ht="15.75" customHeight="1">
      <c r="B102" s="3"/>
      <c r="C102" s="3"/>
    </row>
    <row r="103" spans="2:3" ht="15.75" customHeight="1">
      <c r="B103" s="3"/>
      <c r="C103" s="3"/>
    </row>
    <row r="104" spans="2:3" ht="15.75" customHeight="1">
      <c r="B104" s="3"/>
      <c r="C104" s="3"/>
    </row>
    <row r="105" spans="2:3" ht="15.75" customHeight="1">
      <c r="B105" s="3"/>
      <c r="C105" s="3"/>
    </row>
    <row r="106" spans="2:3" ht="15.75" customHeight="1">
      <c r="B106" s="3"/>
      <c r="C106" s="3"/>
    </row>
    <row r="107" spans="2:3" ht="15.75" customHeight="1">
      <c r="B107" s="3"/>
      <c r="C107" s="3"/>
    </row>
    <row r="108" spans="2:3" ht="15.75" customHeight="1">
      <c r="B108" s="3"/>
      <c r="C108" s="3"/>
    </row>
    <row r="109" spans="2:3" ht="15.75" customHeight="1">
      <c r="B109" s="3"/>
      <c r="C109" s="3"/>
    </row>
    <row r="110" spans="2:3" ht="15.75" customHeight="1">
      <c r="B110" s="3"/>
      <c r="C110" s="3"/>
    </row>
    <row r="111" spans="2:3" ht="15.75" customHeight="1">
      <c r="B111" s="3"/>
      <c r="C111" s="3"/>
    </row>
    <row r="112" spans="2:3" ht="15.75" customHeight="1">
      <c r="B112" s="3"/>
      <c r="C112" s="3"/>
    </row>
    <row r="113" spans="2:3" ht="15.75" customHeight="1">
      <c r="B113" s="3"/>
      <c r="C113" s="3"/>
    </row>
    <row r="114" spans="2:3" ht="15.75" customHeight="1">
      <c r="B114" s="3"/>
      <c r="C114" s="3"/>
    </row>
    <row r="115" spans="2:3" ht="15.75" customHeight="1">
      <c r="B115" s="3"/>
      <c r="C115" s="3"/>
    </row>
    <row r="116" spans="2:3" ht="15.75" customHeight="1">
      <c r="B116" s="3"/>
      <c r="C116" s="43"/>
    </row>
    <row r="117" spans="2:3" ht="15.75" customHeight="1">
      <c r="B117" s="3"/>
      <c r="C117" s="43"/>
    </row>
    <row r="118" spans="2:3" ht="15.75" customHeight="1">
      <c r="B118" s="3"/>
      <c r="C118" s="43"/>
    </row>
    <row r="119" spans="2:3" ht="15.75" customHeight="1">
      <c r="B119" s="3"/>
      <c r="C119" s="43"/>
    </row>
    <row r="250" ht="13.8"/>
    <row r="251" ht="13.8"/>
    <row r="252" ht="13.8"/>
    <row r="253" ht="13.8"/>
    <row r="254" ht="13.8"/>
    <row r="255" ht="13.8"/>
    <row r="256" ht="13.8"/>
    <row r="257" ht="13.8"/>
    <row r="258" ht="13.8"/>
    <row r="259" ht="13.8"/>
    <row r="260" ht="13.8"/>
    <row r="261" ht="13.8"/>
    <row r="262" ht="13.8"/>
    <row r="263" ht="13.8"/>
    <row r="264" ht="13.8"/>
    <row r="265" ht="13.8"/>
    <row r="266" ht="13.8"/>
    <row r="267" ht="13.8"/>
    <row r="268" ht="13.8"/>
    <row r="269" ht="13.8"/>
    <row r="270" ht="13.8"/>
    <row r="271" ht="13.8"/>
    <row r="272" ht="13.8"/>
    <row r="273" ht="13.8"/>
    <row r="274" ht="13.8"/>
    <row r="275" ht="13.8"/>
    <row r="276" ht="13.8"/>
    <row r="277" ht="13.8"/>
    <row r="278" ht="13.8"/>
    <row r="279" ht="13.8"/>
    <row r="280" ht="13.8"/>
    <row r="281" ht="13.8"/>
    <row r="282" ht="13.8"/>
    <row r="283" ht="13.8"/>
    <row r="284" ht="13.8"/>
    <row r="285" ht="13.8"/>
    <row r="286" ht="13.8"/>
    <row r="287" ht="13.8"/>
    <row r="288" ht="13.8"/>
    <row r="289" ht="13.8"/>
    <row r="290" ht="13.8"/>
    <row r="291" ht="13.8"/>
    <row r="292" ht="13.8"/>
    <row r="293" ht="13.8"/>
    <row r="294" ht="13.8"/>
    <row r="295" ht="13.8"/>
    <row r="296" ht="13.8"/>
    <row r="297" ht="13.8"/>
    <row r="298" ht="13.8"/>
    <row r="299" ht="13.8"/>
    <row r="300" ht="13.8"/>
    <row r="301" ht="13.8"/>
    <row r="302" ht="13.8"/>
    <row r="303" ht="13.8"/>
    <row r="304" ht="13.8"/>
    <row r="305" ht="13.8"/>
    <row r="306" ht="13.8"/>
    <row r="307" ht="13.8"/>
    <row r="308" ht="13.8"/>
    <row r="309" ht="13.8"/>
    <row r="310" ht="13.8"/>
    <row r="311" ht="13.8"/>
    <row r="312" ht="13.8"/>
    <row r="313" ht="13.8"/>
    <row r="314" ht="13.8"/>
    <row r="315" ht="13.8"/>
    <row r="316" ht="13.8"/>
    <row r="317" ht="13.8"/>
    <row r="318" ht="13.8"/>
    <row r="319" ht="13.8"/>
    <row r="320" ht="13.8"/>
    <row r="321" ht="13.8"/>
    <row r="322" ht="13.8"/>
    <row r="323" ht="13.8"/>
    <row r="324" ht="13.8"/>
    <row r="325" ht="13.8"/>
    <row r="326" ht="13.8"/>
    <row r="327" ht="13.8"/>
    <row r="328" ht="13.8"/>
    <row r="329" ht="13.8"/>
    <row r="330" ht="13.8"/>
    <row r="331" ht="13.8"/>
    <row r="332" ht="13.8"/>
    <row r="333" ht="13.8"/>
    <row r="334" ht="13.8"/>
    <row r="335" ht="13.8"/>
    <row r="336" ht="13.8"/>
    <row r="337" ht="13.8"/>
    <row r="338" ht="13.8"/>
    <row r="339" ht="13.8"/>
    <row r="340" ht="13.8"/>
    <row r="341" ht="13.8"/>
    <row r="342" ht="13.8"/>
    <row r="343" ht="13.8"/>
    <row r="344" ht="13.8"/>
    <row r="345" ht="13.8"/>
    <row r="346" ht="13.8"/>
    <row r="347" ht="13.8"/>
    <row r="348" ht="13.8"/>
    <row r="349" ht="13.8"/>
    <row r="350" ht="13.8"/>
    <row r="351" ht="13.8"/>
    <row r="352" ht="13.8"/>
    <row r="353" ht="13.8"/>
    <row r="354" ht="13.8"/>
    <row r="355" ht="13.8"/>
    <row r="356" ht="13.8"/>
    <row r="357" ht="13.8"/>
    <row r="358" ht="13.8"/>
    <row r="359" ht="13.8"/>
    <row r="360" ht="13.8"/>
    <row r="361" ht="13.8"/>
    <row r="362" ht="13.8"/>
    <row r="363" ht="13.8"/>
    <row r="364" ht="13.8"/>
    <row r="365" ht="13.8"/>
    <row r="366" ht="13.8"/>
    <row r="367" ht="13.8"/>
    <row r="368" ht="13.8"/>
    <row r="369" ht="13.8"/>
    <row r="370" ht="13.8"/>
    <row r="371" ht="13.8"/>
    <row r="372" ht="13.8"/>
    <row r="373" ht="13.8"/>
    <row r="374" ht="13.8"/>
    <row r="375" ht="13.8"/>
    <row r="376" ht="13.8"/>
    <row r="377" ht="13.8"/>
    <row r="378" ht="13.8"/>
    <row r="379" ht="13.8"/>
    <row r="380" ht="13.8"/>
    <row r="381" ht="13.8"/>
    <row r="382" ht="13.8"/>
    <row r="383" ht="13.8"/>
    <row r="384" ht="13.8"/>
    <row r="385" ht="13.8"/>
    <row r="386" ht="13.8"/>
    <row r="387" ht="13.8"/>
    <row r="388" ht="13.8"/>
    <row r="389" ht="13.8"/>
    <row r="390" ht="13.8"/>
    <row r="391" ht="13.8"/>
    <row r="392" ht="13.8"/>
    <row r="393" ht="13.8"/>
    <row r="394" ht="13.8"/>
    <row r="395" ht="13.8"/>
    <row r="396" ht="13.8"/>
    <row r="397" ht="13.8"/>
    <row r="398" ht="13.8"/>
    <row r="399" ht="13.8"/>
    <row r="400" ht="13.8"/>
    <row r="401" ht="13.8"/>
    <row r="402" ht="13.8"/>
    <row r="403" ht="13.8"/>
    <row r="404" ht="13.8"/>
    <row r="405" ht="13.8"/>
    <row r="406" ht="13.8"/>
    <row r="407" ht="13.8"/>
    <row r="408" ht="13.8"/>
    <row r="409" ht="13.8"/>
    <row r="410" ht="13.8"/>
    <row r="411" ht="13.8"/>
    <row r="412" ht="13.8"/>
    <row r="413" ht="13.8"/>
    <row r="414" ht="13.8"/>
    <row r="415" ht="13.8"/>
    <row r="416" ht="13.8"/>
    <row r="417" ht="13.8"/>
    <row r="418" ht="13.8"/>
    <row r="419" ht="13.8"/>
    <row r="420" ht="13.8"/>
    <row r="421" ht="13.8"/>
    <row r="422" ht="13.8"/>
    <row r="423" ht="13.8"/>
    <row r="424" ht="13.8"/>
    <row r="425" ht="13.8"/>
    <row r="426" ht="13.8"/>
    <row r="427" ht="13.8"/>
    <row r="428" ht="13.8"/>
    <row r="429" ht="13.8"/>
    <row r="430" ht="13.8"/>
    <row r="431" ht="13.8"/>
    <row r="432" ht="13.8"/>
    <row r="433" ht="13.8"/>
    <row r="434" ht="13.8"/>
    <row r="435" ht="13.8"/>
    <row r="436" ht="13.8"/>
    <row r="437" ht="13.8"/>
    <row r="438" ht="13.8"/>
    <row r="439" ht="13.8"/>
    <row r="440" ht="13.8"/>
    <row r="441" ht="13.8"/>
    <row r="442" ht="13.8"/>
    <row r="443" ht="13.8"/>
    <row r="444" ht="13.8"/>
    <row r="445" ht="13.8"/>
    <row r="446" ht="13.8"/>
    <row r="447" ht="13.8"/>
    <row r="448" ht="13.8"/>
    <row r="449" ht="13.8"/>
    <row r="450" ht="13.8"/>
    <row r="451" ht="13.8"/>
    <row r="452" ht="13.8"/>
    <row r="453" ht="13.8"/>
    <row r="454" ht="13.8"/>
    <row r="455" ht="13.8"/>
    <row r="456" ht="13.8"/>
    <row r="457" ht="13.8"/>
    <row r="458" ht="13.8"/>
    <row r="459" ht="13.8"/>
    <row r="460" ht="13.8"/>
    <row r="461" ht="13.8"/>
    <row r="462" ht="13.8"/>
    <row r="463" ht="13.8"/>
    <row r="464" ht="13.8"/>
    <row r="465" ht="13.8"/>
    <row r="466" ht="13.8"/>
    <row r="467" ht="13.8"/>
    <row r="468" ht="13.8"/>
    <row r="469" ht="13.8"/>
    <row r="470" ht="13.8"/>
    <row r="471" ht="13.8"/>
    <row r="472" ht="13.8"/>
    <row r="473" ht="13.8"/>
    <row r="474" ht="13.8"/>
    <row r="475" ht="13.8"/>
    <row r="476" ht="13.8"/>
    <row r="477" ht="13.8"/>
    <row r="478" ht="13.8"/>
    <row r="479" ht="13.8"/>
    <row r="480" ht="13.8"/>
    <row r="481" ht="13.8"/>
    <row r="482" ht="13.8"/>
    <row r="483" ht="13.8"/>
    <row r="484" ht="13.8"/>
    <row r="485" ht="13.8"/>
    <row r="486" ht="13.8"/>
    <row r="487" ht="13.8"/>
    <row r="488" ht="13.8"/>
    <row r="489" ht="13.8"/>
    <row r="490" ht="13.8"/>
    <row r="491" ht="13.8"/>
    <row r="492" ht="13.8"/>
    <row r="493" ht="13.8"/>
    <row r="494" ht="13.8"/>
    <row r="495" ht="13.8"/>
    <row r="496" ht="13.8"/>
    <row r="497" ht="13.8"/>
    <row r="498" ht="13.8"/>
    <row r="499" ht="13.8"/>
    <row r="500" ht="13.8"/>
    <row r="501" ht="13.8"/>
    <row r="502" ht="13.8"/>
    <row r="503" ht="13.8"/>
    <row r="504" ht="13.8"/>
    <row r="505" ht="13.8"/>
    <row r="506" ht="13.8"/>
    <row r="507" ht="13.8"/>
    <row r="508" ht="13.8"/>
    <row r="509" ht="13.8"/>
    <row r="510" ht="13.8"/>
    <row r="511" ht="13.8"/>
    <row r="512" ht="13.8"/>
    <row r="513" ht="13.8"/>
    <row r="514" ht="13.8"/>
    <row r="515" ht="13.8"/>
    <row r="516" ht="13.8"/>
    <row r="517" ht="13.8"/>
    <row r="518" ht="13.8"/>
    <row r="519" ht="13.8"/>
    <row r="520" ht="13.8"/>
    <row r="521" ht="13.8"/>
    <row r="522" ht="13.8"/>
    <row r="523" ht="13.8"/>
    <row r="524" ht="13.8"/>
    <row r="525" ht="13.8"/>
    <row r="526" ht="13.8"/>
    <row r="527" ht="13.8"/>
    <row r="528" ht="13.8"/>
    <row r="529" ht="13.8"/>
    <row r="530" ht="13.8"/>
    <row r="531" ht="13.8"/>
    <row r="532" ht="13.8"/>
    <row r="533" ht="13.8"/>
    <row r="534" ht="13.8"/>
    <row r="535" ht="13.8"/>
    <row r="536" ht="13.8"/>
    <row r="537" ht="13.8"/>
    <row r="538" ht="13.8"/>
    <row r="539" ht="13.8"/>
    <row r="540" ht="13.8"/>
    <row r="541" ht="13.8"/>
    <row r="542" ht="13.8"/>
    <row r="543" ht="13.8"/>
    <row r="544" ht="13.8"/>
    <row r="545" ht="13.8"/>
    <row r="546" ht="13.8"/>
    <row r="547" ht="13.8"/>
    <row r="548" ht="13.8"/>
    <row r="549" ht="13.8"/>
    <row r="550" ht="13.8"/>
    <row r="551" ht="13.8"/>
    <row r="552" ht="13.8"/>
    <row r="553" ht="13.8"/>
    <row r="554" ht="13.8"/>
    <row r="555" ht="13.8"/>
    <row r="556" ht="13.8"/>
    <row r="557" ht="13.8"/>
    <row r="558" ht="13.8"/>
    <row r="559" ht="13.8"/>
    <row r="560" ht="13.8"/>
    <row r="561" ht="13.8"/>
    <row r="562" ht="13.8"/>
    <row r="563" ht="13.8"/>
    <row r="564" ht="13.8"/>
    <row r="565" ht="13.8"/>
    <row r="566" ht="13.8"/>
    <row r="567" ht="13.8"/>
    <row r="568" ht="13.8"/>
    <row r="569" ht="13.8"/>
    <row r="570" ht="13.8"/>
    <row r="571" ht="13.8"/>
    <row r="572" ht="13.8"/>
    <row r="573" ht="13.8"/>
    <row r="574" ht="13.8"/>
    <row r="575" ht="13.8"/>
    <row r="576" ht="13.8"/>
    <row r="577" ht="13.8"/>
    <row r="578" ht="13.8"/>
    <row r="579" ht="13.8"/>
    <row r="580" ht="13.8"/>
    <row r="581" ht="13.8"/>
    <row r="582" ht="13.8"/>
    <row r="583" ht="13.8"/>
    <row r="584" ht="13.8"/>
    <row r="585" ht="13.8"/>
    <row r="586" ht="13.8"/>
    <row r="587" ht="13.8"/>
    <row r="588" ht="13.8"/>
    <row r="589" ht="13.8"/>
    <row r="590" ht="13.8"/>
    <row r="591" ht="13.8"/>
    <row r="592" ht="13.8"/>
    <row r="593" ht="13.8"/>
    <row r="594" ht="13.8"/>
    <row r="595" ht="13.8"/>
    <row r="596" ht="13.8"/>
    <row r="597" ht="13.8"/>
    <row r="598" ht="13.8"/>
    <row r="599" ht="13.8"/>
    <row r="600" ht="13.8"/>
    <row r="601" ht="13.8"/>
    <row r="602" ht="13.8"/>
    <row r="603" ht="13.8"/>
    <row r="604" ht="13.8"/>
    <row r="605" ht="13.8"/>
    <row r="606" ht="13.8"/>
    <row r="607" ht="13.8"/>
    <row r="608" ht="13.8"/>
    <row r="609" ht="13.8"/>
    <row r="610" ht="13.8"/>
    <row r="611" ht="13.8"/>
    <row r="612" ht="13.8"/>
    <row r="613" ht="13.8"/>
    <row r="614" ht="13.8"/>
    <row r="615" ht="13.8"/>
    <row r="616" ht="13.8"/>
    <row r="617" ht="13.8"/>
    <row r="618" ht="13.8"/>
    <row r="619" ht="13.8"/>
    <row r="620" ht="13.8"/>
    <row r="621" ht="13.8"/>
    <row r="622" ht="13.8"/>
    <row r="623" ht="13.8"/>
    <row r="624" ht="13.8"/>
    <row r="625" ht="13.8"/>
    <row r="626" ht="13.8"/>
    <row r="627" ht="13.8"/>
    <row r="628" ht="13.8"/>
    <row r="629" ht="13.8"/>
    <row r="630" ht="13.8"/>
    <row r="631" ht="13.8"/>
    <row r="632" ht="13.8"/>
    <row r="633" ht="13.8"/>
    <row r="634" ht="13.8"/>
    <row r="635" ht="13.8"/>
    <row r="636" ht="13.8"/>
    <row r="637" ht="13.8"/>
    <row r="638" ht="13.8"/>
    <row r="639" ht="13.8"/>
    <row r="640" ht="13.8"/>
    <row r="641" ht="13.8"/>
    <row r="642" ht="13.8"/>
    <row r="643" ht="13.8"/>
    <row r="644" ht="13.8"/>
    <row r="645" ht="13.8"/>
    <row r="646" ht="13.8"/>
    <row r="647" ht="13.8"/>
    <row r="648" ht="13.8"/>
    <row r="649" ht="13.8"/>
    <row r="650" ht="13.8"/>
    <row r="651" ht="13.8"/>
    <row r="652" ht="13.8"/>
    <row r="653" ht="13.8"/>
    <row r="654" ht="13.8"/>
    <row r="655" ht="13.8"/>
    <row r="656" ht="13.8"/>
    <row r="657" ht="13.8"/>
    <row r="658" ht="13.8"/>
    <row r="659" ht="13.8"/>
    <row r="660" ht="13.8"/>
    <row r="661" ht="13.8"/>
    <row r="662" ht="13.8"/>
    <row r="663" ht="13.8"/>
    <row r="664" ht="13.8"/>
    <row r="665" ht="13.8"/>
    <row r="666" ht="13.8"/>
    <row r="667" ht="13.8"/>
    <row r="668" ht="13.8"/>
    <row r="669" ht="13.8"/>
    <row r="670" ht="13.8"/>
    <row r="671" ht="13.8"/>
    <row r="672" ht="13.8"/>
    <row r="673" ht="13.8"/>
    <row r="674" ht="13.8"/>
    <row r="675" ht="13.8"/>
    <row r="676" ht="13.8"/>
    <row r="677" ht="13.8"/>
    <row r="678" ht="13.8"/>
    <row r="679" ht="13.8"/>
    <row r="680" ht="13.8"/>
    <row r="681" ht="13.8"/>
    <row r="682" ht="13.8"/>
    <row r="683" ht="13.8"/>
    <row r="684" ht="13.8"/>
    <row r="685" ht="13.8"/>
    <row r="686" ht="13.8"/>
    <row r="687" ht="13.8"/>
    <row r="688" ht="13.8"/>
    <row r="689" ht="13.8"/>
    <row r="690" ht="13.8"/>
    <row r="691" ht="13.8"/>
    <row r="692" ht="13.8"/>
    <row r="693" ht="13.8"/>
    <row r="694" ht="13.8"/>
    <row r="695" ht="13.8"/>
    <row r="696" ht="13.8"/>
    <row r="697" ht="13.8"/>
    <row r="698" ht="13.8"/>
    <row r="699" ht="13.8"/>
    <row r="700" ht="13.8"/>
    <row r="701" ht="13.8"/>
    <row r="702" ht="13.8"/>
    <row r="703" ht="13.8"/>
    <row r="704" ht="13.8"/>
    <row r="705" ht="13.8"/>
    <row r="706" ht="13.8"/>
    <row r="707" ht="13.8"/>
    <row r="708" ht="13.8"/>
    <row r="709" ht="13.8"/>
    <row r="710" ht="13.8"/>
    <row r="711" ht="13.8"/>
    <row r="712" ht="13.8"/>
    <row r="713" ht="13.8"/>
    <row r="714" ht="13.8"/>
    <row r="715" ht="13.8"/>
    <row r="716" ht="13.8"/>
    <row r="717" ht="13.8"/>
    <row r="718" ht="13.8"/>
    <row r="719" ht="13.8"/>
    <row r="720" ht="13.8"/>
    <row r="721" ht="13.8"/>
    <row r="722" ht="13.8"/>
    <row r="723" ht="13.8"/>
    <row r="724" ht="13.8"/>
    <row r="725" ht="13.8"/>
    <row r="726" ht="13.8"/>
    <row r="727" ht="13.8"/>
    <row r="728" ht="13.8"/>
    <row r="729" ht="13.8"/>
    <row r="730" ht="13.8"/>
    <row r="731" ht="13.8"/>
    <row r="732" ht="13.8"/>
    <row r="733" ht="13.8"/>
    <row r="734" ht="13.8"/>
    <row r="735" ht="13.8"/>
    <row r="736" ht="13.8"/>
    <row r="737" ht="13.8"/>
    <row r="738" ht="13.8"/>
    <row r="739" ht="13.8"/>
    <row r="740" ht="13.8"/>
    <row r="741" ht="13.8"/>
    <row r="742" ht="13.8"/>
    <row r="743" ht="13.8"/>
    <row r="744" ht="13.8"/>
    <row r="745" ht="13.8"/>
    <row r="746" ht="13.8"/>
    <row r="747" ht="13.8"/>
    <row r="748" ht="13.8"/>
    <row r="749" ht="13.8"/>
    <row r="750" ht="13.8"/>
    <row r="751" ht="13.8"/>
    <row r="752" ht="13.8"/>
    <row r="753" ht="13.8"/>
    <row r="754" ht="13.8"/>
    <row r="755" ht="13.8"/>
    <row r="756" ht="13.8"/>
    <row r="757" ht="13.8"/>
    <row r="758" ht="13.8"/>
    <row r="759" ht="13.8"/>
    <row r="760" ht="13.8"/>
    <row r="761" ht="13.8"/>
    <row r="762" ht="13.8"/>
    <row r="763" ht="13.8"/>
    <row r="764" ht="13.8"/>
    <row r="765" ht="13.8"/>
    <row r="766" ht="13.8"/>
    <row r="767" ht="13.8"/>
    <row r="768" ht="13.8"/>
    <row r="769" ht="13.8"/>
    <row r="770" ht="13.8"/>
    <row r="771" ht="13.8"/>
    <row r="772" ht="13.8"/>
    <row r="773" ht="13.8"/>
    <row r="774" ht="13.8"/>
    <row r="775" ht="13.8"/>
    <row r="776" ht="13.8"/>
    <row r="777" ht="13.8"/>
    <row r="778" ht="13.8"/>
    <row r="779" ht="13.8"/>
    <row r="780" ht="13.8"/>
    <row r="781" ht="13.8"/>
    <row r="782" ht="13.8"/>
    <row r="783" ht="13.8"/>
    <row r="784" ht="13.8"/>
    <row r="785" ht="13.8"/>
    <row r="786" ht="13.8"/>
    <row r="787" ht="13.8"/>
    <row r="788" ht="13.8"/>
    <row r="789" ht="13.8"/>
    <row r="790" ht="13.8"/>
    <row r="791" ht="13.8"/>
    <row r="792" ht="13.8"/>
    <row r="793" ht="13.8"/>
    <row r="794" ht="13.8"/>
    <row r="795" ht="13.8"/>
    <row r="796" ht="13.8"/>
    <row r="797" ht="13.8"/>
    <row r="798" ht="13.8"/>
    <row r="799" ht="13.8"/>
    <row r="800" ht="13.8"/>
    <row r="801" ht="13.8"/>
    <row r="802" ht="13.8"/>
    <row r="803" ht="13.8"/>
    <row r="804" ht="13.8"/>
    <row r="805" ht="13.8"/>
    <row r="806" ht="13.8"/>
    <row r="807" ht="13.8"/>
    <row r="808" ht="13.8"/>
    <row r="809" ht="13.8"/>
    <row r="810" ht="13.8"/>
    <row r="811" ht="13.8"/>
    <row r="812" ht="13.8"/>
    <row r="813" ht="13.8"/>
    <row r="814" ht="13.8"/>
    <row r="815" ht="13.8"/>
    <row r="816" ht="13.8"/>
    <row r="817" ht="13.8"/>
    <row r="818" ht="13.8"/>
    <row r="819" ht="13.8"/>
    <row r="820" ht="13.8"/>
    <row r="821" ht="13.8"/>
    <row r="822" ht="13.8"/>
    <row r="823" ht="13.8"/>
    <row r="824" ht="13.8"/>
    <row r="825" ht="13.8"/>
    <row r="826" ht="13.8"/>
    <row r="827" ht="13.8"/>
    <row r="828" ht="13.8"/>
    <row r="829" ht="13.8"/>
    <row r="830" ht="13.8"/>
    <row r="831" ht="13.8"/>
    <row r="832" ht="13.8"/>
    <row r="833" ht="13.8"/>
    <row r="834" ht="13.8"/>
    <row r="835" ht="13.8"/>
    <row r="836" ht="13.8"/>
    <row r="837" ht="13.8"/>
    <row r="838" ht="13.8"/>
    <row r="839" ht="13.8"/>
    <row r="840" ht="13.8"/>
    <row r="841" ht="13.8"/>
    <row r="842" ht="13.8"/>
    <row r="843" ht="13.8"/>
    <row r="844" ht="13.8"/>
    <row r="845" ht="13.8"/>
    <row r="846" ht="13.8"/>
    <row r="847" ht="13.8"/>
    <row r="848" ht="13.8"/>
    <row r="849" ht="13.8"/>
    <row r="850" ht="13.8"/>
    <row r="851" ht="13.8"/>
    <row r="852" ht="13.8"/>
    <row r="853" ht="13.8"/>
    <row r="854" ht="13.8"/>
    <row r="855" ht="13.8"/>
    <row r="856" ht="13.8"/>
    <row r="857" ht="13.8"/>
    <row r="858" ht="13.8"/>
    <row r="859" ht="13.8"/>
    <row r="860" ht="13.8"/>
    <row r="861" ht="13.8"/>
    <row r="862" ht="13.8"/>
    <row r="863" ht="13.8"/>
    <row r="864" ht="13.8"/>
    <row r="865" ht="13.8"/>
    <row r="866" ht="13.8"/>
    <row r="867" ht="13.8"/>
    <row r="868" ht="13.8"/>
    <row r="869" ht="13.8"/>
    <row r="870" ht="13.8"/>
    <row r="871" ht="13.8"/>
    <row r="872" ht="13.8"/>
    <row r="873" ht="13.8"/>
    <row r="874" ht="13.8"/>
    <row r="875" ht="13.8"/>
    <row r="876" ht="13.8"/>
    <row r="877" ht="13.8"/>
    <row r="878" ht="13.8"/>
    <row r="879" ht="13.8"/>
    <row r="880" ht="13.8"/>
    <row r="881" ht="13.8"/>
    <row r="882" ht="13.8"/>
    <row r="883" ht="13.8"/>
    <row r="884" ht="13.8"/>
    <row r="885" ht="13.8"/>
    <row r="886" ht="13.8"/>
    <row r="887" ht="13.8"/>
    <row r="888" ht="13.8"/>
    <row r="889" ht="13.8"/>
    <row r="890" ht="13.8"/>
    <row r="891" ht="13.8"/>
    <row r="892" ht="13.8"/>
    <row r="893" ht="13.8"/>
    <row r="894" ht="13.8"/>
    <row r="895" ht="13.8"/>
    <row r="896" ht="13.8"/>
    <row r="897" ht="13.8"/>
    <row r="898" ht="13.8"/>
    <row r="899" ht="13.8"/>
    <row r="900" ht="13.8"/>
    <row r="901" ht="13.8"/>
    <row r="902" ht="13.8"/>
    <row r="903" ht="13.8"/>
    <row r="904" ht="13.8"/>
    <row r="905" ht="13.8"/>
    <row r="906" ht="13.8"/>
    <row r="907" ht="13.8"/>
    <row r="908" ht="13.8"/>
    <row r="909" ht="13.8"/>
    <row r="910" ht="13.8"/>
    <row r="911" ht="13.8"/>
    <row r="912" ht="13.8"/>
    <row r="913" ht="13.8"/>
    <row r="914" ht="13.8"/>
    <row r="915" ht="13.8"/>
    <row r="916" ht="13.8"/>
    <row r="917" ht="13.8"/>
    <row r="918" ht="13.8"/>
    <row r="919" ht="13.8"/>
    <row r="920" ht="13.8"/>
    <row r="921" ht="13.8"/>
    <row r="922" ht="13.8"/>
    <row r="923" ht="13.8"/>
    <row r="924" ht="13.8"/>
    <row r="925" ht="13.8"/>
    <row r="926" ht="13.8"/>
    <row r="927" ht="13.8"/>
    <row r="928" ht="13.8"/>
    <row r="929" ht="13.8"/>
    <row r="930" ht="13.8"/>
    <row r="931" ht="13.8"/>
    <row r="932" ht="13.8"/>
    <row r="933" ht="13.8"/>
    <row r="934" ht="13.8"/>
    <row r="935" ht="13.8"/>
    <row r="936" ht="13.8"/>
    <row r="937" ht="13.8"/>
    <row r="938" ht="13.8"/>
    <row r="939" ht="13.8"/>
    <row r="940" ht="13.8"/>
    <row r="941" ht="13.8"/>
    <row r="942" ht="13.8"/>
    <row r="943" ht="13.8"/>
    <row r="944" ht="13.8"/>
    <row r="945" ht="13.8"/>
    <row r="946" ht="13.8"/>
    <row r="947" ht="13.8"/>
    <row r="948" ht="13.8"/>
    <row r="949" ht="13.8"/>
    <row r="950" ht="13.8"/>
    <row r="951" ht="13.8"/>
    <row r="952" ht="13.8"/>
    <row r="953" ht="13.8"/>
    <row r="954" ht="13.8"/>
    <row r="955" ht="13.8"/>
    <row r="956" ht="13.8"/>
    <row r="957" ht="13.8"/>
    <row r="958" ht="13.8"/>
    <row r="959" ht="13.8"/>
    <row r="960" ht="13.8"/>
    <row r="961" ht="13.8"/>
    <row r="962" ht="13.8"/>
    <row r="963" ht="13.8"/>
    <row r="964" ht="13.8"/>
    <row r="965" ht="13.8"/>
    <row r="966" ht="13.8"/>
    <row r="967" ht="13.8"/>
    <row r="968" ht="13.8"/>
    <row r="969" ht="13.8"/>
    <row r="970" ht="13.8"/>
    <row r="971" ht="13.8"/>
    <row r="972" ht="13.8"/>
    <row r="973" ht="13.8"/>
    <row r="974" ht="13.8"/>
    <row r="975" ht="13.8"/>
    <row r="976" ht="13.8"/>
    <row r="977" ht="13.8"/>
    <row r="978" ht="13.8"/>
    <row r="979" ht="13.8"/>
    <row r="980" ht="13.8"/>
    <row r="981" ht="13.8"/>
    <row r="982" ht="13.8"/>
    <row r="983" ht="13.8"/>
    <row r="984" ht="13.8"/>
    <row r="985" ht="13.8"/>
    <row r="986" ht="13.8"/>
    <row r="987" ht="13.8"/>
    <row r="988" ht="13.8"/>
    <row r="989" ht="13.8"/>
    <row r="990" ht="13.8"/>
    <row r="991" ht="13.8"/>
    <row r="992" ht="13.8"/>
    <row r="993" ht="13.8"/>
    <row r="994" ht="13.8"/>
    <row r="995" ht="13.8"/>
    <row r="996" ht="13.8"/>
    <row r="997" ht="13.8"/>
    <row r="998" ht="13.8"/>
    <row r="999" ht="13.8"/>
    <row r="1000" ht="13.8"/>
    <row r="1001" ht="13.8"/>
    <row r="1002" ht="13.8"/>
    <row r="1003" ht="13.8"/>
    <row r="1004" ht="13.8"/>
    <row r="1005" ht="13.8"/>
    <row r="1006" ht="13.8"/>
    <row r="1007" ht="13.8"/>
    <row r="1008" ht="13.8"/>
    <row r="1009" ht="13.8"/>
    <row r="1010" ht="13.8"/>
    <row r="1011" ht="13.8"/>
    <row r="1012" ht="13.8"/>
    <row r="1013" ht="13.8"/>
    <row r="1014" ht="13.8"/>
    <row r="1015" ht="13.8"/>
    <row r="1016" ht="13.8"/>
  </sheetData>
  <mergeCells count="1">
    <mergeCell ref="N51:N53"/>
  </mergeCells>
  <conditionalFormatting sqref="D12:D34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3:F44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7:K40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2:F34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3:G44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:H33">
    <cfRule type="colorScale" priority="6">
      <colorScale>
        <cfvo type="min"/>
        <cfvo type="max"/>
        <color rgb="FFFFFFFF"/>
        <color rgb="FF57BB8A"/>
      </colorScale>
    </cfRule>
  </conditionalFormatting>
  <conditionalFormatting sqref="I12:I33">
    <cfRule type="colorScale" priority="7">
      <colorScale>
        <cfvo type="min"/>
        <cfvo type="max"/>
        <color rgb="FFFFFFFF"/>
        <color rgb="FFE67C73"/>
      </colorScale>
    </cfRule>
  </conditionalFormatting>
  <conditionalFormatting sqref="I51:M51">
    <cfRule type="colorScale" priority="3">
      <colorScale>
        <cfvo type="min"/>
        <cfvo type="max"/>
        <color rgb="FFFFFFFF"/>
        <color rgb="FF57BB8A"/>
      </colorScale>
    </cfRule>
  </conditionalFormatting>
  <conditionalFormatting sqref="I53:M53">
    <cfRule type="colorScale" priority="4">
      <colorScale>
        <cfvo type="min"/>
        <cfvo type="max"/>
        <color rgb="FFFFFFFF"/>
        <color rgb="FFE67C73"/>
      </colorScale>
    </cfRule>
  </conditionalFormatting>
  <conditionalFormatting sqref="J43:M43">
    <cfRule type="colorScale" priority="10">
      <colorScale>
        <cfvo type="min"/>
        <cfvo type="max"/>
        <color rgb="FFFFFFFF"/>
        <color rgb="FF57BB8A"/>
      </colorScale>
    </cfRule>
  </conditionalFormatting>
  <conditionalFormatting sqref="J44:M44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5:M45">
    <cfRule type="colorScale" priority="12">
      <colorScale>
        <cfvo type="min"/>
        <cfvo type="max"/>
        <color rgb="FFFFFFFF"/>
        <color rgb="FF57BB8A"/>
      </colorScale>
    </cfRule>
  </conditionalFormatting>
  <conditionalFormatting sqref="J48:M48">
    <cfRule type="colorScale" priority="13">
      <colorScale>
        <cfvo type="min"/>
        <cfvo type="max"/>
        <color rgb="FFFFFFFF"/>
        <color rgb="FF57BB8A"/>
      </colorScale>
    </cfRule>
  </conditionalFormatting>
  <conditionalFormatting sqref="L12:L33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7:L40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2:M34 N12:N33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37:N40">
    <cfRule type="colorScale" priority="2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S58:S62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19:X22 S46:S52">
    <cfRule type="colorScale" priority="2">
      <colorScale>
        <cfvo type="min"/>
        <cfvo type="max"/>
        <color rgb="FFFFFFFF"/>
        <color rgb="FF57BB8A"/>
      </colorScale>
    </cfRule>
  </conditionalFormatting>
  <conditionalFormatting sqref="Y19:Y22 T46:T5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3" r:id="rId1" xr:uid="{0ACAC073-5D3F-495F-8E3B-75038DD493E9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6153-44BD-4A80-9258-FDF3E7B6CA15}">
  <sheetPr>
    <outlinePr summaryBelow="0" summaryRight="0"/>
  </sheetPr>
  <dimension ref="A1:AO206"/>
  <sheetViews>
    <sheetView workbookViewId="0"/>
  </sheetViews>
  <sheetFormatPr defaultColWidth="12.6640625" defaultRowHeight="15.75" customHeight="1"/>
  <cols>
    <col min="25" max="25" width="16.33203125" customWidth="1"/>
    <col min="26" max="26" width="16.21875" customWidth="1"/>
    <col min="27" max="27" width="15.33203125" customWidth="1"/>
  </cols>
  <sheetData>
    <row r="1" spans="1:41" ht="13.8">
      <c r="A1" s="93" t="s">
        <v>139</v>
      </c>
      <c r="B1" s="93" t="s">
        <v>1</v>
      </c>
      <c r="C1" s="93" t="s">
        <v>140</v>
      </c>
      <c r="D1" s="93" t="s">
        <v>141</v>
      </c>
      <c r="E1" s="93" t="s">
        <v>142</v>
      </c>
      <c r="F1" s="93" t="s">
        <v>143</v>
      </c>
      <c r="G1" s="93" t="s">
        <v>144</v>
      </c>
      <c r="H1" s="93" t="s">
        <v>145</v>
      </c>
      <c r="I1" s="93" t="s">
        <v>7</v>
      </c>
      <c r="J1" s="93" t="s">
        <v>146</v>
      </c>
      <c r="K1" s="93" t="s">
        <v>9</v>
      </c>
      <c r="L1" s="93" t="s">
        <v>147</v>
      </c>
      <c r="M1" s="93" t="s">
        <v>11</v>
      </c>
      <c r="N1" s="93" t="s">
        <v>148</v>
      </c>
      <c r="O1" s="93" t="s">
        <v>149</v>
      </c>
      <c r="P1" s="93" t="s">
        <v>150</v>
      </c>
      <c r="Q1" s="93" t="s">
        <v>151</v>
      </c>
      <c r="R1" s="93" t="s">
        <v>152</v>
      </c>
      <c r="S1" s="93" t="s">
        <v>153</v>
      </c>
      <c r="T1" s="93" t="s">
        <v>154</v>
      </c>
      <c r="U1" s="93" t="s">
        <v>155</v>
      </c>
      <c r="V1" s="93" t="s">
        <v>156</v>
      </c>
      <c r="W1" s="93" t="s">
        <v>92</v>
      </c>
      <c r="X1" s="93" t="s">
        <v>157</v>
      </c>
      <c r="Y1" s="94" t="s">
        <v>158</v>
      </c>
      <c r="Z1" s="94" t="s">
        <v>159</v>
      </c>
      <c r="AA1" s="94" t="s">
        <v>160</v>
      </c>
      <c r="AB1" s="94" t="s">
        <v>161</v>
      </c>
      <c r="AC1" s="94" t="s">
        <v>162</v>
      </c>
      <c r="AD1" s="94" t="s">
        <v>36</v>
      </c>
      <c r="AE1" s="94" t="s">
        <v>163</v>
      </c>
      <c r="AF1" s="94" t="s">
        <v>164</v>
      </c>
      <c r="AG1" s="94" t="s">
        <v>34</v>
      </c>
      <c r="AH1" s="94" t="s">
        <v>35</v>
      </c>
      <c r="AI1" s="94" t="s">
        <v>37</v>
      </c>
      <c r="AJ1" s="94" t="s">
        <v>38</v>
      </c>
      <c r="AK1" s="94" t="s">
        <v>39</v>
      </c>
      <c r="AL1" s="94" t="s">
        <v>165</v>
      </c>
      <c r="AM1" s="94" t="s">
        <v>41</v>
      </c>
      <c r="AN1" s="94" t="s">
        <v>42</v>
      </c>
      <c r="AO1" s="94" t="s">
        <v>43</v>
      </c>
    </row>
    <row r="2" spans="1:41" ht="15.75" customHeight="1">
      <c r="A2" s="35">
        <v>500575</v>
      </c>
      <c r="B2" s="95" t="s">
        <v>166</v>
      </c>
      <c r="C2" s="8">
        <f ca="1">IFERROR(__xludf.DUMMYFUNCTION("GOOGLEFINANCE(""bom:""&amp;A2,""price"")"),1065.35)</f>
        <v>1065.3499999999999</v>
      </c>
      <c r="D2" s="41">
        <f ca="1">IFERROR(__xludf.DUMMYFUNCTION("GOOGLEFINANCE(""bom:""&amp;A2,""marketcap"")/10000000"),35269.2099542)</f>
        <v>35269.2099542</v>
      </c>
      <c r="E2" s="41">
        <v>5947</v>
      </c>
      <c r="F2" s="41">
        <v>4075</v>
      </c>
      <c r="G2" s="41">
        <v>10010</v>
      </c>
      <c r="H2" s="41">
        <v>4254</v>
      </c>
      <c r="I2" s="41">
        <v>33</v>
      </c>
      <c r="J2" s="41">
        <v>5756</v>
      </c>
      <c r="K2" s="41">
        <v>523</v>
      </c>
      <c r="L2" s="41">
        <v>1513</v>
      </c>
      <c r="M2" s="8">
        <v>1</v>
      </c>
      <c r="N2" s="8">
        <v>17.239999999999998</v>
      </c>
      <c r="O2" s="96">
        <f t="shared" ref="O2:O21" ca="1" si="0">D2/$D$23</f>
        <v>0.20831896155470064</v>
      </c>
      <c r="P2" s="8">
        <v>6427</v>
      </c>
      <c r="Q2" s="3">
        <v>9399</v>
      </c>
      <c r="R2" s="8">
        <v>136</v>
      </c>
      <c r="S2" s="8">
        <v>8215</v>
      </c>
      <c r="T2" s="8">
        <v>6452</v>
      </c>
      <c r="U2" s="8">
        <v>137</v>
      </c>
      <c r="V2" s="8">
        <v>-7</v>
      </c>
      <c r="W2" s="8">
        <v>29</v>
      </c>
      <c r="X2" s="8">
        <v>8995</v>
      </c>
      <c r="Y2" s="96">
        <f t="shared" ref="Y2:Y14" si="1">(S2/T2)-1</f>
        <v>0.27324860508369508</v>
      </c>
      <c r="Z2" s="8" t="s">
        <v>167</v>
      </c>
      <c r="AA2" s="96">
        <f t="shared" ref="AA2:AA14" si="2">(Q2/P2)^(1/5)-1</f>
        <v>7.898316835041852E-2</v>
      </c>
      <c r="AB2" s="96">
        <f t="shared" ref="AB2:AB14" si="3">R2/Q2</f>
        <v>1.4469624428130653E-2</v>
      </c>
      <c r="AC2" s="96">
        <f t="shared" ref="AC2:AC14" si="4">U2/S2</f>
        <v>1.6676810712111991E-2</v>
      </c>
      <c r="AD2" s="41">
        <f t="shared" ref="AD2:AD14" si="5">(Q2-X2+W2)/W2</f>
        <v>14.931034482758621</v>
      </c>
      <c r="AE2" s="97">
        <f t="shared" ref="AE2:AE14" si="6">E2/F2</f>
        <v>1.4593865030674846</v>
      </c>
      <c r="AF2" s="41">
        <f t="shared" ref="AF2:AF14" si="7">(L2/Q2)*365</f>
        <v>58.75571869347803</v>
      </c>
      <c r="AG2" s="97">
        <f t="shared" ref="AG2:AG14" si="8">K2/J2</f>
        <v>9.086170952050035E-2</v>
      </c>
      <c r="AH2" s="97">
        <f t="shared" ref="AH2:AH14" si="9">H2/G2</f>
        <v>0.42497502497502498</v>
      </c>
      <c r="AI2" s="96">
        <f t="shared" ref="AI2:AI14" si="10">R2/J2</f>
        <v>2.3627519110493399E-2</v>
      </c>
      <c r="AJ2" s="97">
        <f t="shared" ref="AJ2:AJ14" si="11">R2/I2</f>
        <v>4.1212121212121211</v>
      </c>
      <c r="AK2" s="96">
        <f t="shared" ref="AK2:AK14" si="12">R2/G2</f>
        <v>1.3586413586413586E-2</v>
      </c>
      <c r="AL2" s="41">
        <f t="shared" ref="AL2:AL14" ca="1" si="13">C2/N2</f>
        <v>61.795243619489561</v>
      </c>
      <c r="AM2" s="96">
        <f t="shared" ref="AM2:AM14" ca="1" si="14">N2/C2</f>
        <v>1.6182475242877928E-2</v>
      </c>
      <c r="AN2" s="41">
        <f t="shared" ref="AN2:AN14" si="15">(I2+J2)/(I2/M2)</f>
        <v>175.42424242424244</v>
      </c>
      <c r="AO2" s="41">
        <f t="shared" ref="AO2:AO14" ca="1" si="16">C2/AN2</f>
        <v>6.0729918811539116</v>
      </c>
    </row>
    <row r="3" spans="1:41" ht="15.75" customHeight="1">
      <c r="A3" s="35">
        <v>500067</v>
      </c>
      <c r="B3" s="95" t="s">
        <v>168</v>
      </c>
      <c r="C3" s="8">
        <f ca="1">IFERROR(__xludf.DUMMYFUNCTION("GOOGLEFINANCE(""bom:""&amp;A3,""price"")"),1282.5)</f>
        <v>1282.5</v>
      </c>
      <c r="D3" s="41">
        <f ca="1">IFERROR(__xludf.DUMMYFUNCTION("GOOGLEFINANCE(""bom:""&amp;A3,""marketcap"")/10000000"),26257.00996)</f>
        <v>26257.009959999999</v>
      </c>
      <c r="E3" s="41">
        <v>4670</v>
      </c>
      <c r="F3" s="41">
        <v>3430</v>
      </c>
      <c r="G3" s="41">
        <v>6053</v>
      </c>
      <c r="H3" s="41">
        <v>3697</v>
      </c>
      <c r="I3" s="41">
        <v>41</v>
      </c>
      <c r="J3" s="41">
        <v>2355</v>
      </c>
      <c r="K3" s="41">
        <v>791</v>
      </c>
      <c r="L3" s="41">
        <v>1245</v>
      </c>
      <c r="M3" s="8">
        <v>2</v>
      </c>
      <c r="N3" s="8">
        <f ca="1">IFERROR(__xludf.DUMMYFUNCTION("GOOGLEFINANCE(""bom:""&amp;A3,""eps"")"),24.53)</f>
        <v>24.53</v>
      </c>
      <c r="O3" s="96">
        <f t="shared" ca="1" si="0"/>
        <v>0.15508805146193139</v>
      </c>
      <c r="P3" s="8">
        <v>4105</v>
      </c>
      <c r="Q3" s="8">
        <v>7977</v>
      </c>
      <c r="R3" s="8">
        <v>400</v>
      </c>
      <c r="S3" s="8">
        <v>6357</v>
      </c>
      <c r="T3" s="8">
        <v>5353</v>
      </c>
      <c r="U3" s="8">
        <v>254</v>
      </c>
      <c r="V3" s="8">
        <v>175</v>
      </c>
      <c r="W3" s="8">
        <v>55</v>
      </c>
      <c r="X3" s="8">
        <v>7624</v>
      </c>
      <c r="Y3" s="96">
        <f t="shared" si="1"/>
        <v>0.1875583784793573</v>
      </c>
      <c r="Z3" s="96">
        <f t="shared" ref="Z3:Z14" si="17">(U3/V3)-1</f>
        <v>0.45142857142857151</v>
      </c>
      <c r="AA3" s="96">
        <f t="shared" si="2"/>
        <v>0.1421030363117155</v>
      </c>
      <c r="AB3" s="96">
        <f t="shared" si="3"/>
        <v>5.0144164472859472E-2</v>
      </c>
      <c r="AC3" s="96">
        <f t="shared" si="4"/>
        <v>3.9955954066383512E-2</v>
      </c>
      <c r="AD3" s="41">
        <f t="shared" si="5"/>
        <v>7.418181818181818</v>
      </c>
      <c r="AE3" s="97">
        <f t="shared" si="6"/>
        <v>1.3615160349854227</v>
      </c>
      <c r="AF3" s="41">
        <f t="shared" si="7"/>
        <v>56.966904851447914</v>
      </c>
      <c r="AG3" s="97">
        <f t="shared" si="8"/>
        <v>0.33588110403397026</v>
      </c>
      <c r="AH3" s="97">
        <f t="shared" si="9"/>
        <v>0.61077151825541054</v>
      </c>
      <c r="AI3" s="96">
        <f t="shared" si="10"/>
        <v>0.16985138004246284</v>
      </c>
      <c r="AJ3" s="97">
        <f t="shared" si="11"/>
        <v>9.7560975609756095</v>
      </c>
      <c r="AK3" s="96">
        <f t="shared" si="12"/>
        <v>6.6082934082273254E-2</v>
      </c>
      <c r="AL3" s="41">
        <f t="shared" ca="1" si="13"/>
        <v>52.282918874847127</v>
      </c>
      <c r="AM3" s="96">
        <f t="shared" ca="1" si="14"/>
        <v>1.9126705653021443E-2</v>
      </c>
      <c r="AN3" s="41">
        <f t="shared" si="15"/>
        <v>116.8780487804878</v>
      </c>
      <c r="AO3" s="41">
        <f t="shared" ca="1" si="16"/>
        <v>10.972975792988315</v>
      </c>
    </row>
    <row r="4" spans="1:41" ht="15.75" customHeight="1">
      <c r="A4" s="35">
        <v>539876</v>
      </c>
      <c r="B4" s="95" t="s">
        <v>169</v>
      </c>
      <c r="C4" s="8">
        <f ca="1">IFERROR(__xludf.DUMMYFUNCTION("GOOGLEFINANCE(""bom:""&amp;A4,""price"")"),275.2)</f>
        <v>275.2</v>
      </c>
      <c r="D4" s="41">
        <f ca="1">IFERROR(__xludf.DUMMYFUNCTION("GOOGLEFINANCE(""bom:""&amp;A4,""marketcap"")/10000000"),17695.2094249)</f>
        <v>17695.2094249</v>
      </c>
      <c r="E4" s="41">
        <v>2366</v>
      </c>
      <c r="F4" s="41">
        <v>2058</v>
      </c>
      <c r="G4" s="41">
        <v>5776</v>
      </c>
      <c r="H4" s="41">
        <v>2591</v>
      </c>
      <c r="I4" s="41">
        <v>128</v>
      </c>
      <c r="J4" s="41">
        <v>3185</v>
      </c>
      <c r="K4" s="41">
        <v>923</v>
      </c>
      <c r="L4" s="41">
        <v>678</v>
      </c>
      <c r="M4" s="8">
        <v>2</v>
      </c>
      <c r="N4" s="8">
        <f ca="1">IFERROR(__xludf.DUMMYFUNCTION("GOOGLEFINANCE(""bom:""&amp;A4,""eps"")"),6.57)</f>
        <v>6.57</v>
      </c>
      <c r="O4" s="96">
        <f t="shared" ca="1" si="0"/>
        <v>0.10451744330749169</v>
      </c>
      <c r="P4" s="8">
        <v>4766</v>
      </c>
      <c r="Q4" s="8">
        <v>5809</v>
      </c>
      <c r="R4" s="8">
        <v>475</v>
      </c>
      <c r="S4" s="8">
        <v>4592</v>
      </c>
      <c r="T4" s="8">
        <v>4205</v>
      </c>
      <c r="U4" s="8">
        <v>305</v>
      </c>
      <c r="V4" s="8">
        <v>343</v>
      </c>
      <c r="W4" s="8">
        <v>109</v>
      </c>
      <c r="X4" s="8">
        <v>5294</v>
      </c>
      <c r="Y4" s="96">
        <f t="shared" si="1"/>
        <v>9.2033293697978635E-2</v>
      </c>
      <c r="Z4" s="96">
        <f t="shared" si="17"/>
        <v>-0.11078717201166177</v>
      </c>
      <c r="AA4" s="96">
        <f t="shared" si="2"/>
        <v>4.0373946082605139E-2</v>
      </c>
      <c r="AB4" s="96">
        <f t="shared" si="3"/>
        <v>8.1769667756928899E-2</v>
      </c>
      <c r="AC4" s="96">
        <f t="shared" si="4"/>
        <v>6.6419860627177696E-2</v>
      </c>
      <c r="AD4" s="41">
        <f t="shared" si="5"/>
        <v>5.7247706422018352</v>
      </c>
      <c r="AE4" s="97">
        <f t="shared" si="6"/>
        <v>1.1496598639455782</v>
      </c>
      <c r="AF4" s="41">
        <f t="shared" si="7"/>
        <v>42.601136168015152</v>
      </c>
      <c r="AG4" s="97">
        <f t="shared" si="8"/>
        <v>0.28979591836734692</v>
      </c>
      <c r="AH4" s="97">
        <f t="shared" si="9"/>
        <v>0.4485803324099723</v>
      </c>
      <c r="AI4" s="96">
        <f t="shared" si="10"/>
        <v>0.14913657770800628</v>
      </c>
      <c r="AJ4" s="97">
        <f t="shared" si="11"/>
        <v>3.7109375</v>
      </c>
      <c r="AK4" s="96">
        <f t="shared" si="12"/>
        <v>8.2236842105263164E-2</v>
      </c>
      <c r="AL4" s="41">
        <f t="shared" ca="1" si="13"/>
        <v>41.887366818873666</v>
      </c>
      <c r="AM4" s="96">
        <f t="shared" ca="1" si="14"/>
        <v>2.3873546511627909E-2</v>
      </c>
      <c r="AN4" s="41">
        <f t="shared" si="15"/>
        <v>51.765625</v>
      </c>
      <c r="AO4" s="41">
        <f t="shared" ca="1" si="16"/>
        <v>5.3162692423785085</v>
      </c>
    </row>
    <row r="5" spans="1:41" ht="15.75" customHeight="1">
      <c r="A5" s="35">
        <v>500238</v>
      </c>
      <c r="B5" s="95" t="s">
        <v>170</v>
      </c>
      <c r="C5" s="8">
        <f ca="1">IFERROR(__xludf.DUMMYFUNCTION("GOOGLEFINANCE(""bom:""&amp;A5,""price"")"),1228.15)</f>
        <v>1228.1500000000001</v>
      </c>
      <c r="D5" s="41">
        <f ca="1">IFERROR(__xludf.DUMMYFUNCTION("GOOGLEFINANCE(""bom:""&amp;A5,""marketcap"")/10000000"),15566.2366104)</f>
        <v>15566.236610399999</v>
      </c>
      <c r="E5" s="41">
        <v>3442</v>
      </c>
      <c r="F5" s="41">
        <v>1367</v>
      </c>
      <c r="G5" s="41">
        <v>5517</v>
      </c>
      <c r="H5" s="41">
        <v>1789</v>
      </c>
      <c r="I5" s="41">
        <v>127</v>
      </c>
      <c r="J5" s="41">
        <v>3727</v>
      </c>
      <c r="K5" s="41">
        <v>0</v>
      </c>
      <c r="L5" s="41">
        <v>201</v>
      </c>
      <c r="M5" s="8">
        <v>10</v>
      </c>
      <c r="N5" s="8">
        <f ca="1">IFERROR(__xludf.DUMMYFUNCTION("GOOGLEFINANCE(""bom:""&amp;A5,""eps"")"),15.59)</f>
        <v>15.59</v>
      </c>
      <c r="O5" s="96">
        <f t="shared" ca="1" si="0"/>
        <v>9.1942582501968753E-2</v>
      </c>
      <c r="P5" s="8">
        <v>4986</v>
      </c>
      <c r="Q5" s="8">
        <v>6795</v>
      </c>
      <c r="R5" s="8">
        <v>223</v>
      </c>
      <c r="S5" s="8">
        <v>5095</v>
      </c>
      <c r="T5" s="8">
        <v>4995</v>
      </c>
      <c r="U5" s="8">
        <v>144</v>
      </c>
      <c r="V5" s="8">
        <v>160</v>
      </c>
      <c r="W5" s="8">
        <v>15</v>
      </c>
      <c r="X5" s="8">
        <v>6498</v>
      </c>
      <c r="Y5" s="96">
        <f t="shared" si="1"/>
        <v>2.0020020020020013E-2</v>
      </c>
      <c r="Z5" s="96">
        <f t="shared" si="17"/>
        <v>-9.9999999999999978E-2</v>
      </c>
      <c r="AA5" s="96">
        <f t="shared" si="2"/>
        <v>6.3867244044784277E-2</v>
      </c>
      <c r="AB5" s="96">
        <f t="shared" si="3"/>
        <v>3.2818248712288445E-2</v>
      </c>
      <c r="AC5" s="96">
        <f t="shared" si="4"/>
        <v>2.8263002944062806E-2</v>
      </c>
      <c r="AD5" s="41">
        <f t="shared" si="5"/>
        <v>20.8</v>
      </c>
      <c r="AE5" s="97">
        <f t="shared" si="6"/>
        <v>2.5179224579370887</v>
      </c>
      <c r="AF5" s="41">
        <f t="shared" si="7"/>
        <v>10.796909492273731</v>
      </c>
      <c r="AG5" s="97">
        <f t="shared" si="8"/>
        <v>0</v>
      </c>
      <c r="AH5" s="97">
        <f t="shared" si="9"/>
        <v>0.32427043683161139</v>
      </c>
      <c r="AI5" s="96">
        <f t="shared" si="10"/>
        <v>5.9833646364368123E-2</v>
      </c>
      <c r="AJ5" s="97">
        <f t="shared" si="11"/>
        <v>1.7559055118110236</v>
      </c>
      <c r="AK5" s="96">
        <f t="shared" si="12"/>
        <v>4.0420518397679898E-2</v>
      </c>
      <c r="AL5" s="41">
        <f t="shared" ca="1" si="13"/>
        <v>78.77806286080822</v>
      </c>
      <c r="AM5" s="96">
        <f t="shared" ca="1" si="14"/>
        <v>1.2693889182917395E-2</v>
      </c>
      <c r="AN5" s="41">
        <f t="shared" si="15"/>
        <v>303.46456692913387</v>
      </c>
      <c r="AO5" s="41">
        <f t="shared" ca="1" si="16"/>
        <v>4.0470952257394917</v>
      </c>
    </row>
    <row r="6" spans="1:41" ht="15.75" customHeight="1">
      <c r="A6" s="35">
        <v>532953</v>
      </c>
      <c r="B6" s="95" t="s">
        <v>171</v>
      </c>
      <c r="C6" s="8">
        <f ca="1">IFERROR(__xludf.DUMMYFUNCTION("GOOGLEFINANCE(""bom:""&amp;A6,""price"")"),318.15)</f>
        <v>318.14999999999998</v>
      </c>
      <c r="D6" s="41">
        <f ca="1">IFERROR(__xludf.DUMMYFUNCTION("GOOGLEFINANCE(""bom:""&amp;A6,""marketcap"")/10000000"),13853.5927429)</f>
        <v>13853.5927429</v>
      </c>
      <c r="E6" s="41">
        <v>1493</v>
      </c>
      <c r="F6" s="41">
        <v>847</v>
      </c>
      <c r="G6" s="41">
        <v>2956</v>
      </c>
      <c r="H6" s="41">
        <v>1274</v>
      </c>
      <c r="I6" s="41">
        <v>43</v>
      </c>
      <c r="J6" s="41">
        <v>1683</v>
      </c>
      <c r="K6" s="41">
        <v>293</v>
      </c>
      <c r="L6" s="41">
        <v>456</v>
      </c>
      <c r="M6" s="8">
        <v>1</v>
      </c>
      <c r="N6" s="8">
        <f ca="1">IFERROR(__xludf.DUMMYFUNCTION("GOOGLEFINANCE(""bom:""&amp;A6,""eps"")"),5.36)</f>
        <v>5.36</v>
      </c>
      <c r="O6" s="96">
        <f t="shared" ca="1" si="0"/>
        <v>8.1826784828759477E-2</v>
      </c>
      <c r="P6" s="8">
        <v>2335</v>
      </c>
      <c r="Q6" s="8">
        <v>4127</v>
      </c>
      <c r="R6" s="8">
        <v>189</v>
      </c>
      <c r="S6" s="8">
        <v>3514</v>
      </c>
      <c r="T6" s="8">
        <v>2988</v>
      </c>
      <c r="U6" s="8">
        <v>181</v>
      </c>
      <c r="V6" s="8">
        <v>136</v>
      </c>
      <c r="W6" s="8">
        <v>16</v>
      </c>
      <c r="X6" s="8">
        <v>3887</v>
      </c>
      <c r="Y6" s="96">
        <f t="shared" si="1"/>
        <v>0.1760374832663989</v>
      </c>
      <c r="Z6" s="96">
        <f t="shared" si="17"/>
        <v>0.33088235294117641</v>
      </c>
      <c r="AA6" s="96">
        <f t="shared" si="2"/>
        <v>0.12064876484505516</v>
      </c>
      <c r="AB6" s="96">
        <f t="shared" si="3"/>
        <v>4.5795977707778046E-2</v>
      </c>
      <c r="AC6" s="96">
        <f t="shared" si="4"/>
        <v>5.1508252703471827E-2</v>
      </c>
      <c r="AD6" s="41">
        <f t="shared" si="5"/>
        <v>16</v>
      </c>
      <c r="AE6" s="97">
        <f t="shared" si="6"/>
        <v>1.7626918536009446</v>
      </c>
      <c r="AF6" s="41">
        <f t="shared" si="7"/>
        <v>40.329537194087713</v>
      </c>
      <c r="AG6" s="97">
        <f t="shared" si="8"/>
        <v>0.17409387997623291</v>
      </c>
      <c r="AH6" s="97">
        <f t="shared" si="9"/>
        <v>0.43098782138024355</v>
      </c>
      <c r="AI6" s="96">
        <f t="shared" si="10"/>
        <v>0.11229946524064172</v>
      </c>
      <c r="AJ6" s="97">
        <f t="shared" si="11"/>
        <v>4.3953488372093021</v>
      </c>
      <c r="AK6" s="96">
        <f t="shared" si="12"/>
        <v>6.3937753721244925E-2</v>
      </c>
      <c r="AL6" s="41">
        <f t="shared" ca="1" si="13"/>
        <v>59.356343283582085</v>
      </c>
      <c r="AM6" s="96">
        <f t="shared" ca="1" si="14"/>
        <v>1.6847399025616848E-2</v>
      </c>
      <c r="AN6" s="41">
        <f t="shared" si="15"/>
        <v>40.139534883720927</v>
      </c>
      <c r="AO6" s="41">
        <f t="shared" ca="1" si="16"/>
        <v>7.9261008111239866</v>
      </c>
    </row>
    <row r="7" spans="1:41" ht="15.75" customHeight="1">
      <c r="A7" s="35">
        <v>540902</v>
      </c>
      <c r="B7" s="95" t="s">
        <v>172</v>
      </c>
      <c r="C7" s="8">
        <f ca="1">IFERROR(__xludf.DUMMYFUNCTION("GOOGLEFINANCE(""bom:""&amp;A7,""price"")"),3337.65)</f>
        <v>3337.65</v>
      </c>
      <c r="D7" s="41">
        <f ca="1">IFERROR(__xludf.DUMMYFUNCTION("GOOGLEFINANCE(""bom:""&amp;A7,""marketcap"")/10000000"),11254.161628)</f>
        <v>11254.161628</v>
      </c>
      <c r="E7" s="41">
        <v>2048</v>
      </c>
      <c r="F7" s="41">
        <v>1891</v>
      </c>
      <c r="G7" s="41">
        <v>4631</v>
      </c>
      <c r="H7" s="41">
        <v>2628</v>
      </c>
      <c r="I7" s="41">
        <v>33</v>
      </c>
      <c r="J7" s="41">
        <v>2003</v>
      </c>
      <c r="K7" s="41">
        <v>1445</v>
      </c>
      <c r="L7" s="41">
        <v>701</v>
      </c>
      <c r="M7" s="8">
        <v>10</v>
      </c>
      <c r="N7" s="8">
        <f ca="1">IFERROR(__xludf.DUMMYFUNCTION("GOOGLEFINANCE(""bom:""&amp;A7,""eps"")"),42.18)</f>
        <v>42.18</v>
      </c>
      <c r="O7" s="96">
        <f t="shared" ca="1" si="0"/>
        <v>6.6473143757917727E-2</v>
      </c>
      <c r="P7" s="8">
        <v>2172</v>
      </c>
      <c r="Q7" s="8">
        <v>6927</v>
      </c>
      <c r="R7" s="8">
        <v>163</v>
      </c>
      <c r="S7" s="8">
        <v>3923</v>
      </c>
      <c r="T7" s="8">
        <v>3924</v>
      </c>
      <c r="U7" s="8">
        <v>40</v>
      </c>
      <c r="V7" s="8">
        <v>55</v>
      </c>
      <c r="W7" s="8">
        <v>112</v>
      </c>
      <c r="X7" s="8">
        <v>6760</v>
      </c>
      <c r="Y7" s="96">
        <f t="shared" si="1"/>
        <v>-2.5484199796121931E-4</v>
      </c>
      <c r="Z7" s="96">
        <f t="shared" si="17"/>
        <v>-0.27272727272727271</v>
      </c>
      <c r="AA7" s="96">
        <f t="shared" si="2"/>
        <v>0.2610638415202573</v>
      </c>
      <c r="AB7" s="96">
        <f t="shared" si="3"/>
        <v>2.3531110148693517E-2</v>
      </c>
      <c r="AC7" s="96">
        <f t="shared" si="4"/>
        <v>1.0196278358399185E-2</v>
      </c>
      <c r="AD7" s="41">
        <f t="shared" si="5"/>
        <v>2.4910714285714284</v>
      </c>
      <c r="AE7" s="97">
        <f t="shared" si="6"/>
        <v>1.0830248545742993</v>
      </c>
      <c r="AF7" s="41">
        <f t="shared" si="7"/>
        <v>36.937346614696118</v>
      </c>
      <c r="AG7" s="97">
        <f t="shared" si="8"/>
        <v>0.72141787319021466</v>
      </c>
      <c r="AH7" s="97">
        <f t="shared" si="9"/>
        <v>0.56748002591232993</v>
      </c>
      <c r="AI7" s="96">
        <f t="shared" si="10"/>
        <v>8.1377933100349478E-2</v>
      </c>
      <c r="AJ7" s="97">
        <f t="shared" si="11"/>
        <v>4.9393939393939394</v>
      </c>
      <c r="AK7" s="96">
        <f t="shared" si="12"/>
        <v>3.5197581515871303E-2</v>
      </c>
      <c r="AL7" s="41">
        <f t="shared" ca="1" si="13"/>
        <v>79.128733997155052</v>
      </c>
      <c r="AM7" s="96">
        <f t="shared" ca="1" si="14"/>
        <v>1.26376342636286E-2</v>
      </c>
      <c r="AN7" s="41">
        <f t="shared" si="15"/>
        <v>616.969696969697</v>
      </c>
      <c r="AO7" s="41">
        <f t="shared" ca="1" si="16"/>
        <v>5.4097470530451863</v>
      </c>
    </row>
    <row r="8" spans="1:41" ht="15.75" customHeight="1">
      <c r="A8" s="35">
        <v>500031</v>
      </c>
      <c r="B8" s="95" t="s">
        <v>173</v>
      </c>
      <c r="C8" s="8">
        <f ca="1">IFERROR(__xludf.DUMMYFUNCTION("GOOGLEFINANCE(""bom:""&amp;A8,""price"")"),939)</f>
        <v>939</v>
      </c>
      <c r="D8" s="41">
        <f ca="1">IFERROR(__xludf.DUMMYFUNCTION("GOOGLEFINANCE(""bom:""&amp;A8,""marketcap"")/10000000"),10707.4682)</f>
        <v>10707.468199999999</v>
      </c>
      <c r="E8" s="41">
        <v>2504</v>
      </c>
      <c r="F8" s="41">
        <v>2204</v>
      </c>
      <c r="G8" s="41">
        <v>3787</v>
      </c>
      <c r="H8" s="41">
        <v>2439</v>
      </c>
      <c r="I8" s="41">
        <v>23</v>
      </c>
      <c r="J8" s="41">
        <v>1325</v>
      </c>
      <c r="K8" s="41">
        <v>0</v>
      </c>
      <c r="L8" s="41">
        <v>22</v>
      </c>
      <c r="M8" s="8">
        <v>2</v>
      </c>
      <c r="N8" s="8">
        <f ca="1">IFERROR(__xludf.DUMMYFUNCTION("GOOGLEFINANCE(""bom:""&amp;A8,""eps"")"),13.32)</f>
        <v>13.32</v>
      </c>
      <c r="O8" s="96">
        <f t="shared" ca="1" si="0"/>
        <v>6.3244077743747545E-2</v>
      </c>
      <c r="P8" s="8">
        <v>4770</v>
      </c>
      <c r="Q8" s="8">
        <v>5429</v>
      </c>
      <c r="R8" s="8">
        <v>215</v>
      </c>
      <c r="S8" s="8">
        <v>3441</v>
      </c>
      <c r="T8" s="8">
        <v>3577</v>
      </c>
      <c r="U8" s="8">
        <v>106</v>
      </c>
      <c r="V8" s="8">
        <v>162</v>
      </c>
      <c r="W8" s="8">
        <v>48</v>
      </c>
      <c r="X8" s="8">
        <v>4631</v>
      </c>
      <c r="Y8" s="96">
        <f t="shared" si="1"/>
        <v>-3.8020687727145619E-2</v>
      </c>
      <c r="Z8" s="96">
        <f t="shared" si="17"/>
        <v>-0.34567901234567899</v>
      </c>
      <c r="AA8" s="96">
        <f t="shared" si="2"/>
        <v>2.6219570312039364E-2</v>
      </c>
      <c r="AB8" s="96">
        <f t="shared" si="3"/>
        <v>3.9602136673420517E-2</v>
      </c>
      <c r="AC8" s="96">
        <f t="shared" si="4"/>
        <v>3.0804998546934029E-2</v>
      </c>
      <c r="AD8" s="41">
        <f t="shared" si="5"/>
        <v>17.625</v>
      </c>
      <c r="AE8" s="97">
        <f t="shared" si="6"/>
        <v>1.1361161524500907</v>
      </c>
      <c r="AF8" s="41">
        <f t="shared" si="7"/>
        <v>1.4790937557561246</v>
      </c>
      <c r="AG8" s="97">
        <f t="shared" si="8"/>
        <v>0</v>
      </c>
      <c r="AH8" s="97">
        <f t="shared" si="9"/>
        <v>0.64404541853710062</v>
      </c>
      <c r="AI8" s="96">
        <f t="shared" si="10"/>
        <v>0.16226415094339622</v>
      </c>
      <c r="AJ8" s="97">
        <f t="shared" si="11"/>
        <v>9.3478260869565215</v>
      </c>
      <c r="AK8" s="96">
        <f t="shared" si="12"/>
        <v>5.6773171375759178E-2</v>
      </c>
      <c r="AL8" s="41">
        <f t="shared" ca="1" si="13"/>
        <v>70.49549549549549</v>
      </c>
      <c r="AM8" s="96">
        <f t="shared" ca="1" si="14"/>
        <v>1.4185303514376997E-2</v>
      </c>
      <c r="AN8" s="41">
        <f t="shared" si="15"/>
        <v>117.21739130434783</v>
      </c>
      <c r="AO8" s="41">
        <f t="shared" ca="1" si="16"/>
        <v>8.0107566765578628</v>
      </c>
    </row>
    <row r="9" spans="1:41" ht="15.75" customHeight="1">
      <c r="A9" s="35">
        <v>517506</v>
      </c>
      <c r="B9" s="95" t="s">
        <v>22</v>
      </c>
      <c r="C9" s="8">
        <f ca="1">IFERROR(__xludf.DUMMYFUNCTION("GOOGLEFINANCE(""bom:""&amp;A9,""price"")"),697.85)</f>
        <v>697.85</v>
      </c>
      <c r="D9" s="41">
        <f ca="1">IFERROR(__xludf.DUMMYFUNCTION("GOOGLEFINANCE(""bom:""&amp;A9,""marketcap"")/10000000"),9696.5277117)</f>
        <v>9696.5277117000005</v>
      </c>
      <c r="E9" s="41">
        <v>1935</v>
      </c>
      <c r="F9" s="41">
        <v>602</v>
      </c>
      <c r="G9" s="41">
        <v>2706</v>
      </c>
      <c r="H9" s="41">
        <v>736</v>
      </c>
      <c r="I9" s="41">
        <v>13</v>
      </c>
      <c r="J9" s="41">
        <v>1961</v>
      </c>
      <c r="K9" s="41">
        <v>40</v>
      </c>
      <c r="L9" s="41">
        <v>349</v>
      </c>
      <c r="M9" s="8">
        <v>1</v>
      </c>
      <c r="N9" s="8">
        <f ca="1">IFERROR(__xludf.DUMMYFUNCTION("GOOGLEFINANCE(""bom:""&amp;A9,""eps"")"),16.54)</f>
        <v>16.54</v>
      </c>
      <c r="O9" s="96">
        <f t="shared" ca="1" si="0"/>
        <v>5.727291839570043E-2</v>
      </c>
      <c r="P9" s="8">
        <v>1871</v>
      </c>
      <c r="Q9" s="8">
        <v>2777</v>
      </c>
      <c r="R9" s="8">
        <v>255</v>
      </c>
      <c r="S9" s="8">
        <v>2055</v>
      </c>
      <c r="T9" s="8">
        <v>2166</v>
      </c>
      <c r="U9" s="8">
        <v>168</v>
      </c>
      <c r="V9" s="8">
        <v>197</v>
      </c>
      <c r="W9" s="8">
        <v>8</v>
      </c>
      <c r="X9" s="8">
        <v>2479</v>
      </c>
      <c r="Y9" s="96">
        <f t="shared" si="1"/>
        <v>-5.1246537396121838E-2</v>
      </c>
      <c r="Z9" s="96">
        <f t="shared" si="17"/>
        <v>-0.14720812182741116</v>
      </c>
      <c r="AA9" s="96">
        <f t="shared" si="2"/>
        <v>8.2182280180676415E-2</v>
      </c>
      <c r="AB9" s="96">
        <f t="shared" si="3"/>
        <v>9.1825711199135754E-2</v>
      </c>
      <c r="AC9" s="96">
        <f t="shared" si="4"/>
        <v>8.1751824817518248E-2</v>
      </c>
      <c r="AD9" s="41">
        <f t="shared" si="5"/>
        <v>38.25</v>
      </c>
      <c r="AE9" s="97">
        <f t="shared" si="6"/>
        <v>3.2142857142857144</v>
      </c>
      <c r="AF9" s="41">
        <f t="shared" si="7"/>
        <v>45.871444004321205</v>
      </c>
      <c r="AG9" s="97">
        <f t="shared" si="8"/>
        <v>2.0397756246812851E-2</v>
      </c>
      <c r="AH9" s="97">
        <f t="shared" si="9"/>
        <v>0.2719881744271988</v>
      </c>
      <c r="AI9" s="96">
        <f t="shared" si="10"/>
        <v>0.13003569607343193</v>
      </c>
      <c r="AJ9" s="97">
        <f t="shared" si="11"/>
        <v>19.615384615384617</v>
      </c>
      <c r="AK9" s="96">
        <f t="shared" si="12"/>
        <v>9.4235033259423506E-2</v>
      </c>
      <c r="AL9" s="41">
        <f t="shared" ca="1" si="13"/>
        <v>42.191656590084648</v>
      </c>
      <c r="AM9" s="96">
        <f t="shared" ca="1" si="14"/>
        <v>2.3701368488930286E-2</v>
      </c>
      <c r="AN9" s="41">
        <f t="shared" si="15"/>
        <v>151.84615384615384</v>
      </c>
      <c r="AO9" s="41">
        <f t="shared" ca="1" si="16"/>
        <v>4.5957700101317123</v>
      </c>
    </row>
    <row r="10" spans="1:41" ht="15.75" customHeight="1">
      <c r="A10" s="35">
        <v>543482</v>
      </c>
      <c r="B10" s="95" t="s">
        <v>174</v>
      </c>
      <c r="C10" s="8">
        <f ca="1">IFERROR(__xludf.DUMMYFUNCTION("GOOGLEFINANCE(""bom:""&amp;A10,""price"")"),444.1)</f>
        <v>444.1</v>
      </c>
      <c r="D10" s="41">
        <f ca="1">IFERROR(__xludf.DUMMYFUNCTION("GOOGLEFINANCE(""bom:""&amp;A10,""marketcap"")/10000000"),8592.41139)</f>
        <v>8592.4113899999993</v>
      </c>
      <c r="E10" s="41">
        <v>567</v>
      </c>
      <c r="F10" s="41">
        <v>973</v>
      </c>
      <c r="G10" s="41">
        <v>6092</v>
      </c>
      <c r="H10" s="41">
        <v>1929</v>
      </c>
      <c r="I10" s="41">
        <v>193</v>
      </c>
      <c r="J10" s="41">
        <v>4163</v>
      </c>
      <c r="K10" s="41">
        <v>64</v>
      </c>
      <c r="L10" s="41">
        <v>163</v>
      </c>
      <c r="M10" s="8">
        <v>10</v>
      </c>
      <c r="N10" s="8">
        <f ca="1">IFERROR(__xludf.DUMMYFUNCTION("GOOGLEFINANCE(""bom:""&amp;A10,""eps"")"),4.98)</f>
        <v>4.9800000000000004</v>
      </c>
      <c r="O10" s="96">
        <f t="shared" ca="1" si="0"/>
        <v>5.0751412360526264E-2</v>
      </c>
      <c r="P10" s="8"/>
      <c r="Q10" s="8">
        <v>2084</v>
      </c>
      <c r="R10" s="8">
        <v>21</v>
      </c>
      <c r="S10" s="8">
        <v>1635</v>
      </c>
      <c r="T10" s="8">
        <v>1575</v>
      </c>
      <c r="U10" s="8">
        <v>73</v>
      </c>
      <c r="V10" s="8">
        <v>6</v>
      </c>
      <c r="W10" s="8">
        <v>20</v>
      </c>
      <c r="X10" s="8">
        <v>2016</v>
      </c>
      <c r="Y10" s="96">
        <f t="shared" si="1"/>
        <v>3.8095238095238182E-2</v>
      </c>
      <c r="Z10" s="96">
        <f t="shared" si="17"/>
        <v>11.166666666666666</v>
      </c>
      <c r="AA10" s="96" t="e">
        <f t="shared" si="2"/>
        <v>#DIV/0!</v>
      </c>
      <c r="AB10" s="96">
        <f t="shared" si="3"/>
        <v>1.0076775431861805E-2</v>
      </c>
      <c r="AC10" s="96">
        <f t="shared" si="4"/>
        <v>4.4648318042813454E-2</v>
      </c>
      <c r="AD10" s="41">
        <f t="shared" si="5"/>
        <v>4.4000000000000004</v>
      </c>
      <c r="AE10" s="97">
        <f t="shared" si="6"/>
        <v>0.58273381294964033</v>
      </c>
      <c r="AF10" s="41">
        <f t="shared" si="7"/>
        <v>28.548464491362765</v>
      </c>
      <c r="AG10" s="97">
        <f t="shared" si="8"/>
        <v>1.5373528705260629E-2</v>
      </c>
      <c r="AH10" s="97">
        <f t="shared" si="9"/>
        <v>0.31664478003939595</v>
      </c>
      <c r="AI10" s="96">
        <f t="shared" si="10"/>
        <v>5.0444391064136439E-3</v>
      </c>
      <c r="AJ10" s="97">
        <f t="shared" si="11"/>
        <v>0.10880829015544041</v>
      </c>
      <c r="AK10" s="96">
        <f t="shared" si="12"/>
        <v>3.4471437951411688E-3</v>
      </c>
      <c r="AL10" s="41">
        <f t="shared" ca="1" si="13"/>
        <v>89.176706827309232</v>
      </c>
      <c r="AM10" s="96">
        <f t="shared" ca="1" si="14"/>
        <v>1.1213690610222923E-2</v>
      </c>
      <c r="AN10" s="41">
        <f t="shared" si="15"/>
        <v>225.69948186528495</v>
      </c>
      <c r="AO10" s="41">
        <f t="shared" ca="1" si="16"/>
        <v>1.9676606978879709</v>
      </c>
    </row>
    <row r="11" spans="1:41" ht="15.75" customHeight="1">
      <c r="A11" s="35">
        <v>505726</v>
      </c>
      <c r="B11" s="95" t="s">
        <v>175</v>
      </c>
      <c r="C11" s="8">
        <f ca="1">IFERROR(__xludf.DUMMYFUNCTION("GOOGLEFINANCE(""bom:""&amp;A11,""price"")"),1334.1)</f>
        <v>1334.1</v>
      </c>
      <c r="D11" s="41">
        <f ca="1">IFERROR(__xludf.DUMMYFUNCTION("GOOGLEFINANCE(""bom:""&amp;A11,""marketcap"")/10000000"),5429.51786)</f>
        <v>5429.5178599999999</v>
      </c>
      <c r="E11" s="41">
        <v>1367</v>
      </c>
      <c r="F11" s="41">
        <v>1243</v>
      </c>
      <c r="G11" s="41">
        <v>2200</v>
      </c>
      <c r="H11" s="41">
        <v>1513</v>
      </c>
      <c r="I11" s="41">
        <v>41</v>
      </c>
      <c r="J11" s="41">
        <v>687</v>
      </c>
      <c r="K11" s="41">
        <v>147</v>
      </c>
      <c r="L11" s="41">
        <v>417</v>
      </c>
      <c r="M11" s="8">
        <v>10</v>
      </c>
      <c r="N11" s="8">
        <f ca="1">IFERROR(__xludf.DUMMYFUNCTION("GOOGLEFINANCE(""bom:""&amp;A11,""eps"")"),7.02)</f>
        <v>7.02</v>
      </c>
      <c r="O11" s="96">
        <f t="shared" ca="1" si="0"/>
        <v>3.206965860042487E-2</v>
      </c>
      <c r="P11" s="8">
        <v>2259</v>
      </c>
      <c r="Q11" s="8">
        <v>4194</v>
      </c>
      <c r="R11" s="8">
        <v>15</v>
      </c>
      <c r="S11" s="8">
        <v>3347</v>
      </c>
      <c r="T11" s="8">
        <v>3184</v>
      </c>
      <c r="U11" s="8">
        <v>38</v>
      </c>
      <c r="V11" s="8">
        <v>24</v>
      </c>
      <c r="W11" s="8">
        <v>29</v>
      </c>
      <c r="X11" s="8">
        <v>4183</v>
      </c>
      <c r="Y11" s="96">
        <f t="shared" si="1"/>
        <v>5.1193467336683396E-2</v>
      </c>
      <c r="Z11" s="96">
        <f t="shared" si="17"/>
        <v>0.58333333333333326</v>
      </c>
      <c r="AA11" s="96">
        <f t="shared" si="2"/>
        <v>0.13172898548178735</v>
      </c>
      <c r="AB11" s="96">
        <f t="shared" si="3"/>
        <v>3.5765379113018598E-3</v>
      </c>
      <c r="AC11" s="96">
        <f t="shared" si="4"/>
        <v>1.1353450851508814E-2</v>
      </c>
      <c r="AD11" s="41">
        <f t="shared" si="5"/>
        <v>1.3793103448275863</v>
      </c>
      <c r="AE11" s="97">
        <f t="shared" si="6"/>
        <v>1.0997586484312147</v>
      </c>
      <c r="AF11" s="41">
        <f t="shared" si="7"/>
        <v>36.291130185979974</v>
      </c>
      <c r="AG11" s="97">
        <f t="shared" si="8"/>
        <v>0.21397379912663755</v>
      </c>
      <c r="AH11" s="97">
        <f t="shared" si="9"/>
        <v>0.68772727272727274</v>
      </c>
      <c r="AI11" s="96">
        <f t="shared" si="10"/>
        <v>2.1834061135371178E-2</v>
      </c>
      <c r="AJ11" s="97">
        <f t="shared" si="11"/>
        <v>0.36585365853658536</v>
      </c>
      <c r="AK11" s="96">
        <f t="shared" si="12"/>
        <v>6.8181818181818179E-3</v>
      </c>
      <c r="AL11" s="41">
        <f t="shared" ca="1" si="13"/>
        <v>190.04273504273505</v>
      </c>
      <c r="AM11" s="96">
        <f t="shared" ca="1" si="14"/>
        <v>5.2619743647402744E-3</v>
      </c>
      <c r="AN11" s="41">
        <f t="shared" si="15"/>
        <v>177.5609756097561</v>
      </c>
      <c r="AO11" s="41">
        <f t="shared" ca="1" si="16"/>
        <v>7.5134752747252742</v>
      </c>
    </row>
    <row r="12" spans="1:41" ht="15.75" customHeight="1">
      <c r="A12" s="35">
        <v>541301</v>
      </c>
      <c r="B12" s="95" t="s">
        <v>176</v>
      </c>
      <c r="C12" s="8">
        <f ca="1">IFERROR(__xludf.DUMMYFUNCTION("GOOGLEFINANCE(""bom:""&amp;A12,""price"")"),200)</f>
        <v>200</v>
      </c>
      <c r="D12" s="41">
        <f ca="1">IFERROR(__xludf.DUMMYFUNCTION("GOOGLEFINANCE(""bom:""&amp;A12,""marketcap"")/10000000"),4273.6)</f>
        <v>4273.6000000000004</v>
      </c>
      <c r="E12" s="41">
        <v>732</v>
      </c>
      <c r="F12" s="41">
        <v>497</v>
      </c>
      <c r="G12" s="41">
        <v>1229</v>
      </c>
      <c r="H12" s="41">
        <v>613</v>
      </c>
      <c r="I12" s="41">
        <v>21</v>
      </c>
      <c r="J12" s="41">
        <v>615</v>
      </c>
      <c r="K12" s="41">
        <v>18</v>
      </c>
      <c r="L12" s="41">
        <v>309</v>
      </c>
      <c r="M12" s="8">
        <v>1</v>
      </c>
      <c r="N12" s="8">
        <f ca="1">IFERROR(__xludf.DUMMYFUNCTION("GOOGLEFINANCE(""bom:""&amp;A12,""eps"")"),4.08)</f>
        <v>4.08</v>
      </c>
      <c r="O12" s="96">
        <f t="shared" ca="1" si="0"/>
        <v>2.5242184762750877E-2</v>
      </c>
      <c r="P12" s="8">
        <v>1626</v>
      </c>
      <c r="Q12" s="8">
        <v>2529</v>
      </c>
      <c r="R12" s="8">
        <v>76</v>
      </c>
      <c r="S12" s="8">
        <v>2024</v>
      </c>
      <c r="T12" s="8">
        <v>1871</v>
      </c>
      <c r="U12" s="8">
        <v>62</v>
      </c>
      <c r="V12" s="8">
        <v>51</v>
      </c>
      <c r="W12" s="8">
        <v>22</v>
      </c>
      <c r="X12" s="8">
        <v>2454</v>
      </c>
      <c r="Y12" s="96">
        <f t="shared" si="1"/>
        <v>8.1774452164617761E-2</v>
      </c>
      <c r="Z12" s="96">
        <f t="shared" si="17"/>
        <v>0.21568627450980382</v>
      </c>
      <c r="AA12" s="96">
        <f t="shared" si="2"/>
        <v>9.2359670095730317E-2</v>
      </c>
      <c r="AB12" s="96">
        <f t="shared" si="3"/>
        <v>3.0051403716884143E-2</v>
      </c>
      <c r="AC12" s="96">
        <f t="shared" si="4"/>
        <v>3.0632411067193676E-2</v>
      </c>
      <c r="AD12" s="41">
        <f t="shared" si="5"/>
        <v>4.4090909090909092</v>
      </c>
      <c r="AE12" s="97">
        <f t="shared" si="6"/>
        <v>1.4728370221327969</v>
      </c>
      <c r="AF12" s="41">
        <f t="shared" si="7"/>
        <v>44.596678529062871</v>
      </c>
      <c r="AG12" s="97">
        <f t="shared" si="8"/>
        <v>2.9268292682926831E-2</v>
      </c>
      <c r="AH12" s="97">
        <f t="shared" si="9"/>
        <v>0.49877949552481693</v>
      </c>
      <c r="AI12" s="96">
        <f t="shared" si="10"/>
        <v>0.12357723577235773</v>
      </c>
      <c r="AJ12" s="97">
        <f t="shared" si="11"/>
        <v>3.6190476190476191</v>
      </c>
      <c r="AK12" s="96">
        <f t="shared" si="12"/>
        <v>6.1838893409275834E-2</v>
      </c>
      <c r="AL12" s="41">
        <f t="shared" ca="1" si="13"/>
        <v>49.019607843137251</v>
      </c>
      <c r="AM12" s="96">
        <f t="shared" ca="1" si="14"/>
        <v>2.0400000000000001E-2</v>
      </c>
      <c r="AN12" s="41">
        <f t="shared" si="15"/>
        <v>30.285714285714285</v>
      </c>
      <c r="AO12" s="41">
        <f t="shared" ca="1" si="16"/>
        <v>6.6037735849056602</v>
      </c>
    </row>
    <row r="13" spans="1:41" ht="15.75" customHeight="1">
      <c r="A13" s="35">
        <v>523398</v>
      </c>
      <c r="B13" s="95" t="s">
        <v>177</v>
      </c>
      <c r="C13" s="8">
        <f ca="1">IFERROR(__xludf.DUMMYFUNCTION("GOOGLEFINANCE(""bom:""&amp;A13,""price"")"),1012.25)</f>
        <v>1012.25</v>
      </c>
      <c r="D13" s="41">
        <f ca="1">IFERROR(__xludf.DUMMYFUNCTION("GOOGLEFINANCE(""bom:""&amp;A13,""marketcap"")/10000000"),2756.6826945)</f>
        <v>2756.6826944999998</v>
      </c>
      <c r="E13" s="41">
        <v>676</v>
      </c>
      <c r="F13" s="41">
        <v>511</v>
      </c>
      <c r="G13" s="41">
        <v>1196</v>
      </c>
      <c r="H13" s="41">
        <v>633</v>
      </c>
      <c r="I13" s="41">
        <v>27</v>
      </c>
      <c r="J13" s="41">
        <v>535</v>
      </c>
      <c r="K13" s="41">
        <v>200</v>
      </c>
      <c r="L13" s="41">
        <v>156</v>
      </c>
      <c r="M13" s="8">
        <v>10</v>
      </c>
      <c r="N13" s="8">
        <f ca="1">IFERROR(__xludf.DUMMYFUNCTION("GOOGLEFINANCE(""bom:""&amp;A13,""eps"")"),-46.19)</f>
        <v>-46.19</v>
      </c>
      <c r="O13" s="96">
        <f t="shared" ca="1" si="0"/>
        <v>1.6282453647240482E-2</v>
      </c>
      <c r="P13" s="8">
        <v>2258</v>
      </c>
      <c r="Q13" s="8">
        <v>2384</v>
      </c>
      <c r="R13" s="8">
        <v>-82</v>
      </c>
      <c r="S13" s="8">
        <v>1147</v>
      </c>
      <c r="T13" s="8">
        <v>1836</v>
      </c>
      <c r="U13" s="8">
        <v>-124</v>
      </c>
      <c r="V13" s="8">
        <v>-81</v>
      </c>
      <c r="W13" s="8">
        <v>7.5</v>
      </c>
      <c r="X13" s="8">
        <v>2486</v>
      </c>
      <c r="Y13" s="96">
        <f t="shared" si="1"/>
        <v>-0.37527233115468406</v>
      </c>
      <c r="Z13" s="96">
        <f t="shared" si="17"/>
        <v>0.53086419753086411</v>
      </c>
      <c r="AA13" s="96">
        <f t="shared" si="2"/>
        <v>1.0919241165702642E-2</v>
      </c>
      <c r="AB13" s="96">
        <f t="shared" si="3"/>
        <v>-3.4395973154362415E-2</v>
      </c>
      <c r="AC13" s="96">
        <f t="shared" si="4"/>
        <v>-0.10810810810810811</v>
      </c>
      <c r="AD13" s="41">
        <f t="shared" si="5"/>
        <v>-12.6</v>
      </c>
      <c r="AE13" s="97">
        <f t="shared" si="6"/>
        <v>1.3228962818003913</v>
      </c>
      <c r="AF13" s="41">
        <f t="shared" si="7"/>
        <v>23.884228187919465</v>
      </c>
      <c r="AG13" s="97">
        <f t="shared" si="8"/>
        <v>0.37383177570093457</v>
      </c>
      <c r="AH13" s="97">
        <f t="shared" si="9"/>
        <v>0.52926421404682278</v>
      </c>
      <c r="AI13" s="96">
        <f t="shared" si="10"/>
        <v>-0.15327102803738318</v>
      </c>
      <c r="AJ13" s="97">
        <f t="shared" si="11"/>
        <v>-3.0370370370370372</v>
      </c>
      <c r="AK13" s="96">
        <f t="shared" si="12"/>
        <v>-6.8561872909698993E-2</v>
      </c>
      <c r="AL13" s="41">
        <f t="shared" ca="1" si="13"/>
        <v>-21.914916648625244</v>
      </c>
      <c r="AM13" s="96">
        <f t="shared" ca="1" si="14"/>
        <v>-4.5631020004939488E-2</v>
      </c>
      <c r="AN13" s="41">
        <f t="shared" si="15"/>
        <v>208.14814814814812</v>
      </c>
      <c r="AO13" s="41">
        <f t="shared" ca="1" si="16"/>
        <v>4.8631227758007123</v>
      </c>
    </row>
    <row r="14" spans="1:41" ht="15.75" customHeight="1">
      <c r="A14" s="35">
        <v>524091</v>
      </c>
      <c r="B14" s="95" t="s">
        <v>178</v>
      </c>
      <c r="C14" s="8">
        <f ca="1">IFERROR(__xludf.DUMMYFUNCTION("GOOGLEFINANCE(""bom:""&amp;A14,""price"")"),940.55)</f>
        <v>940.55</v>
      </c>
      <c r="D14" s="41">
        <f ca="1">IFERROR(__xludf.DUMMYFUNCTION("GOOGLEFINANCE(""bom:""&amp;A14,""marketcap"")/10000000"),2547.51335)</f>
        <v>2547.5133500000002</v>
      </c>
      <c r="E14" s="41">
        <v>378</v>
      </c>
      <c r="F14" s="41">
        <v>329</v>
      </c>
      <c r="G14" s="41">
        <v>745</v>
      </c>
      <c r="H14" s="41">
        <v>416</v>
      </c>
      <c r="I14" s="41">
        <v>5</v>
      </c>
      <c r="J14" s="41">
        <v>329</v>
      </c>
      <c r="K14" s="41">
        <v>208</v>
      </c>
      <c r="L14" s="41">
        <v>126</v>
      </c>
      <c r="M14" s="8">
        <v>2</v>
      </c>
      <c r="N14" s="8">
        <f ca="1">IFERROR(__xludf.DUMMYFUNCTION("GOOGLEFINANCE(""bom:""&amp;A14,""eps"")"),22.89)</f>
        <v>22.89</v>
      </c>
      <c r="O14" s="96">
        <f t="shared" ca="1" si="0"/>
        <v>1.5046986771404539E-2</v>
      </c>
      <c r="P14" s="8">
        <v>199</v>
      </c>
      <c r="Q14" s="8">
        <v>593</v>
      </c>
      <c r="R14" s="8">
        <v>52</v>
      </c>
      <c r="S14" s="8">
        <v>493</v>
      </c>
      <c r="T14" s="8">
        <v>448</v>
      </c>
      <c r="U14" s="8">
        <v>42</v>
      </c>
      <c r="V14" s="8">
        <v>40</v>
      </c>
      <c r="W14" s="8">
        <v>14</v>
      </c>
      <c r="X14" s="8">
        <v>527</v>
      </c>
      <c r="Y14" s="96">
        <f t="shared" si="1"/>
        <v>0.1004464285714286</v>
      </c>
      <c r="Z14" s="96">
        <f t="shared" si="17"/>
        <v>5.0000000000000044E-2</v>
      </c>
      <c r="AA14" s="96">
        <f t="shared" si="2"/>
        <v>0.2440571264604765</v>
      </c>
      <c r="AB14" s="96">
        <f t="shared" si="3"/>
        <v>8.7689713322091065E-2</v>
      </c>
      <c r="AC14" s="96">
        <f t="shared" si="4"/>
        <v>8.5192697768762676E-2</v>
      </c>
      <c r="AD14" s="41">
        <f t="shared" si="5"/>
        <v>5.7142857142857144</v>
      </c>
      <c r="AE14" s="97">
        <f t="shared" si="6"/>
        <v>1.1489361702127661</v>
      </c>
      <c r="AF14" s="41">
        <f t="shared" si="7"/>
        <v>77.554806070826302</v>
      </c>
      <c r="AG14" s="97">
        <f t="shared" si="8"/>
        <v>0.63221884498480241</v>
      </c>
      <c r="AH14" s="97">
        <f t="shared" si="9"/>
        <v>0.55838926174496639</v>
      </c>
      <c r="AI14" s="96">
        <f t="shared" si="10"/>
        <v>0.1580547112462006</v>
      </c>
      <c r="AJ14" s="97">
        <f t="shared" si="11"/>
        <v>10.4</v>
      </c>
      <c r="AK14" s="96">
        <f t="shared" si="12"/>
        <v>6.9798657718120799E-2</v>
      </c>
      <c r="AL14" s="41">
        <f t="shared" ca="1" si="13"/>
        <v>41.089995631280033</v>
      </c>
      <c r="AM14" s="96">
        <f t="shared" ca="1" si="14"/>
        <v>2.43368241986072E-2</v>
      </c>
      <c r="AN14" s="41">
        <f t="shared" si="15"/>
        <v>133.6</v>
      </c>
      <c r="AO14" s="41">
        <f t="shared" ca="1" si="16"/>
        <v>7.040044910179641</v>
      </c>
    </row>
    <row r="15" spans="1:41" ht="15.75" customHeight="1">
      <c r="A15" s="35">
        <v>543260</v>
      </c>
      <c r="B15" s="95" t="s">
        <v>179</v>
      </c>
      <c r="C15" s="8">
        <f ca="1">IFERROR(__xludf.DUMMYFUNCTION("GOOGLEFINANCE(""bom:""&amp;A15,""price"")"),470.65)</f>
        <v>470.65</v>
      </c>
      <c r="D15" s="41">
        <f ca="1">IFERROR(__xludf.DUMMYFUNCTION("GOOGLEFINANCE(""bom:""&amp;A15,""marketcap"")/10000000"),1557.1958643)</f>
        <v>1557.1958643</v>
      </c>
      <c r="O15" s="96">
        <f t="shared" ca="1" si="0"/>
        <v>9.1976379910268021E-3</v>
      </c>
    </row>
    <row r="16" spans="1:41" ht="15.75" customHeight="1">
      <c r="A16" s="35">
        <v>517421</v>
      </c>
      <c r="B16" s="95" t="s">
        <v>180</v>
      </c>
      <c r="C16" s="8">
        <f ca="1">IFERROR(__xludf.DUMMYFUNCTION("GOOGLEFINANCE(""bom:""&amp;A16,""price"")"),806.95)</f>
        <v>806.95</v>
      </c>
      <c r="D16" s="41">
        <f ca="1">IFERROR(__xludf.DUMMYFUNCTION("GOOGLEFINANCE(""bom:""&amp;A16,""marketcap"")/10000000"),1441.999498)</f>
        <v>1441.9994979999999</v>
      </c>
      <c r="O16" s="96">
        <f t="shared" ca="1" si="0"/>
        <v>8.5172261691103535E-3</v>
      </c>
    </row>
    <row r="17" spans="1:41" ht="15.75" customHeight="1">
      <c r="A17" s="35">
        <v>543725</v>
      </c>
      <c r="B17" s="95" t="s">
        <v>181</v>
      </c>
      <c r="C17" s="8">
        <f ca="1">IFERROR(__xludf.DUMMYFUNCTION("GOOGLEFINANCE(""bom:""&amp;A17,""price"")"),137)</f>
        <v>137</v>
      </c>
      <c r="D17" s="41">
        <f ca="1">IFERROR(__xludf.DUMMYFUNCTION("GOOGLEFINANCE(""bom:""&amp;A17,""marketcap"")/10000000"),689.7665354)</f>
        <v>689.76653539999995</v>
      </c>
      <c r="F17" s="3" t="s">
        <v>182</v>
      </c>
      <c r="O17" s="96">
        <f t="shared" ca="1" si="0"/>
        <v>4.0741328925798723E-3</v>
      </c>
    </row>
    <row r="18" spans="1:41" ht="15.75" customHeight="1">
      <c r="A18" s="35">
        <v>543449</v>
      </c>
      <c r="B18" s="95" t="s">
        <v>183</v>
      </c>
      <c r="C18" s="8">
        <f ca="1">IFERROR(__xludf.DUMMYFUNCTION("GOOGLEFINANCE(""bom:""&amp;A18,""price"")"),506)</f>
        <v>506</v>
      </c>
      <c r="D18" s="41">
        <f ca="1">IFERROR(__xludf.DUMMYFUNCTION("GOOGLEFINANCE(""bom:""&amp;A18,""marketcap"")/10000000"),671.1120476)</f>
        <v>671.11204759999998</v>
      </c>
      <c r="O18" s="96">
        <f t="shared" ca="1" si="0"/>
        <v>3.9639494342070527E-3</v>
      </c>
    </row>
    <row r="19" spans="1:41" ht="15.75" customHeight="1">
      <c r="A19" s="35">
        <v>502865</v>
      </c>
      <c r="B19" s="95" t="s">
        <v>184</v>
      </c>
      <c r="C19" s="8">
        <f ca="1">IFERROR(__xludf.DUMMYFUNCTION("GOOGLEFINANCE(""bom:""&amp;A19,""price"")"),400.4)</f>
        <v>400.4</v>
      </c>
      <c r="D19" s="41">
        <f ca="1">IFERROR(__xludf.DUMMYFUNCTION("GOOGLEFINANCE(""bom:""&amp;A19,""marketcap"")/10000000"),516.4603365)</f>
        <v>516.46033650000004</v>
      </c>
      <c r="O19" s="96">
        <f t="shared" ca="1" si="0"/>
        <v>3.0504930823112811E-3</v>
      </c>
    </row>
    <row r="20" spans="1:41" ht="15.75" customHeight="1">
      <c r="A20" s="35">
        <v>505729</v>
      </c>
      <c r="B20" s="95" t="s">
        <v>185</v>
      </c>
      <c r="C20" s="8">
        <f ca="1">IFERROR(__xludf.DUMMYFUNCTION("GOOGLEFINANCE(""bom:""&amp;A20,""price"")"),82.83)</f>
        <v>82.83</v>
      </c>
      <c r="D20" s="41">
        <f ca="1">IFERROR(__xludf.DUMMYFUNCTION("GOOGLEFINANCE(""bom:""&amp;A20,""marketcap"")/10000000"),506.8618786)</f>
        <v>506.86187860000001</v>
      </c>
      <c r="O20" s="96">
        <f t="shared" ca="1" si="0"/>
        <v>2.9937994170760492E-3</v>
      </c>
    </row>
    <row r="21" spans="1:41" ht="15.75" customHeight="1">
      <c r="A21" s="35">
        <v>505840</v>
      </c>
      <c r="B21" s="95" t="s">
        <v>186</v>
      </c>
      <c r="C21" s="8">
        <f ca="1">IFERROR(__xludf.DUMMYFUNCTION("GOOGLEFINANCE(""bom:""&amp;A21,""price"")"),35)</f>
        <v>35</v>
      </c>
      <c r="D21" s="41">
        <f ca="1">IFERROR(__xludf.DUMMYFUNCTION("GOOGLEFINANCE(""bom:""&amp;A21,""marketcap"")/10000000"),21.3494435)</f>
        <v>21.3494435</v>
      </c>
      <c r="O21" s="96">
        <f t="shared" ca="1" si="0"/>
        <v>1.2610131912413672E-4</v>
      </c>
    </row>
    <row r="23" spans="1:41" ht="13.8">
      <c r="A23" s="98"/>
      <c r="B23" s="98" t="s">
        <v>187</v>
      </c>
      <c r="C23" s="98"/>
      <c r="D23" s="99">
        <f t="shared" ref="D23:L23" ca="1" si="18">SUM(D2:D21)</f>
        <v>169303.88713049996</v>
      </c>
      <c r="E23" s="99">
        <f t="shared" si="18"/>
        <v>28125</v>
      </c>
      <c r="F23" s="99">
        <f t="shared" si="18"/>
        <v>20027</v>
      </c>
      <c r="G23" s="99">
        <f t="shared" si="18"/>
        <v>52898</v>
      </c>
      <c r="H23" s="99">
        <f t="shared" si="18"/>
        <v>24512</v>
      </c>
      <c r="I23" s="99">
        <f t="shared" si="18"/>
        <v>728</v>
      </c>
      <c r="J23" s="99">
        <f t="shared" si="18"/>
        <v>28324</v>
      </c>
      <c r="K23" s="99">
        <f t="shared" si="18"/>
        <v>4652</v>
      </c>
      <c r="L23" s="99">
        <f t="shared" si="18"/>
        <v>6336</v>
      </c>
      <c r="M23" s="98">
        <f>MEDIAN(M2:M14)</f>
        <v>2</v>
      </c>
      <c r="N23" s="98">
        <f t="shared" ref="N23:X23" ca="1" si="19">SUM(N2:N21)</f>
        <v>134.11000000000001</v>
      </c>
      <c r="O23" s="100">
        <f t="shared" ca="1" si="19"/>
        <v>1.0000000000000002</v>
      </c>
      <c r="P23" s="98">
        <f t="shared" si="19"/>
        <v>37774</v>
      </c>
      <c r="Q23" s="98">
        <f t="shared" si="19"/>
        <v>61024</v>
      </c>
      <c r="R23" s="98">
        <f t="shared" si="19"/>
        <v>2138</v>
      </c>
      <c r="S23" s="98">
        <f t="shared" si="19"/>
        <v>45838</v>
      </c>
      <c r="T23" s="98">
        <f t="shared" si="19"/>
        <v>42574</v>
      </c>
      <c r="U23" s="98">
        <f t="shared" si="19"/>
        <v>1426</v>
      </c>
      <c r="V23" s="98">
        <f t="shared" si="19"/>
        <v>1261</v>
      </c>
      <c r="W23" s="98">
        <f t="shared" si="19"/>
        <v>484.5</v>
      </c>
      <c r="X23" s="98">
        <f t="shared" si="19"/>
        <v>57834</v>
      </c>
      <c r="Y23" s="100">
        <f>(S23/T23)-1</f>
        <v>7.6666510076572658E-2</v>
      </c>
      <c r="Z23" s="100">
        <f>(U23/V23)-1</f>
        <v>0.13084853291038856</v>
      </c>
      <c r="AA23" s="100">
        <f>(Q23/P23)^(1/5)-1</f>
        <v>0.10068117574924385</v>
      </c>
      <c r="AB23" s="100">
        <f>R23/Q23</f>
        <v>3.5035395909805978E-2</v>
      </c>
      <c r="AC23" s="100">
        <f>U23/S23</f>
        <v>3.1109559753915966E-2</v>
      </c>
      <c r="AD23" s="99">
        <f>(Q23-X23+W23)/W23</f>
        <v>7.5841073271413828</v>
      </c>
      <c r="AE23" s="101">
        <f>E23/F23</f>
        <v>1.4043541219353872</v>
      </c>
      <c r="AF23" s="99">
        <f>(L23/Q23)*365</f>
        <v>37.897220765600423</v>
      </c>
      <c r="AG23" s="101">
        <f>K23/J23</f>
        <v>0.16424233865273266</v>
      </c>
      <c r="AH23" s="101">
        <f>H23/G23</f>
        <v>0.46338235850126658</v>
      </c>
      <c r="AI23" s="100">
        <f>R23/J23</f>
        <v>7.5483688744527613E-2</v>
      </c>
      <c r="AJ23" s="101">
        <f>R23/I23</f>
        <v>2.9368131868131866</v>
      </c>
      <c r="AK23" s="100">
        <f>R23/G23</f>
        <v>4.0417407085334041E-2</v>
      </c>
      <c r="AL23" s="99">
        <f t="shared" ref="AL23:AM23" ca="1" si="20">MEDIAN(AL2:AL14)</f>
        <v>59.356343283582085</v>
      </c>
      <c r="AM23" s="100">
        <f t="shared" ca="1" si="20"/>
        <v>1.6182475242877928E-2</v>
      </c>
      <c r="AN23" s="99">
        <f>(I23+J23)/(I23/M23)</f>
        <v>79.813186813186817</v>
      </c>
      <c r="AO23" s="99">
        <f ca="1">MEDIAN(AO2:AO14)</f>
        <v>6.0729918811539116</v>
      </c>
    </row>
    <row r="25" spans="1:41" ht="13.8">
      <c r="L25" s="3" t="s">
        <v>188</v>
      </c>
    </row>
    <row r="27" spans="1:41" ht="13.8">
      <c r="Q27" s="3">
        <v>1023100</v>
      </c>
    </row>
    <row r="40" spans="1:1" ht="13.8">
      <c r="A40" s="3" t="s">
        <v>189</v>
      </c>
    </row>
    <row r="57" spans="1:11" ht="13.8">
      <c r="A57" s="102" t="s">
        <v>190</v>
      </c>
      <c r="B57" s="103" t="s">
        <v>1</v>
      </c>
      <c r="C57" s="103" t="s">
        <v>141</v>
      </c>
      <c r="F57" s="104" t="s">
        <v>1</v>
      </c>
      <c r="G57" s="104" t="s">
        <v>151</v>
      </c>
      <c r="J57" s="104" t="s">
        <v>1</v>
      </c>
      <c r="K57" s="104" t="s">
        <v>152</v>
      </c>
    </row>
    <row r="58" spans="1:11" ht="14.4">
      <c r="B58" s="105" t="s">
        <v>166</v>
      </c>
      <c r="C58" s="106">
        <v>36203.750258300002</v>
      </c>
      <c r="F58" s="105" t="s">
        <v>166</v>
      </c>
      <c r="G58" s="107">
        <v>9399</v>
      </c>
      <c r="J58" s="105" t="s">
        <v>166</v>
      </c>
      <c r="K58" s="107">
        <v>136</v>
      </c>
    </row>
    <row r="59" spans="1:11" ht="14.4">
      <c r="B59" s="105" t="s">
        <v>168</v>
      </c>
      <c r="C59" s="106">
        <v>26606.555120000001</v>
      </c>
      <c r="F59" s="105" t="s">
        <v>168</v>
      </c>
      <c r="G59" s="107">
        <v>7977</v>
      </c>
      <c r="J59" s="105" t="s">
        <v>168</v>
      </c>
      <c r="K59" s="107">
        <v>400</v>
      </c>
    </row>
    <row r="60" spans="1:11" ht="14.4">
      <c r="B60" s="105" t="s">
        <v>169</v>
      </c>
      <c r="C60" s="106">
        <v>18749.298936200001</v>
      </c>
      <c r="F60" s="105" t="s">
        <v>169</v>
      </c>
      <c r="G60" s="107">
        <v>5809</v>
      </c>
      <c r="J60" s="105" t="s">
        <v>169</v>
      </c>
      <c r="K60" s="107">
        <v>475</v>
      </c>
    </row>
    <row r="61" spans="1:11" ht="14.4">
      <c r="B61" s="105" t="s">
        <v>170</v>
      </c>
      <c r="C61" s="106">
        <v>16134.2861865</v>
      </c>
      <c r="F61" s="105" t="s">
        <v>170</v>
      </c>
      <c r="G61" s="107">
        <v>6795</v>
      </c>
      <c r="J61" s="105" t="s">
        <v>170</v>
      </c>
      <c r="K61" s="107">
        <v>223</v>
      </c>
    </row>
    <row r="62" spans="1:11" ht="14.4">
      <c r="B62" s="105" t="s">
        <v>171</v>
      </c>
      <c r="C62" s="106">
        <v>13501.934380000001</v>
      </c>
      <c r="F62" s="105" t="s">
        <v>171</v>
      </c>
      <c r="G62" s="107">
        <v>4127</v>
      </c>
      <c r="J62" s="105" t="s">
        <v>171</v>
      </c>
      <c r="K62" s="107">
        <v>189</v>
      </c>
    </row>
    <row r="63" spans="1:11" ht="14.4">
      <c r="B63" s="105" t="s">
        <v>172</v>
      </c>
      <c r="C63" s="106">
        <v>13056.489008099999</v>
      </c>
      <c r="F63" s="105" t="s">
        <v>172</v>
      </c>
      <c r="G63" s="107">
        <v>6927</v>
      </c>
      <c r="J63" s="105" t="s">
        <v>172</v>
      </c>
      <c r="K63" s="107">
        <v>163</v>
      </c>
    </row>
    <row r="64" spans="1:11" ht="14.4">
      <c r="B64" s="105" t="s">
        <v>173</v>
      </c>
      <c r="C64" s="106">
        <v>11555.655391</v>
      </c>
      <c r="F64" s="105" t="s">
        <v>173</v>
      </c>
      <c r="G64" s="107">
        <v>5429</v>
      </c>
      <c r="J64" s="105" t="s">
        <v>173</v>
      </c>
      <c r="K64" s="107">
        <v>215</v>
      </c>
    </row>
    <row r="65" spans="2:11" ht="14.4">
      <c r="B65" s="105" t="s">
        <v>22</v>
      </c>
      <c r="C65" s="106">
        <v>10533.963499699999</v>
      </c>
      <c r="F65" s="105" t="s">
        <v>22</v>
      </c>
      <c r="G65" s="107">
        <v>2777</v>
      </c>
      <c r="J65" s="105" t="s">
        <v>22</v>
      </c>
      <c r="K65" s="107">
        <v>255</v>
      </c>
    </row>
    <row r="66" spans="2:11" ht="14.4">
      <c r="B66" s="108" t="s">
        <v>191</v>
      </c>
      <c r="C66" s="109">
        <v>9367.2953498999996</v>
      </c>
      <c r="F66" s="105" t="s">
        <v>174</v>
      </c>
      <c r="G66" s="107">
        <v>2084</v>
      </c>
      <c r="J66" s="105" t="s">
        <v>174</v>
      </c>
      <c r="K66" s="107">
        <v>21</v>
      </c>
    </row>
    <row r="67" spans="2:11" ht="14.4">
      <c r="B67" s="105"/>
      <c r="C67" s="106"/>
      <c r="F67" s="105" t="s">
        <v>175</v>
      </c>
      <c r="G67" s="107">
        <v>4194</v>
      </c>
      <c r="J67" s="105" t="s">
        <v>175</v>
      </c>
      <c r="K67" s="107">
        <v>15</v>
      </c>
    </row>
    <row r="68" spans="2:11" ht="14.4">
      <c r="B68" s="105"/>
      <c r="C68" s="106"/>
      <c r="F68" s="105" t="s">
        <v>176</v>
      </c>
      <c r="G68" s="107">
        <v>2529</v>
      </c>
      <c r="J68" s="105" t="s">
        <v>176</v>
      </c>
      <c r="K68" s="107">
        <v>76</v>
      </c>
    </row>
    <row r="69" spans="2:11" ht="14.4">
      <c r="B69" s="105"/>
      <c r="C69" s="106"/>
      <c r="F69" s="105" t="s">
        <v>177</v>
      </c>
      <c r="G69" s="107">
        <v>2384</v>
      </c>
      <c r="J69" s="105" t="s">
        <v>177</v>
      </c>
      <c r="K69" s="107">
        <v>-82</v>
      </c>
    </row>
    <row r="70" spans="2:11" ht="14.4">
      <c r="B70" s="105"/>
      <c r="C70" s="106"/>
      <c r="F70" s="108" t="s">
        <v>178</v>
      </c>
      <c r="G70" s="110">
        <v>593</v>
      </c>
      <c r="J70" s="108" t="s">
        <v>178</v>
      </c>
      <c r="K70" s="110">
        <v>52</v>
      </c>
    </row>
    <row r="71" spans="2:11" ht="14.4">
      <c r="B71" s="105"/>
      <c r="C71" s="106"/>
    </row>
    <row r="72" spans="2:11" ht="13.8">
      <c r="B72" s="111" t="s">
        <v>187</v>
      </c>
      <c r="C72" s="112">
        <v>177988.06147259998</v>
      </c>
      <c r="F72" s="111" t="s">
        <v>187</v>
      </c>
      <c r="G72" s="112">
        <f>SUM(G58:G70)</f>
        <v>61024</v>
      </c>
      <c r="J72" s="111" t="s">
        <v>187</v>
      </c>
      <c r="K72" s="112">
        <f>SUM(K58:K70)</f>
        <v>2138</v>
      </c>
    </row>
    <row r="73" spans="2:11" ht="14.4">
      <c r="B73" s="105"/>
      <c r="C73" s="106"/>
    </row>
    <row r="74" spans="2:11" ht="14.4">
      <c r="B74" s="105"/>
      <c r="C74" s="106"/>
    </row>
    <row r="75" spans="2:11" ht="14.4">
      <c r="B75" s="105"/>
      <c r="C75" s="106"/>
    </row>
    <row r="76" spans="2:11" ht="14.4">
      <c r="B76" s="105"/>
      <c r="C76" s="106"/>
    </row>
    <row r="77" spans="2:11" ht="14.4">
      <c r="B77" s="105"/>
      <c r="C77" s="106"/>
    </row>
    <row r="78" spans="2:11" ht="13.8">
      <c r="B78" s="113"/>
      <c r="C78" s="113"/>
    </row>
    <row r="90" spans="1:7" ht="13.8">
      <c r="A90" s="114" t="s">
        <v>24</v>
      </c>
      <c r="B90" s="104" t="s">
        <v>1</v>
      </c>
      <c r="C90" s="104" t="s">
        <v>160</v>
      </c>
      <c r="F90" s="104" t="s">
        <v>1</v>
      </c>
      <c r="G90" s="115" t="s">
        <v>158</v>
      </c>
    </row>
    <row r="91" spans="1:7" ht="14.4">
      <c r="B91" s="105" t="s">
        <v>166</v>
      </c>
      <c r="C91" s="116">
        <v>7.898316835041852E-2</v>
      </c>
      <c r="F91" s="105" t="s">
        <v>166</v>
      </c>
      <c r="G91" s="116">
        <v>0.27324860508369508</v>
      </c>
    </row>
    <row r="92" spans="1:7" ht="14.4">
      <c r="B92" s="105" t="s">
        <v>168</v>
      </c>
      <c r="C92" s="116">
        <v>0.1421030363117155</v>
      </c>
      <c r="F92" s="105" t="s">
        <v>168</v>
      </c>
      <c r="G92" s="116">
        <v>0.1875583784793573</v>
      </c>
    </row>
    <row r="93" spans="1:7" ht="14.4">
      <c r="B93" s="105" t="s">
        <v>169</v>
      </c>
      <c r="C93" s="116">
        <v>4.0373946082605139E-2</v>
      </c>
      <c r="F93" s="105" t="s">
        <v>169</v>
      </c>
      <c r="G93" s="116">
        <v>9.2033293697978635E-2</v>
      </c>
    </row>
    <row r="94" spans="1:7" ht="14.4">
      <c r="B94" s="105" t="s">
        <v>170</v>
      </c>
      <c r="C94" s="116">
        <v>6.3867244044784277E-2</v>
      </c>
      <c r="F94" s="105" t="s">
        <v>170</v>
      </c>
      <c r="G94" s="116">
        <v>2.0020020020020013E-2</v>
      </c>
    </row>
    <row r="95" spans="1:7" ht="14.4">
      <c r="B95" s="105" t="s">
        <v>171</v>
      </c>
      <c r="C95" s="116">
        <v>0.12064876484505516</v>
      </c>
      <c r="F95" s="105" t="s">
        <v>171</v>
      </c>
      <c r="G95" s="116">
        <v>0.1760374832663989</v>
      </c>
    </row>
    <row r="96" spans="1:7" ht="14.4">
      <c r="B96" s="105" t="s">
        <v>172</v>
      </c>
      <c r="C96" s="116">
        <v>0.26106384152025708</v>
      </c>
      <c r="F96" s="105" t="s">
        <v>172</v>
      </c>
      <c r="G96" s="116">
        <v>-2.5484199796121931E-4</v>
      </c>
    </row>
    <row r="97" spans="2:7" ht="14.4">
      <c r="B97" s="105" t="s">
        <v>173</v>
      </c>
      <c r="C97" s="116">
        <v>2.6219570312039364E-2</v>
      </c>
      <c r="F97" s="105" t="s">
        <v>173</v>
      </c>
      <c r="G97" s="116">
        <v>-3.8020687727145619E-2</v>
      </c>
    </row>
    <row r="98" spans="2:7" ht="14.4">
      <c r="B98" s="105" t="s">
        <v>22</v>
      </c>
      <c r="C98" s="116">
        <v>8.2182280180676415E-2</v>
      </c>
      <c r="F98" s="105" t="s">
        <v>22</v>
      </c>
      <c r="G98" s="116">
        <v>-5.1246537396121838E-2</v>
      </c>
    </row>
    <row r="99" spans="2:7" ht="14.4">
      <c r="B99" s="105" t="s">
        <v>174</v>
      </c>
      <c r="C99" s="117"/>
      <c r="F99" s="105" t="s">
        <v>174</v>
      </c>
      <c r="G99" s="116">
        <v>3.8095238095238182E-2</v>
      </c>
    </row>
    <row r="100" spans="2:7" ht="14.4">
      <c r="B100" s="105" t="s">
        <v>175</v>
      </c>
      <c r="C100" s="116">
        <v>0.13172898548178735</v>
      </c>
      <c r="F100" s="105" t="s">
        <v>175</v>
      </c>
      <c r="G100" s="116">
        <v>5.1193467336683396E-2</v>
      </c>
    </row>
    <row r="101" spans="2:7" ht="14.4">
      <c r="B101" s="105" t="s">
        <v>176</v>
      </c>
      <c r="C101" s="116">
        <v>9.2359670095730317E-2</v>
      </c>
      <c r="F101" s="105" t="s">
        <v>176</v>
      </c>
      <c r="G101" s="116">
        <v>8.1774452164617761E-2</v>
      </c>
    </row>
    <row r="102" spans="2:7" ht="14.4">
      <c r="B102" s="105" t="s">
        <v>177</v>
      </c>
      <c r="C102" s="116">
        <v>1.0919241165702642E-2</v>
      </c>
      <c r="F102" s="105" t="s">
        <v>177</v>
      </c>
      <c r="G102" s="116">
        <v>-0.37527233115468406</v>
      </c>
    </row>
    <row r="103" spans="2:7" ht="14.4">
      <c r="B103" s="108" t="s">
        <v>178</v>
      </c>
      <c r="C103" s="118">
        <v>0.2440571264604765</v>
      </c>
      <c r="F103" s="108" t="s">
        <v>178</v>
      </c>
      <c r="G103" s="118">
        <v>0.1004464285714286</v>
      </c>
    </row>
    <row r="105" spans="2:7" ht="13.8">
      <c r="B105" s="111" t="s">
        <v>187</v>
      </c>
      <c r="C105" s="119">
        <v>0.1</v>
      </c>
      <c r="F105" s="111" t="s">
        <v>187</v>
      </c>
      <c r="G105" s="120">
        <v>7.6999999999999999E-2</v>
      </c>
    </row>
    <row r="122" spans="1:12" ht="13.8">
      <c r="A122" s="114" t="s">
        <v>192</v>
      </c>
    </row>
    <row r="123" spans="1:12" ht="13.8">
      <c r="B123" s="104" t="s">
        <v>1</v>
      </c>
      <c r="C123" s="104" t="s">
        <v>161</v>
      </c>
      <c r="D123" s="104" t="s">
        <v>162</v>
      </c>
      <c r="G123" s="115" t="s">
        <v>1</v>
      </c>
      <c r="H123" s="115" t="s">
        <v>163</v>
      </c>
      <c r="K123" s="115" t="s">
        <v>1</v>
      </c>
      <c r="L123" s="115" t="s">
        <v>164</v>
      </c>
    </row>
    <row r="124" spans="1:12" ht="14.4">
      <c r="B124" s="105" t="s">
        <v>166</v>
      </c>
      <c r="C124" s="121">
        <v>1.4469624428130653E-2</v>
      </c>
      <c r="D124" s="121">
        <v>1.6676810712111991E-2</v>
      </c>
      <c r="G124" s="87" t="s">
        <v>166</v>
      </c>
      <c r="H124" s="122">
        <v>1.4595278473836246</v>
      </c>
      <c r="K124" s="87" t="s">
        <v>166</v>
      </c>
      <c r="L124" s="123">
        <v>58.738631769337161</v>
      </c>
    </row>
    <row r="125" spans="1:12" ht="14.4">
      <c r="B125" s="105" t="s">
        <v>168</v>
      </c>
      <c r="C125" s="121">
        <v>5.0144164472859472E-2</v>
      </c>
      <c r="D125" s="121">
        <v>3.9955954066383512E-2</v>
      </c>
      <c r="G125" s="87" t="s">
        <v>168</v>
      </c>
      <c r="H125" s="122">
        <v>1.3615064810873532</v>
      </c>
      <c r="K125" s="87" t="s">
        <v>168</v>
      </c>
      <c r="L125" s="123">
        <v>56.952262755421842</v>
      </c>
    </row>
    <row r="126" spans="1:12" ht="14.4">
      <c r="B126" s="105" t="s">
        <v>169</v>
      </c>
      <c r="C126" s="121">
        <v>8.1769667756928899E-2</v>
      </c>
      <c r="D126" s="121">
        <v>6.6419860627177696E-2</v>
      </c>
      <c r="G126" s="87" t="s">
        <v>169</v>
      </c>
      <c r="H126" s="122">
        <v>1.1496140262238699</v>
      </c>
      <c r="K126" s="87" t="s">
        <v>169</v>
      </c>
      <c r="L126" s="123">
        <v>42.623127904975043</v>
      </c>
    </row>
    <row r="127" spans="1:12" ht="14.4">
      <c r="B127" s="105" t="s">
        <v>170</v>
      </c>
      <c r="C127" s="121">
        <v>3.2818248712288445E-2</v>
      </c>
      <c r="D127" s="121">
        <v>2.8263002944062806E-2</v>
      </c>
      <c r="G127" s="87" t="s">
        <v>170</v>
      </c>
      <c r="H127" s="122">
        <v>2.5179224579370887</v>
      </c>
      <c r="K127" s="87" t="s">
        <v>170</v>
      </c>
      <c r="L127" s="123">
        <v>10.796909492273731</v>
      </c>
    </row>
    <row r="128" spans="1:12" ht="14.4">
      <c r="B128" s="105" t="s">
        <v>171</v>
      </c>
      <c r="C128" s="121">
        <v>4.5795977707778046E-2</v>
      </c>
      <c r="D128" s="121">
        <v>5.1508252703471827E-2</v>
      </c>
      <c r="G128" s="87" t="s">
        <v>171</v>
      </c>
      <c r="H128" s="122">
        <v>1.7624555895232588</v>
      </c>
      <c r="K128" s="87" t="s">
        <v>171</v>
      </c>
      <c r="L128" s="123">
        <v>40.306542282529684</v>
      </c>
    </row>
    <row r="129" spans="2:12" ht="14.4">
      <c r="B129" s="105" t="s">
        <v>172</v>
      </c>
      <c r="C129" s="121">
        <v>2.3531110148693517E-2</v>
      </c>
      <c r="D129" s="121">
        <v>1.0196278358399185E-2</v>
      </c>
      <c r="G129" s="87" t="s">
        <v>172</v>
      </c>
      <c r="H129" s="122">
        <v>1.0830248545742993</v>
      </c>
      <c r="K129" s="87" t="s">
        <v>172</v>
      </c>
      <c r="L129" s="123">
        <v>36.937346614696118</v>
      </c>
    </row>
    <row r="130" spans="2:12" ht="14.4">
      <c r="B130" s="105" t="s">
        <v>173</v>
      </c>
      <c r="C130" s="121">
        <v>3.9602136673420517E-2</v>
      </c>
      <c r="D130" s="121">
        <v>3.0804998546934029E-2</v>
      </c>
      <c r="G130" s="87" t="s">
        <v>173</v>
      </c>
      <c r="H130" s="122">
        <v>1.1361161524500907</v>
      </c>
      <c r="K130" s="87" t="s">
        <v>173</v>
      </c>
      <c r="L130" s="123">
        <v>1.4790937557561246</v>
      </c>
    </row>
    <row r="131" spans="2:12" ht="14.4">
      <c r="B131" s="105" t="s">
        <v>22</v>
      </c>
      <c r="C131" s="121">
        <v>9.1825711199135754E-2</v>
      </c>
      <c r="D131" s="121">
        <v>8.1751824817518248E-2</v>
      </c>
      <c r="G131" s="87" t="s">
        <v>22</v>
      </c>
      <c r="H131" s="122">
        <v>3.2142857142857144</v>
      </c>
      <c r="K131" s="87" t="s">
        <v>22</v>
      </c>
      <c r="L131" s="123">
        <v>45.871444004321205</v>
      </c>
    </row>
    <row r="132" spans="2:12" ht="14.4">
      <c r="B132" s="105" t="s">
        <v>174</v>
      </c>
      <c r="C132" s="121">
        <v>1.0076775431861805E-2</v>
      </c>
      <c r="D132" s="121">
        <v>4.4648318042813454E-2</v>
      </c>
      <c r="G132" s="87" t="s">
        <v>174</v>
      </c>
      <c r="H132" s="122">
        <v>0.58273381294964033</v>
      </c>
      <c r="K132" s="87" t="s">
        <v>174</v>
      </c>
      <c r="L132" s="123">
        <v>28.548464491362765</v>
      </c>
    </row>
    <row r="133" spans="2:12" ht="14.4">
      <c r="B133" s="105" t="s">
        <v>175</v>
      </c>
      <c r="C133" s="121">
        <v>3.5765379113018598E-3</v>
      </c>
      <c r="D133" s="121">
        <v>1.1353450851508814E-2</v>
      </c>
      <c r="G133" s="87" t="s">
        <v>175</v>
      </c>
      <c r="H133" s="122">
        <v>1.0998005436793259</v>
      </c>
      <c r="K133" s="87" t="s">
        <v>175</v>
      </c>
      <c r="L133" s="123">
        <v>36.333774439675729</v>
      </c>
    </row>
    <row r="134" spans="2:12" ht="14.4">
      <c r="B134" s="105" t="s">
        <v>176</v>
      </c>
      <c r="C134" s="121">
        <v>3.0051403716884143E-2</v>
      </c>
      <c r="D134" s="121">
        <v>3.0632411067193676E-2</v>
      </c>
      <c r="G134" s="87" t="s">
        <v>176</v>
      </c>
      <c r="H134" s="122">
        <v>1.4731115758989624</v>
      </c>
      <c r="K134" s="87" t="s">
        <v>176</v>
      </c>
      <c r="L134" s="123">
        <v>44.573586397785682</v>
      </c>
    </row>
    <row r="135" spans="2:12" ht="14.4">
      <c r="B135" s="105" t="s">
        <v>177</v>
      </c>
      <c r="C135" s="121">
        <v>-3.4395973154362415E-2</v>
      </c>
      <c r="D135" s="121">
        <v>-0.10810810810810811</v>
      </c>
      <c r="G135" s="87" t="s">
        <v>177</v>
      </c>
      <c r="H135" s="122">
        <v>1.3228962818003913</v>
      </c>
      <c r="K135" s="87" t="s">
        <v>177</v>
      </c>
      <c r="L135" s="123">
        <v>23.884228187919465</v>
      </c>
    </row>
    <row r="136" spans="2:12" ht="14.4">
      <c r="B136" s="108" t="s">
        <v>178</v>
      </c>
      <c r="C136" s="124">
        <v>8.7689713322091065E-2</v>
      </c>
      <c r="D136" s="124">
        <v>8.5192697768762676E-2</v>
      </c>
      <c r="G136" s="87" t="s">
        <v>178</v>
      </c>
      <c r="H136" s="122">
        <v>1.1489361702127661</v>
      </c>
      <c r="K136" s="87" t="s">
        <v>178</v>
      </c>
      <c r="L136" s="123">
        <v>77.554806070826302</v>
      </c>
    </row>
    <row r="138" spans="2:12" ht="13.8">
      <c r="B138" s="111" t="s">
        <v>187</v>
      </c>
      <c r="C138" s="120">
        <v>3.5000000000000003E-2</v>
      </c>
      <c r="D138" s="120">
        <v>3.1E-2</v>
      </c>
      <c r="G138" s="111" t="s">
        <v>187</v>
      </c>
      <c r="H138" s="111">
        <v>1.4</v>
      </c>
      <c r="K138" s="111" t="s">
        <v>187</v>
      </c>
      <c r="L138" s="111">
        <v>38</v>
      </c>
    </row>
    <row r="156" spans="1:11" ht="13.8">
      <c r="A156" s="114" t="s">
        <v>26</v>
      </c>
    </row>
    <row r="157" spans="1:11" ht="13.8">
      <c r="B157" s="115" t="s">
        <v>1</v>
      </c>
      <c r="C157" s="115" t="s">
        <v>34</v>
      </c>
      <c r="F157" s="115" t="s">
        <v>1</v>
      </c>
      <c r="G157" s="115" t="s">
        <v>36</v>
      </c>
      <c r="J157" s="115" t="s">
        <v>1</v>
      </c>
      <c r="K157" s="115" t="s">
        <v>35</v>
      </c>
    </row>
    <row r="158" spans="1:11" ht="14.4">
      <c r="B158" s="87" t="s">
        <v>166</v>
      </c>
      <c r="C158" s="122">
        <v>9.0781467723496156E-2</v>
      </c>
      <c r="F158" s="87" t="s">
        <v>166</v>
      </c>
      <c r="G158" s="123">
        <v>14.931034482758621</v>
      </c>
      <c r="J158" s="87" t="s">
        <v>166</v>
      </c>
      <c r="K158" s="122">
        <v>0.42501123887351522</v>
      </c>
    </row>
    <row r="159" spans="1:11" ht="14.4">
      <c r="B159" s="87" t="s">
        <v>168</v>
      </c>
      <c r="C159" s="122">
        <v>0.33574615681795994</v>
      </c>
      <c r="F159" s="87" t="s">
        <v>168</v>
      </c>
      <c r="G159" s="123">
        <v>7.418181818181818</v>
      </c>
      <c r="J159" s="87" t="s">
        <v>168</v>
      </c>
      <c r="K159" s="122">
        <v>0.61084879164160955</v>
      </c>
    </row>
    <row r="160" spans="1:11" ht="14.4">
      <c r="B160" s="87" t="s">
        <v>169</v>
      </c>
      <c r="C160" s="122">
        <v>0.28983482413369793</v>
      </c>
      <c r="F160" s="87" t="s">
        <v>169</v>
      </c>
      <c r="G160" s="123">
        <v>5.7247706422018352</v>
      </c>
      <c r="J160" s="87" t="s">
        <v>169</v>
      </c>
      <c r="K160" s="122">
        <v>0.44855138455571986</v>
      </c>
    </row>
    <row r="161" spans="2:11" ht="14.4">
      <c r="B161" s="87" t="s">
        <v>170</v>
      </c>
      <c r="C161" s="122">
        <v>0</v>
      </c>
      <c r="F161" s="87" t="s">
        <v>170</v>
      </c>
      <c r="G161" s="123">
        <v>20.8</v>
      </c>
      <c r="J161" s="87" t="s">
        <v>170</v>
      </c>
      <c r="K161" s="122">
        <v>0.32427043683161139</v>
      </c>
    </row>
    <row r="162" spans="2:11" ht="14.4">
      <c r="B162" s="87" t="s">
        <v>171</v>
      </c>
      <c r="C162" s="122">
        <v>0.17424147870791357</v>
      </c>
      <c r="F162" s="87" t="s">
        <v>171</v>
      </c>
      <c r="G162" s="123">
        <v>16</v>
      </c>
      <c r="J162" s="87" t="s">
        <v>171</v>
      </c>
      <c r="K162" s="122">
        <v>0.43086722095564106</v>
      </c>
    </row>
    <row r="163" spans="2:11" ht="14.4">
      <c r="B163" s="87" t="s">
        <v>172</v>
      </c>
      <c r="C163" s="122">
        <v>0.72141787319021466</v>
      </c>
      <c r="F163" s="87" t="s">
        <v>172</v>
      </c>
      <c r="G163" s="123">
        <v>2.4910714285714284</v>
      </c>
      <c r="J163" s="87" t="s">
        <v>172</v>
      </c>
      <c r="K163" s="122">
        <v>0.56748002591232993</v>
      </c>
    </row>
    <row r="164" spans="2:11" ht="14.4">
      <c r="B164" s="87" t="s">
        <v>173</v>
      </c>
      <c r="C164" s="122">
        <v>0</v>
      </c>
      <c r="F164" s="87" t="s">
        <v>173</v>
      </c>
      <c r="G164" s="123">
        <v>17.625</v>
      </c>
      <c r="J164" s="87" t="s">
        <v>173</v>
      </c>
      <c r="K164" s="122">
        <v>0.64404541853710062</v>
      </c>
    </row>
    <row r="165" spans="2:11" ht="14.4">
      <c r="B165" s="87" t="s">
        <v>22</v>
      </c>
      <c r="C165" s="122">
        <v>2.0397756246812851E-2</v>
      </c>
      <c r="F165" s="87" t="s">
        <v>22</v>
      </c>
      <c r="G165" s="123">
        <v>38.25</v>
      </c>
      <c r="J165" s="87" t="s">
        <v>22</v>
      </c>
      <c r="K165" s="122">
        <v>0.2719881744271988</v>
      </c>
    </row>
    <row r="166" spans="2:11" ht="14.4">
      <c r="B166" s="87" t="s">
        <v>174</v>
      </c>
      <c r="C166" s="122">
        <v>1.5373528705260629E-2</v>
      </c>
      <c r="F166" s="87" t="s">
        <v>174</v>
      </c>
      <c r="G166" s="123">
        <v>4.4000000000000004</v>
      </c>
      <c r="J166" s="87" t="s">
        <v>174</v>
      </c>
      <c r="K166" s="122">
        <v>0.31664478003939595</v>
      </c>
    </row>
    <row r="167" spans="2:11" ht="14.4">
      <c r="B167" s="87" t="s">
        <v>175</v>
      </c>
      <c r="C167" s="122">
        <v>0.21397799382895732</v>
      </c>
      <c r="F167" s="87" t="s">
        <v>175</v>
      </c>
      <c r="G167" s="123">
        <v>1.3793103448275863</v>
      </c>
      <c r="J167" s="87" t="s">
        <v>175</v>
      </c>
      <c r="K167" s="122">
        <v>0.68773774842864477</v>
      </c>
    </row>
    <row r="168" spans="2:11" ht="14.4">
      <c r="B168" s="87" t="s">
        <v>176</v>
      </c>
      <c r="C168" s="122">
        <v>2.860579267301629E-2</v>
      </c>
      <c r="F168" s="87" t="s">
        <v>176</v>
      </c>
      <c r="G168" s="123">
        <v>4.4090909090909092</v>
      </c>
      <c r="J168" s="87" t="s">
        <v>176</v>
      </c>
      <c r="K168" s="122">
        <v>0.49927160564159745</v>
      </c>
    </row>
    <row r="169" spans="2:11" ht="14.4">
      <c r="B169" s="87" t="s">
        <v>177</v>
      </c>
      <c r="C169" s="122">
        <v>0.37383177570093457</v>
      </c>
      <c r="F169" s="87" t="s">
        <v>177</v>
      </c>
      <c r="G169" s="123">
        <v>-12.6</v>
      </c>
      <c r="J169" s="87" t="s">
        <v>177</v>
      </c>
      <c r="K169" s="122">
        <v>0.52926421404682278</v>
      </c>
    </row>
    <row r="170" spans="2:11" ht="14.4">
      <c r="B170" s="87" t="s">
        <v>178</v>
      </c>
      <c r="C170" s="122">
        <v>0.63221884498480241</v>
      </c>
      <c r="F170" s="87" t="s">
        <v>178</v>
      </c>
      <c r="G170" s="123">
        <v>5.7142857142857144</v>
      </c>
      <c r="J170" s="87" t="s">
        <v>178</v>
      </c>
      <c r="K170" s="122">
        <v>0.55838926174496639</v>
      </c>
    </row>
    <row r="172" spans="2:11" ht="13.8">
      <c r="B172" s="111" t="s">
        <v>187</v>
      </c>
      <c r="C172" s="111">
        <v>0.16</v>
      </c>
      <c r="F172" s="111" t="s">
        <v>187</v>
      </c>
      <c r="G172" s="111">
        <v>8</v>
      </c>
      <c r="J172" s="111" t="s">
        <v>187</v>
      </c>
      <c r="K172" s="111">
        <v>0.46</v>
      </c>
    </row>
    <row r="191" spans="1:13" ht="13.8">
      <c r="A191" s="115" t="s">
        <v>27</v>
      </c>
      <c r="B191" s="115" t="s">
        <v>1</v>
      </c>
      <c r="C191" s="115" t="s">
        <v>37</v>
      </c>
      <c r="D191" s="115" t="s">
        <v>39</v>
      </c>
      <c r="F191" s="114" t="s">
        <v>28</v>
      </c>
      <c r="G191" s="104" t="s">
        <v>1</v>
      </c>
      <c r="H191" s="104" t="s">
        <v>165</v>
      </c>
      <c r="I191" s="104" t="s">
        <v>43</v>
      </c>
      <c r="L191" s="104" t="s">
        <v>1</v>
      </c>
      <c r="M191" s="104" t="s">
        <v>41</v>
      </c>
    </row>
    <row r="192" spans="1:13" ht="14.4">
      <c r="B192" s="87" t="s">
        <v>166</v>
      </c>
      <c r="C192" s="125">
        <v>2.3629243273484167E-2</v>
      </c>
      <c r="D192" s="125">
        <v>1.3586549316176985E-2</v>
      </c>
      <c r="G192" s="105" t="s">
        <v>166</v>
      </c>
      <c r="H192" s="106">
        <v>129.65517241379311</v>
      </c>
      <c r="I192" s="106">
        <v>6.2312231155396933</v>
      </c>
      <c r="L192" s="105" t="s">
        <v>166</v>
      </c>
      <c r="M192" s="116">
        <v>7.7127659574468084E-3</v>
      </c>
    </row>
    <row r="193" spans="2:13" ht="14.4">
      <c r="B193" s="87" t="s">
        <v>168</v>
      </c>
      <c r="C193" s="125">
        <v>0.16981748865406907</v>
      </c>
      <c r="D193" s="125">
        <v>6.6084680910118224E-2</v>
      </c>
      <c r="G193" s="105" t="s">
        <v>168</v>
      </c>
      <c r="H193" s="106">
        <v>52.853648593558908</v>
      </c>
      <c r="I193" s="106">
        <v>11.1224865329489</v>
      </c>
      <c r="L193" s="105" t="s">
        <v>168</v>
      </c>
      <c r="M193" s="116">
        <v>1.8920169687620517E-2</v>
      </c>
    </row>
    <row r="194" spans="2:13" ht="14.4">
      <c r="B194" s="87" t="s">
        <v>169</v>
      </c>
      <c r="C194" s="125">
        <v>0.14913236360667986</v>
      </c>
      <c r="D194" s="125">
        <v>8.2238835428836574E-2</v>
      </c>
      <c r="G194" s="105" t="s">
        <v>169</v>
      </c>
      <c r="H194" s="106">
        <v>44.634703196347033</v>
      </c>
      <c r="I194" s="106">
        <v>5.6660787263968695</v>
      </c>
      <c r="L194" s="105" t="s">
        <v>169</v>
      </c>
      <c r="M194" s="116">
        <v>2.2404092071611256E-2</v>
      </c>
    </row>
    <row r="195" spans="2:13" ht="14.4">
      <c r="B195" s="87" t="s">
        <v>170</v>
      </c>
      <c r="C195" s="125">
        <v>5.9833646364368123E-2</v>
      </c>
      <c r="D195" s="125">
        <v>4.0420518397679898E-2</v>
      </c>
      <c r="G195" s="105" t="s">
        <v>170</v>
      </c>
      <c r="H195" s="106">
        <v>81.744708146247604</v>
      </c>
      <c r="I195" s="106">
        <v>4.1995018162947586</v>
      </c>
      <c r="L195" s="105" t="s">
        <v>170</v>
      </c>
      <c r="M195" s="116">
        <v>1.223320778405524E-2</v>
      </c>
    </row>
    <row r="196" spans="2:13" ht="14.4">
      <c r="B196" s="87" t="s">
        <v>171</v>
      </c>
      <c r="C196" s="125">
        <v>0.11232949986627441</v>
      </c>
      <c r="D196" s="125">
        <v>6.3930400427555698E-2</v>
      </c>
      <c r="G196" s="105" t="s">
        <v>171</v>
      </c>
      <c r="H196" s="106">
        <v>57.947761194029852</v>
      </c>
      <c r="I196" s="106">
        <v>7.801442725534506</v>
      </c>
      <c r="L196" s="105" t="s">
        <v>171</v>
      </c>
      <c r="M196" s="116">
        <v>1.7256922086284609E-2</v>
      </c>
    </row>
    <row r="197" spans="2:13" ht="14.4">
      <c r="B197" s="87" t="s">
        <v>172</v>
      </c>
      <c r="C197" s="125">
        <v>8.1377933100349478E-2</v>
      </c>
      <c r="D197" s="125">
        <v>3.5197581515871303E-2</v>
      </c>
      <c r="G197" s="105" t="s">
        <v>172</v>
      </c>
      <c r="H197" s="106">
        <v>92.366050260787105</v>
      </c>
      <c r="I197" s="106">
        <v>6.314734774066797</v>
      </c>
      <c r="L197" s="105" t="s">
        <v>172</v>
      </c>
      <c r="M197" s="116">
        <v>1.0826488706365503E-2</v>
      </c>
    </row>
    <row r="198" spans="2:13" ht="14.4">
      <c r="B198" s="87" t="s">
        <v>173</v>
      </c>
      <c r="C198" s="125">
        <v>0.16226415094339622</v>
      </c>
      <c r="D198" s="125">
        <v>5.6773171375759178E-2</v>
      </c>
      <c r="G198" s="105" t="s">
        <v>173</v>
      </c>
      <c r="H198" s="106">
        <v>75.570570570570567</v>
      </c>
      <c r="I198" s="106">
        <v>8.5874629080118687</v>
      </c>
      <c r="L198" s="105" t="s">
        <v>173</v>
      </c>
      <c r="M198" s="116">
        <v>1.3232664414861912E-2</v>
      </c>
    </row>
    <row r="199" spans="2:13" ht="14.4">
      <c r="B199" s="87" t="s">
        <v>22</v>
      </c>
      <c r="C199" s="125">
        <v>0.13003569607343193</v>
      </c>
      <c r="D199" s="125">
        <v>9.4235033259423506E-2</v>
      </c>
      <c r="G199" s="105" t="s">
        <v>22</v>
      </c>
      <c r="H199" s="106">
        <v>45.589480048367591</v>
      </c>
      <c r="I199" s="106">
        <v>4.9658814589665656</v>
      </c>
      <c r="L199" s="105" t="s">
        <v>22</v>
      </c>
      <c r="M199" s="116">
        <v>2.1934884954578609E-2</v>
      </c>
    </row>
    <row r="200" spans="2:13" ht="14.4">
      <c r="B200" s="87" t="s">
        <v>174</v>
      </c>
      <c r="C200" s="125">
        <v>5.0444391064136439E-3</v>
      </c>
      <c r="D200" s="125">
        <v>3.4471437951411688E-3</v>
      </c>
      <c r="G200" s="105" t="s">
        <v>174</v>
      </c>
      <c r="H200" s="106">
        <v>97.620481927710827</v>
      </c>
      <c r="I200" s="106">
        <v>2.1539703856749313</v>
      </c>
      <c r="L200" s="105" t="s">
        <v>174</v>
      </c>
      <c r="M200" s="116">
        <v>1.0243751928417156E-2</v>
      </c>
    </row>
    <row r="201" spans="2:13" ht="14.4">
      <c r="B201" s="87" t="s">
        <v>175</v>
      </c>
      <c r="C201" s="125">
        <v>2.1831518891541016E-2</v>
      </c>
      <c r="D201" s="125">
        <v>6.8171592442951741E-3</v>
      </c>
      <c r="G201" s="105" t="s">
        <v>175</v>
      </c>
      <c r="H201" s="106">
        <v>197.00854700854703</v>
      </c>
      <c r="I201" s="106">
        <v>7.8381899060903955</v>
      </c>
      <c r="L201" s="105" t="s">
        <v>175</v>
      </c>
      <c r="M201" s="116">
        <v>5.0759219088937092E-3</v>
      </c>
    </row>
    <row r="202" spans="2:13" ht="14.4">
      <c r="B202" s="87" t="s">
        <v>176</v>
      </c>
      <c r="C202" s="125">
        <v>0.1235250138152976</v>
      </c>
      <c r="D202" s="125">
        <v>6.1852481830833458E-2</v>
      </c>
      <c r="G202" s="105" t="s">
        <v>176</v>
      </c>
      <c r="H202" s="106">
        <v>51.507352941176471</v>
      </c>
      <c r="I202" s="106">
        <v>7.04461357210179</v>
      </c>
      <c r="L202" s="105" t="s">
        <v>176</v>
      </c>
      <c r="M202" s="116">
        <v>1.9414703783012133E-2</v>
      </c>
    </row>
    <row r="203" spans="2:13" ht="14.4">
      <c r="B203" s="87" t="s">
        <v>177</v>
      </c>
      <c r="C203" s="125">
        <v>-0.15327102803738318</v>
      </c>
      <c r="D203" s="125">
        <v>-6.8561872909698993E-2</v>
      </c>
      <c r="G203" s="105" t="s">
        <v>177</v>
      </c>
      <c r="H203" s="106">
        <v>-24.771595583459625</v>
      </c>
      <c r="I203" s="106">
        <v>5.4970462633451964</v>
      </c>
      <c r="L203" s="105" t="s">
        <v>177</v>
      </c>
      <c r="M203" s="116">
        <v>-4.0368816640447468E-2</v>
      </c>
    </row>
    <row r="204" spans="2:13" ht="14.4">
      <c r="B204" s="87" t="s">
        <v>178</v>
      </c>
      <c r="C204" s="125">
        <v>0.1580547112462006</v>
      </c>
      <c r="D204" s="125">
        <v>6.9798657718120799E-2</v>
      </c>
      <c r="G204" s="108" t="s">
        <v>178</v>
      </c>
      <c r="H204" s="109">
        <v>44.08038444735692</v>
      </c>
      <c r="I204" s="109">
        <v>7.5523952095808387</v>
      </c>
      <c r="L204" s="108" t="s">
        <v>178</v>
      </c>
      <c r="M204" s="118">
        <v>2.2685827552031714E-2</v>
      </c>
    </row>
    <row r="205" spans="2:13" ht="13.8">
      <c r="M205" s="126"/>
    </row>
    <row r="206" spans="2:13" ht="13.8">
      <c r="B206" s="111" t="s">
        <v>187</v>
      </c>
      <c r="C206" s="120">
        <v>7.5999999999999998E-2</v>
      </c>
      <c r="D206" s="120">
        <v>0.04</v>
      </c>
      <c r="G206" s="111" t="s">
        <v>187</v>
      </c>
      <c r="H206" s="111">
        <v>58</v>
      </c>
      <c r="I206" s="111">
        <v>6</v>
      </c>
      <c r="L206" s="111" t="s">
        <v>187</v>
      </c>
      <c r="M206" s="127">
        <v>1.2999999999999999E-2</v>
      </c>
    </row>
  </sheetData>
  <autoFilter ref="A1:AO21" xr:uid="{00000000-0009-0000-0000-000000000000}"/>
  <conditionalFormatting sqref="C58:C6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91:C103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58:C170">
    <cfRule type="colorScale" priority="9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92:C204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24:D136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92:D204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58:G70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91:G103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57:G170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24:H136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92:H204">
    <cfRule type="colorScale" priority="1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92:I204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58:K7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58:K170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124:L136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92:M204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TTKPRE</vt:lpstr>
      <vt:lpstr>Copy of  Household Appliances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2024-03-15T10:45:08Z</dcterms:created>
  <dcterms:modified xsi:type="dcterms:W3CDTF">2024-03-15T10:45:37Z</dcterms:modified>
</cp:coreProperties>
</file>