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13_ncr:1_{2F7D0CC5-01A5-4AB8-9964-D1FC5A08F087}" xr6:coauthVersionLast="47" xr6:coauthVersionMax="47" xr10:uidLastSave="{00000000-0000-0000-0000-000000000000}"/>
  <bookViews>
    <workbookView xWindow="-108" yWindow="-108" windowWidth="23256" windowHeight="12456" xr2:uid="{BFE56431-F1B9-4D62-89D6-5A64F3C72FAC}"/>
  </bookViews>
  <sheets>
    <sheet name="Volt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67" i="1"/>
  <c r="C68" i="1" s="1"/>
  <c r="T63" i="1"/>
  <c r="S63" i="1"/>
  <c r="R63" i="1"/>
  <c r="T61" i="1"/>
  <c r="T60" i="1"/>
  <c r="N60" i="1"/>
  <c r="M60" i="1"/>
  <c r="O60" i="1" s="1"/>
  <c r="D60" i="1"/>
  <c r="C60" i="1"/>
  <c r="E60" i="1" s="1"/>
  <c r="T59" i="1"/>
  <c r="O59" i="1"/>
  <c r="N59" i="1"/>
  <c r="M59" i="1"/>
  <c r="E59" i="1"/>
  <c r="D59" i="1"/>
  <c r="C59" i="1"/>
  <c r="Z58" i="1"/>
  <c r="Y58" i="1"/>
  <c r="AA58" i="1" s="1"/>
  <c r="X58" i="1"/>
  <c r="T58" i="1"/>
  <c r="T57" i="1"/>
  <c r="O57" i="1"/>
  <c r="J57" i="1"/>
  <c r="I57" i="1"/>
  <c r="H57" i="1"/>
  <c r="E57" i="1"/>
  <c r="AA56" i="1"/>
  <c r="Z56" i="1"/>
  <c r="O56" i="1"/>
  <c r="I56" i="1"/>
  <c r="J56" i="1" s="1"/>
  <c r="H56" i="1"/>
  <c r="E56" i="1"/>
  <c r="AA55" i="1"/>
  <c r="Z55" i="1"/>
  <c r="J55" i="1"/>
  <c r="I55" i="1"/>
  <c r="H55" i="1"/>
  <c r="AA54" i="1"/>
  <c r="Z54" i="1"/>
  <c r="U54" i="1"/>
  <c r="S54" i="1"/>
  <c r="R54" i="1"/>
  <c r="T51" i="1" s="1"/>
  <c r="J54" i="1"/>
  <c r="AA53" i="1"/>
  <c r="Z53" i="1"/>
  <c r="O53" i="1"/>
  <c r="J53" i="1"/>
  <c r="E53" i="1"/>
  <c r="AA52" i="1"/>
  <c r="Z52" i="1"/>
  <c r="U52" i="1"/>
  <c r="T52" i="1"/>
  <c r="N52" i="1"/>
  <c r="O52" i="1" s="1"/>
  <c r="M52" i="1"/>
  <c r="M54" i="1" s="1"/>
  <c r="J52" i="1"/>
  <c r="E52" i="1"/>
  <c r="D52" i="1"/>
  <c r="D54" i="1" s="1"/>
  <c r="C52" i="1"/>
  <c r="C54" i="1" s="1"/>
  <c r="AA51" i="1"/>
  <c r="Z51" i="1"/>
  <c r="U51" i="1"/>
  <c r="O51" i="1"/>
  <c r="J51" i="1"/>
  <c r="E51" i="1"/>
  <c r="AA50" i="1"/>
  <c r="Z50" i="1"/>
  <c r="U50" i="1"/>
  <c r="T50" i="1"/>
  <c r="O50" i="1"/>
  <c r="J50" i="1"/>
  <c r="E50" i="1"/>
  <c r="B9" i="1" s="1"/>
  <c r="O47" i="1"/>
  <c r="M45" i="1"/>
  <c r="P45" i="1" s="1"/>
  <c r="O42" i="1"/>
  <c r="K42" i="1"/>
  <c r="J42" i="1"/>
  <c r="I42" i="1"/>
  <c r="H42" i="1"/>
  <c r="G42" i="1"/>
  <c r="F42" i="1"/>
  <c r="D42" i="1"/>
  <c r="C42" i="1"/>
  <c r="J41" i="1"/>
  <c r="I41" i="1"/>
  <c r="H41" i="1"/>
  <c r="G41" i="1"/>
  <c r="F41" i="1"/>
  <c r="D41" i="1"/>
  <c r="C41" i="1"/>
  <c r="J40" i="1"/>
  <c r="I40" i="1"/>
  <c r="H40" i="1"/>
  <c r="G40" i="1"/>
  <c r="F40" i="1"/>
  <c r="D40" i="1"/>
  <c r="C40" i="1"/>
  <c r="J39" i="1"/>
  <c r="I39" i="1"/>
  <c r="H39" i="1"/>
  <c r="G39" i="1"/>
  <c r="F39" i="1"/>
  <c r="D39" i="1"/>
  <c r="C39" i="1"/>
  <c r="O36" i="1"/>
  <c r="N36" i="1"/>
  <c r="M36" i="1"/>
  <c r="L36" i="1"/>
  <c r="K36" i="1"/>
  <c r="F36" i="1"/>
  <c r="D36" i="1"/>
  <c r="E36" i="1" s="1"/>
  <c r="C36" i="1"/>
  <c r="E3" i="1" s="1"/>
  <c r="O35" i="1"/>
  <c r="M35" i="1"/>
  <c r="N35" i="1" s="1"/>
  <c r="N42" i="1" s="1"/>
  <c r="L35" i="1"/>
  <c r="L42" i="1" s="1"/>
  <c r="K35" i="1"/>
  <c r="E35" i="1"/>
  <c r="E42" i="1" s="1"/>
  <c r="M34" i="1"/>
  <c r="M42" i="1" s="1"/>
  <c r="L34" i="1"/>
  <c r="K34" i="1"/>
  <c r="E34" i="1"/>
  <c r="M33" i="1"/>
  <c r="N33" i="1" s="1"/>
  <c r="L33" i="1"/>
  <c r="K33" i="1"/>
  <c r="E33" i="1"/>
  <c r="O32" i="1"/>
  <c r="N32" i="1"/>
  <c r="M32" i="1"/>
  <c r="L32" i="1"/>
  <c r="K32" i="1"/>
  <c r="E32" i="1"/>
  <c r="O31" i="1"/>
  <c r="M31" i="1"/>
  <c r="N31" i="1" s="1"/>
  <c r="L31" i="1"/>
  <c r="L41" i="1" s="1"/>
  <c r="K31" i="1"/>
  <c r="E31" i="1"/>
  <c r="M30" i="1"/>
  <c r="O30" i="1" s="1"/>
  <c r="L30" i="1"/>
  <c r="K30" i="1"/>
  <c r="K41" i="1" s="1"/>
  <c r="E30" i="1"/>
  <c r="E41" i="1" s="1"/>
  <c r="M29" i="1"/>
  <c r="N29" i="1" s="1"/>
  <c r="L29" i="1"/>
  <c r="K29" i="1"/>
  <c r="E29" i="1"/>
  <c r="O28" i="1"/>
  <c r="N28" i="1"/>
  <c r="M28" i="1"/>
  <c r="L28" i="1"/>
  <c r="K28" i="1"/>
  <c r="E28" i="1"/>
  <c r="O27" i="1"/>
  <c r="M27" i="1"/>
  <c r="N27" i="1" s="1"/>
  <c r="L27" i="1"/>
  <c r="L40" i="1" s="1"/>
  <c r="K27" i="1"/>
  <c r="E27" i="1"/>
  <c r="M26" i="1"/>
  <c r="O26" i="1" s="1"/>
  <c r="L26" i="1"/>
  <c r="K26" i="1"/>
  <c r="E26" i="1"/>
  <c r="E40" i="1" s="1"/>
  <c r="M25" i="1"/>
  <c r="N25" i="1" s="1"/>
  <c r="L25" i="1"/>
  <c r="K25" i="1"/>
  <c r="K40" i="1" s="1"/>
  <c r="E25" i="1"/>
  <c r="O24" i="1"/>
  <c r="N24" i="1"/>
  <c r="M24" i="1"/>
  <c r="L24" i="1"/>
  <c r="K24" i="1"/>
  <c r="E24" i="1"/>
  <c r="O23" i="1"/>
  <c r="M23" i="1"/>
  <c r="N23" i="1" s="1"/>
  <c r="L23" i="1"/>
  <c r="K23" i="1"/>
  <c r="E23" i="1"/>
  <c r="M22" i="1"/>
  <c r="O22" i="1" s="1"/>
  <c r="L22" i="1"/>
  <c r="K22" i="1"/>
  <c r="E22" i="1"/>
  <c r="M21" i="1"/>
  <c r="N21" i="1" s="1"/>
  <c r="L21" i="1"/>
  <c r="K21" i="1"/>
  <c r="E21" i="1"/>
  <c r="O20" i="1"/>
  <c r="N20" i="1"/>
  <c r="M20" i="1"/>
  <c r="L20" i="1"/>
  <c r="K20" i="1"/>
  <c r="E20" i="1"/>
  <c r="O19" i="1"/>
  <c r="M19" i="1"/>
  <c r="N19" i="1" s="1"/>
  <c r="L19" i="1"/>
  <c r="K19" i="1"/>
  <c r="E19" i="1"/>
  <c r="M18" i="1"/>
  <c r="O18" i="1" s="1"/>
  <c r="L18" i="1"/>
  <c r="K18" i="1"/>
  <c r="E18" i="1"/>
  <c r="M17" i="1"/>
  <c r="N17" i="1" s="1"/>
  <c r="L17" i="1"/>
  <c r="K17" i="1"/>
  <c r="E17" i="1"/>
  <c r="O16" i="1"/>
  <c r="N16" i="1"/>
  <c r="M16" i="1"/>
  <c r="L16" i="1"/>
  <c r="K16" i="1"/>
  <c r="K39" i="1" s="1"/>
  <c r="E16" i="1"/>
  <c r="O15" i="1"/>
  <c r="M15" i="1"/>
  <c r="N15" i="1" s="1"/>
  <c r="L15" i="1"/>
  <c r="L39" i="1" s="1"/>
  <c r="K15" i="1"/>
  <c r="E15" i="1"/>
  <c r="E39" i="1" s="1"/>
  <c r="F63" i="1" s="1"/>
  <c r="M14" i="1"/>
  <c r="O14" i="1" s="1"/>
  <c r="L14" i="1"/>
  <c r="K14" i="1"/>
  <c r="E14" i="1"/>
  <c r="M13" i="1"/>
  <c r="N13" i="1" s="1"/>
  <c r="L13" i="1"/>
  <c r="K13" i="1"/>
  <c r="E13" i="1"/>
  <c r="O12" i="1"/>
  <c r="N12" i="1"/>
  <c r="M12" i="1"/>
  <c r="L12" i="1"/>
  <c r="K12" i="1"/>
  <c r="E12" i="1"/>
  <c r="T9" i="1"/>
  <c r="S9" i="1"/>
  <c r="R9" i="1"/>
  <c r="O9" i="1"/>
  <c r="I9" i="1"/>
  <c r="H9" i="1"/>
  <c r="G9" i="1"/>
  <c r="E9" i="1"/>
  <c r="D9" i="1"/>
  <c r="C9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V4" i="1"/>
  <c r="V3" i="1"/>
  <c r="G3" i="1"/>
  <c r="G5" i="1" s="1"/>
  <c r="F3" i="1"/>
  <c r="L9" i="1" s="1"/>
  <c r="D3" i="1"/>
  <c r="C3" i="1"/>
  <c r="P47" i="1" s="1"/>
  <c r="M58" i="1" l="1"/>
  <c r="M55" i="1"/>
  <c r="E54" i="1"/>
  <c r="C58" i="1"/>
  <c r="E58" i="1" s="1"/>
  <c r="C55" i="1"/>
  <c r="D58" i="1"/>
  <c r="D55" i="1"/>
  <c r="N39" i="1"/>
  <c r="C69" i="1"/>
  <c r="D68" i="1"/>
  <c r="F9" i="1"/>
  <c r="E5" i="1"/>
  <c r="P9" i="1"/>
  <c r="O13" i="1"/>
  <c r="O17" i="1"/>
  <c r="O21" i="1"/>
  <c r="O39" i="1" s="1"/>
  <c r="O25" i="1"/>
  <c r="O29" i="1"/>
  <c r="O33" i="1"/>
  <c r="O41" i="1" s="1"/>
  <c r="M39" i="1"/>
  <c r="T54" i="1"/>
  <c r="F5" i="1"/>
  <c r="J9" i="1"/>
  <c r="M41" i="1"/>
  <c r="K9" i="1"/>
  <c r="D4" i="1"/>
  <c r="D5" i="1" s="1"/>
  <c r="N54" i="1"/>
  <c r="M9" i="1"/>
  <c r="N14" i="1"/>
  <c r="N18" i="1"/>
  <c r="N22" i="1"/>
  <c r="N26" i="1"/>
  <c r="N40" i="1" s="1"/>
  <c r="N30" i="1"/>
  <c r="N41" i="1" s="1"/>
  <c r="N34" i="1"/>
  <c r="M40" i="1"/>
  <c r="D67" i="1"/>
  <c r="D64" i="1" s="1"/>
  <c r="E64" i="1" s="1"/>
  <c r="E67" i="1" s="1"/>
  <c r="C5" i="1"/>
  <c r="N9" i="1"/>
  <c r="O34" i="1"/>
  <c r="O58" i="1" l="1"/>
  <c r="N55" i="1"/>
  <c r="N58" i="1"/>
  <c r="O40" i="1"/>
  <c r="E55" i="1"/>
  <c r="D69" i="1"/>
  <c r="E68" i="1"/>
  <c r="O55" i="1"/>
  <c r="F67" i="1"/>
  <c r="Q45" i="1"/>
  <c r="Q47" i="1" s="1"/>
  <c r="R45" i="1" s="1"/>
  <c r="Q9" i="1" s="1"/>
  <c r="I67" i="1"/>
  <c r="G67" i="1"/>
  <c r="H67" i="1" s="1"/>
  <c r="O54" i="1"/>
  <c r="L67" i="1" l="1"/>
  <c r="J67" i="1"/>
  <c r="K67" i="1" s="1"/>
  <c r="M67" i="1" s="1"/>
  <c r="E72" i="1" s="1"/>
  <c r="F72" i="1" s="1"/>
  <c r="F68" i="1"/>
  <c r="I68" i="1"/>
  <c r="E69" i="1"/>
  <c r="G68" i="1"/>
  <c r="H68" i="1" s="1"/>
  <c r="J68" i="1" l="1"/>
  <c r="K68" i="1" s="1"/>
  <c r="M68" i="1" s="1"/>
  <c r="F69" i="1"/>
  <c r="L68" i="1"/>
  <c r="G69" i="1"/>
  <c r="I69" i="1"/>
  <c r="L69" i="1" l="1"/>
  <c r="J69" i="1"/>
  <c r="K69" i="1" s="1"/>
  <c r="H69" i="1"/>
  <c r="M69" i="1" s="1"/>
</calcChain>
</file>

<file path=xl/sharedStrings.xml><?xml version="1.0" encoding="utf-8"?>
<sst xmlns="http://schemas.openxmlformats.org/spreadsheetml/2006/main" count="233" uniqueCount="163">
  <si>
    <t>INC. STATE</t>
  </si>
  <si>
    <t>BAL. SHEET</t>
  </si>
  <si>
    <t>CASHFLOW</t>
  </si>
  <si>
    <t>COMPANY</t>
  </si>
  <si>
    <t>PRICE</t>
  </si>
  <si>
    <t>MCAP</t>
  </si>
  <si>
    <t>SALES</t>
  </si>
  <si>
    <t>PROFIT</t>
  </si>
  <si>
    <t xml:space="preserve"> EPS</t>
  </si>
  <si>
    <t>EQUITY</t>
  </si>
  <si>
    <t>TOTAL EQUITY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</si>
  <si>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</si>
  <si>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</si>
  <si>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</si>
  <si>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</si>
  <si>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</si>
  <si>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</si>
  <si>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</si>
  <si>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</si>
  <si>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PPE_CF</t>
  </si>
  <si>
    <t>CFO</t>
  </si>
  <si>
    <t>CFI</t>
  </si>
  <si>
    <t>CFF</t>
  </si>
  <si>
    <t>NETCASHFLOW</t>
  </si>
  <si>
    <t>VOLTAS</t>
  </si>
  <si>
    <t>PREVIOUS YEAR</t>
  </si>
  <si>
    <t>GROWTH</t>
  </si>
  <si>
    <t>LIQUIDITY</t>
  </si>
  <si>
    <t>SOLVENCY</t>
  </si>
  <si>
    <t>PROFITABILITY</t>
  </si>
  <si>
    <t>VALUATIONS</t>
  </si>
  <si>
    <t>CFR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</si>
  <si>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</si>
  <si>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</si>
  <si>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</si>
  <si>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</si>
  <si>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</si>
  <si>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</si>
  <si>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</si>
  <si>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</si>
  <si>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</si>
  <si>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</si>
  <si>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</si>
  <si>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</si>
  <si>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</si>
  <si>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</si>
  <si>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</si>
  <si>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</si>
  <si>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</si>
  <si>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</si>
  <si>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IN CR</t>
  </si>
  <si>
    <t>M.SHARE</t>
  </si>
  <si>
    <t>No. Of Year</t>
  </si>
  <si>
    <t>REVENUE</t>
  </si>
  <si>
    <t>NPM%</t>
  </si>
  <si>
    <t>EPS</t>
  </si>
  <si>
    <t>Equity</t>
  </si>
  <si>
    <t>Reserve</t>
  </si>
  <si>
    <t>LOW PRICE</t>
  </si>
  <si>
    <t>HIGH PRICE</t>
  </si>
  <si>
    <t>LOWPE</t>
  </si>
  <si>
    <t>HIGHPE</t>
  </si>
  <si>
    <t>LBV</t>
  </si>
  <si>
    <t>HBV</t>
  </si>
  <si>
    <t>fy_2002</t>
  </si>
  <si>
    <t>fy_2003</t>
  </si>
  <si>
    <t>fy_2004</t>
  </si>
  <si>
    <t>fy_2005</t>
  </si>
  <si>
    <t>fy_2006</t>
  </si>
  <si>
    <t>2007(SPLIT)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</si>
  <si>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</si>
  <si>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</si>
  <si>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</si>
  <si>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</si>
  <si>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</si>
  <si>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</si>
  <si>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</si>
  <si>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</si>
  <si>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</si>
  <si>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</si>
  <si>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</si>
  <si>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</si>
  <si>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</si>
  <si>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</si>
  <si>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</si>
  <si>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</si>
  <si>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</si>
  <si>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</si>
  <si>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Tr. fy_26</t>
  </si>
  <si>
    <t>TIME</t>
  </si>
  <si>
    <t>PRECOVID_20y</t>
  </si>
  <si>
    <t>PRECOVID_10y</t>
  </si>
  <si>
    <t>PRECOVID_5y</t>
  </si>
  <si>
    <t>Last year</t>
  </si>
  <si>
    <t>YEAR</t>
  </si>
  <si>
    <t>H1_FY_25</t>
  </si>
  <si>
    <t>9M_FY_25</t>
  </si>
  <si>
    <t>FY_25</t>
  </si>
  <si>
    <t>Q1_FY_26</t>
  </si>
  <si>
    <t>EST_FY_26</t>
  </si>
  <si>
    <t>Q2_FY_25</t>
  </si>
  <si>
    <t>Q3_FY_25</t>
  </si>
  <si>
    <t>Q4_FY_25</t>
  </si>
  <si>
    <t>TRAIL_EPS</t>
  </si>
  <si>
    <t>EPS_25</t>
  </si>
  <si>
    <t>T_EPS_25</t>
  </si>
  <si>
    <t>F_EPS_26</t>
  </si>
  <si>
    <t>F_PEG</t>
  </si>
  <si>
    <t>MARGIN</t>
  </si>
  <si>
    <t>PE</t>
  </si>
  <si>
    <t>F_PE_26</t>
  </si>
  <si>
    <t>RESULT</t>
  </si>
  <si>
    <t>Q1_FY_25</t>
  </si>
  <si>
    <t>Cy Growth</t>
  </si>
  <si>
    <t>Q4_FY_24</t>
  </si>
  <si>
    <t>FY_24</t>
  </si>
  <si>
    <t>SEGMENT_FY_26</t>
  </si>
  <si>
    <t>SHARE</t>
  </si>
  <si>
    <t>MAJOR COST</t>
  </si>
  <si>
    <t>UNITARY COOLING</t>
  </si>
  <si>
    <t>Material, Jobs &amp; Services</t>
  </si>
  <si>
    <t>Expenditure</t>
  </si>
  <si>
    <t>ELECTRO MECHANICAL</t>
  </si>
  <si>
    <t>STOCKINTRADE</t>
  </si>
  <si>
    <t>EBITDA</t>
  </si>
  <si>
    <t>Interest</t>
  </si>
  <si>
    <t>ENGINEERING</t>
  </si>
  <si>
    <t>INVENTORIES</t>
  </si>
  <si>
    <t>Net Profit</t>
  </si>
  <si>
    <t>EMPLOYEE</t>
  </si>
  <si>
    <t>EBTDA</t>
  </si>
  <si>
    <t>TOTAL</t>
  </si>
  <si>
    <t>FINANCE</t>
  </si>
  <si>
    <t>PBT</t>
  </si>
  <si>
    <t>D&amp;A</t>
  </si>
  <si>
    <t>SHP</t>
  </si>
  <si>
    <t>2002 %</t>
  </si>
  <si>
    <t>2023 %</t>
  </si>
  <si>
    <t>OTHERCOST</t>
  </si>
  <si>
    <t>PROMOTER</t>
  </si>
  <si>
    <t>EBITDA%</t>
  </si>
  <si>
    <t>MUTUAL FUNDS</t>
  </si>
  <si>
    <t>FPI</t>
  </si>
  <si>
    <t>RETAIL</t>
  </si>
  <si>
    <t>OTHERS</t>
  </si>
  <si>
    <t>ESTIMATE</t>
  </si>
  <si>
    <t>LONGTERM</t>
  </si>
  <si>
    <t>CYEAR</t>
  </si>
  <si>
    <t>Year</t>
  </si>
  <si>
    <t>BookValue</t>
  </si>
  <si>
    <t>Low Price Range</t>
  </si>
  <si>
    <t>FairPrice@EPS</t>
  </si>
  <si>
    <t>HIgh Price Range</t>
  </si>
  <si>
    <t>FairPrice@PBV</t>
  </si>
  <si>
    <t>Blended Fairvalue</t>
  </si>
  <si>
    <t>EST_2026</t>
  </si>
  <si>
    <t>EST_2030</t>
  </si>
  <si>
    <t>EST_2035</t>
  </si>
  <si>
    <t>Company</t>
  </si>
  <si>
    <t>Price</t>
  </si>
  <si>
    <t>STR. WEIGHTAGE</t>
  </si>
  <si>
    <t>FACTOR</t>
  </si>
  <si>
    <t>TECH.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</si>
</sst>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%"/>
    <numFmt numFmtId="166" formatCode="_ * #,##0_ ;_ * \-#,##0_ ;_ * &quot;-&quot;??_ ;_ @_ "/>
    <numFmt numFmtId="167" formatCode="#,##0.0"/>
  </numFmts>
  <fonts count="29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1"/>
      <color rgb="FF000000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</font>
    <font>
      <sz val="11"/>
      <color theme="1"/>
      <name val="Arial"/>
    </font>
    <font>
      <b/>
      <i/>
      <sz val="11"/>
      <color theme="1"/>
      <name val="Calibri"/>
    </font>
    <font>
      <sz val="11"/>
      <color rgb="FFFFFFFF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  <font>
      <i/>
      <sz val="11"/>
      <color theme="1"/>
      <name val="Calibri"/>
    </font>
    <font>
      <sz val="11"/>
      <color rgb="FF000000"/>
      <name val="&quot;Times New Roman&quot;"/>
    </font>
    <font>
      <i/>
      <sz val="11"/>
      <color rgb="FF000000"/>
      <name val="Calibri"/>
    </font>
    <font>
      <sz val="11"/>
      <color theme="0"/>
      <name val="Calibri"/>
    </font>
    <font>
      <b/>
      <sz val="11"/>
      <color rgb="FF3F3F3F"/>
      <name val="Calibri"/>
    </font>
    <font>
      <sz val="11"/>
      <color rgb="FF0D0D0D"/>
      <name val="Calibri"/>
    </font>
    <font>
      <b/>
      <sz val="11"/>
      <color rgb="FF0D0D0D"/>
      <name val="Calibri"/>
    </font>
    <font>
      <b/>
      <sz val="32"/>
      <color theme="1"/>
      <name val="Arial"/>
      <scheme val="minor"/>
    </font>
    <font>
      <sz val="10"/>
      <name val="Arial"/>
    </font>
    <font>
      <b/>
      <sz val="11"/>
      <color theme="1"/>
      <name val="Calibri"/>
    </font>
    <font>
      <sz val="10"/>
      <color rgb="FFFFFFFF"/>
      <name val="Calibri"/>
    </font>
    <font>
      <i/>
      <sz val="11"/>
      <color rgb="FF7F7F7F"/>
      <name val="Calibri"/>
    </font>
    <font>
      <b/>
      <i/>
      <sz val="10"/>
      <color theme="1"/>
      <name val="Arial"/>
      <scheme val="minor"/>
    </font>
    <font>
      <sz val="10"/>
      <color theme="1"/>
      <name val="Verdana"/>
    </font>
    <font>
      <sz val="10"/>
      <color theme="1"/>
      <name val="&quot;Comic Sans MS&quot;"/>
    </font>
    <font>
      <b/>
      <i/>
      <u/>
      <sz val="10"/>
      <color theme="1"/>
      <name val="Arial"/>
      <scheme val="minor"/>
    </font>
    <font>
      <sz val="11"/>
      <color theme="1"/>
      <name val="Source Code Pro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0486B"/>
        <bgColor rgb="FF10486B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4F81BD"/>
        <bgColor rgb="FF4F81BD"/>
      </patternFill>
    </fill>
    <fill>
      <patternFill patternType="solid">
        <fgColor rgb="FFB7B7B7"/>
        <bgColor rgb="FFB7B7B7"/>
      </patternFill>
    </fill>
    <fill>
      <patternFill patternType="solid">
        <fgColor rgb="FFC4D79B"/>
        <bgColor rgb="FFC4D79B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EAEAEA"/>
        <bgColor rgb="FFEAEAEA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B2E0CA"/>
        <bgColor rgb="FFB2E0CA"/>
      </patternFill>
    </fill>
    <fill>
      <patternFill patternType="solid">
        <fgColor rgb="FFBAE3CF"/>
        <bgColor rgb="FFBAE3CF"/>
      </patternFill>
    </fill>
    <fill>
      <patternFill patternType="solid">
        <fgColor rgb="FF57BB8A"/>
        <bgColor rgb="FF57BB8A"/>
      </patternFill>
    </fill>
    <fill>
      <patternFill patternType="solid">
        <fgColor rgb="FF84CEAA"/>
        <bgColor rgb="FF84CEAA"/>
      </patternFill>
    </fill>
    <fill>
      <patternFill patternType="solid">
        <fgColor rgb="FF999999"/>
        <bgColor rgb="FF999999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4" xfId="0" applyFont="1" applyFill="1" applyBorder="1"/>
    <xf numFmtId="1" fontId="5" fillId="0" borderId="5" xfId="0" applyNumberFormat="1" applyFont="1" applyBorder="1" applyAlignment="1">
      <alignment horizontal="right"/>
    </xf>
    <xf numFmtId="1" fontId="5" fillId="5" borderId="5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2" xfId="0" applyFont="1" applyBorder="1"/>
    <xf numFmtId="164" fontId="5" fillId="0" borderId="2" xfId="0" applyNumberFormat="1" applyFont="1" applyBorder="1"/>
    <xf numFmtId="0" fontId="7" fillId="6" borderId="2" xfId="0" applyFont="1" applyFill="1" applyBorder="1"/>
    <xf numFmtId="9" fontId="7" fillId="6" borderId="2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8" fillId="7" borderId="6" xfId="0" applyFont="1" applyFill="1" applyBorder="1"/>
    <xf numFmtId="0" fontId="5" fillId="0" borderId="6" xfId="0" applyFont="1" applyBorder="1"/>
    <xf numFmtId="9" fontId="5" fillId="0" borderId="6" xfId="0" applyNumberFormat="1" applyFont="1" applyBorder="1"/>
    <xf numFmtId="0" fontId="2" fillId="5" borderId="5" xfId="0" applyFont="1" applyFill="1" applyBorder="1"/>
    <xf numFmtId="0" fontId="3" fillId="4" borderId="0" xfId="0" applyFont="1" applyFill="1" applyAlignment="1">
      <alignment horizontal="left"/>
    </xf>
    <xf numFmtId="0" fontId="2" fillId="5" borderId="0" xfId="0" applyFont="1" applyFill="1"/>
    <xf numFmtId="0" fontId="3" fillId="4" borderId="6" xfId="0" applyFont="1" applyFill="1" applyBorder="1"/>
    <xf numFmtId="9" fontId="6" fillId="8" borderId="3" xfId="0" applyNumberFormat="1" applyFont="1" applyFill="1" applyBorder="1" applyAlignment="1">
      <alignment horizontal="right"/>
    </xf>
    <xf numFmtId="9" fontId="6" fillId="8" borderId="5" xfId="0" applyNumberFormat="1" applyFont="1" applyFill="1" applyBorder="1" applyAlignment="1">
      <alignment horizontal="right"/>
    </xf>
    <xf numFmtId="165" fontId="6" fillId="8" borderId="5" xfId="0" applyNumberFormat="1" applyFont="1" applyFill="1" applyBorder="1" applyAlignment="1">
      <alignment horizontal="right"/>
    </xf>
    <xf numFmtId="164" fontId="6" fillId="8" borderId="5" xfId="0" applyNumberFormat="1" applyFont="1" applyFill="1" applyBorder="1" applyAlignment="1">
      <alignment horizontal="right"/>
    </xf>
    <xf numFmtId="3" fontId="6" fillId="8" borderId="5" xfId="0" applyNumberFormat="1" applyFont="1" applyFill="1" applyBorder="1" applyAlignment="1">
      <alignment horizontal="right"/>
    </xf>
    <xf numFmtId="1" fontId="6" fillId="8" borderId="5" xfId="0" applyNumberFormat="1" applyFont="1" applyFill="1" applyBorder="1" applyAlignment="1">
      <alignment horizontal="right"/>
    </xf>
    <xf numFmtId="164" fontId="9" fillId="8" borderId="5" xfId="0" applyNumberFormat="1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3" fontId="9" fillId="8" borderId="5" xfId="0" applyNumberFormat="1" applyFont="1" applyFill="1" applyBorder="1" applyAlignment="1">
      <alignment horizontal="right"/>
    </xf>
    <xf numFmtId="9" fontId="9" fillId="8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10" fillId="2" borderId="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1" fillId="0" borderId="0" xfId="0" applyFont="1"/>
    <xf numFmtId="0" fontId="3" fillId="3" borderId="5" xfId="0" applyFont="1" applyFill="1" applyBorder="1" applyAlignment="1">
      <alignment horizontal="left"/>
    </xf>
    <xf numFmtId="0" fontId="5" fillId="0" borderId="5" xfId="0" applyFont="1" applyBorder="1" applyAlignment="1">
      <alignment horizontal="right"/>
    </xf>
    <xf numFmtId="9" fontId="12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1" fontId="12" fillId="0" borderId="5" xfId="0" applyNumberFormat="1" applyFont="1" applyBorder="1" applyAlignment="1">
      <alignment horizontal="right"/>
    </xf>
    <xf numFmtId="1" fontId="11" fillId="0" borderId="2" xfId="0" applyNumberFormat="1" applyFont="1" applyBorder="1"/>
    <xf numFmtId="164" fontId="11" fillId="0" borderId="2" xfId="0" applyNumberFormat="1" applyFont="1" applyBorder="1"/>
    <xf numFmtId="166" fontId="13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64" fontId="5" fillId="9" borderId="5" xfId="0" applyNumberFormat="1" applyFont="1" applyFill="1" applyBorder="1" applyAlignment="1">
      <alignment horizontal="right"/>
    </xf>
    <xf numFmtId="0" fontId="5" fillId="10" borderId="5" xfId="0" applyFont="1" applyFill="1" applyBorder="1" applyAlignment="1">
      <alignment horizontal="right"/>
    </xf>
    <xf numFmtId="0" fontId="5" fillId="11" borderId="5" xfId="0" applyFont="1" applyFill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10" borderId="5" xfId="0" applyFont="1" applyFill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9" fontId="14" fillId="0" borderId="5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" fontId="14" fillId="0" borderId="5" xfId="0" applyNumberFormat="1" applyFont="1" applyBorder="1" applyAlignment="1">
      <alignment horizontal="right"/>
    </xf>
    <xf numFmtId="1" fontId="1" fillId="0" borderId="2" xfId="0" applyNumberFormat="1" applyFont="1" applyBorder="1"/>
    <xf numFmtId="164" fontId="1" fillId="0" borderId="2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5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9" fontId="16" fillId="12" borderId="2" xfId="0" applyNumberFormat="1" applyFont="1" applyFill="1" applyBorder="1" applyAlignment="1">
      <alignment horizontal="right"/>
    </xf>
    <xf numFmtId="165" fontId="16" fillId="12" borderId="2" xfId="0" applyNumberFormat="1" applyFont="1" applyFill="1" applyBorder="1" applyAlignment="1">
      <alignment horizontal="right"/>
    </xf>
    <xf numFmtId="3" fontId="16" fillId="12" borderId="2" xfId="0" applyNumberFormat="1" applyFont="1" applyFill="1" applyBorder="1" applyAlignment="1">
      <alignment horizontal="right"/>
    </xf>
    <xf numFmtId="167" fontId="16" fillId="12" borderId="2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left"/>
    </xf>
    <xf numFmtId="9" fontId="11" fillId="12" borderId="2" xfId="0" applyNumberFormat="1" applyFont="1" applyFill="1" applyBorder="1"/>
    <xf numFmtId="3" fontId="11" fillId="12" borderId="2" xfId="0" applyNumberFormat="1" applyFont="1" applyFill="1" applyBorder="1"/>
    <xf numFmtId="167" fontId="11" fillId="12" borderId="2" xfId="0" applyNumberFormat="1" applyFont="1" applyFill="1" applyBorder="1"/>
    <xf numFmtId="0" fontId="17" fillId="2" borderId="0" xfId="0" applyFont="1" applyFill="1" applyAlignment="1">
      <alignment horizontal="center"/>
    </xf>
    <xf numFmtId="165" fontId="11" fillId="12" borderId="2" xfId="0" applyNumberFormat="1" applyFont="1" applyFill="1" applyBorder="1"/>
    <xf numFmtId="167" fontId="2" fillId="12" borderId="2" xfId="0" applyNumberFormat="1" applyFont="1" applyFill="1" applyBorder="1" applyAlignment="1">
      <alignment horizontal="right"/>
    </xf>
    <xf numFmtId="0" fontId="11" fillId="2" borderId="0" xfId="0" applyFont="1" applyFill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9" fontId="11" fillId="0" borderId="2" xfId="0" applyNumberFormat="1" applyFont="1" applyBorder="1"/>
    <xf numFmtId="9" fontId="5" fillId="12" borderId="2" xfId="0" applyNumberFormat="1" applyFont="1" applyFill="1" applyBorder="1" applyAlignment="1">
      <alignment horizontal="right"/>
    </xf>
    <xf numFmtId="0" fontId="11" fillId="0" borderId="2" xfId="0" applyFont="1" applyBorder="1"/>
    <xf numFmtId="2" fontId="11" fillId="12" borderId="2" xfId="0" applyNumberFormat="1" applyFont="1" applyFill="1" applyBorder="1"/>
    <xf numFmtId="2" fontId="11" fillId="12" borderId="2" xfId="0" applyNumberFormat="1" applyFont="1" applyFill="1" applyBorder="1" applyAlignment="1">
      <alignment horizontal="center"/>
    </xf>
    <xf numFmtId="4" fontId="11" fillId="12" borderId="2" xfId="0" applyNumberFormat="1" applyFont="1" applyFill="1" applyBorder="1" applyAlignment="1">
      <alignment horizontal="center"/>
    </xf>
    <xf numFmtId="165" fontId="11" fillId="0" borderId="2" xfId="0" applyNumberFormat="1" applyFont="1" applyBorder="1"/>
    <xf numFmtId="165" fontId="12" fillId="12" borderId="2" xfId="0" applyNumberFormat="1" applyFont="1" applyFill="1" applyBorder="1" applyAlignment="1">
      <alignment horizontal="right"/>
    </xf>
    <xf numFmtId="9" fontId="11" fillId="0" borderId="0" xfId="0" applyNumberFormat="1" applyFont="1"/>
    <xf numFmtId="9" fontId="21" fillId="12" borderId="2" xfId="0" applyNumberFormat="1" applyFont="1" applyFill="1" applyBorder="1" applyAlignment="1">
      <alignment horizontal="right"/>
    </xf>
    <xf numFmtId="1" fontId="11" fillId="12" borderId="2" xfId="0" applyNumberFormat="1" applyFont="1" applyFill="1" applyBorder="1" applyAlignment="1">
      <alignment horizontal="center"/>
    </xf>
    <xf numFmtId="10" fontId="11" fillId="0" borderId="0" xfId="0" applyNumberFormat="1" applyFont="1"/>
    <xf numFmtId="0" fontId="22" fillId="3" borderId="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right"/>
    </xf>
    <xf numFmtId="9" fontId="16" fillId="13" borderId="2" xfId="0" applyNumberFormat="1" applyFont="1" applyFill="1" applyBorder="1" applyAlignment="1">
      <alignment horizontal="right"/>
    </xf>
    <xf numFmtId="0" fontId="5" fillId="12" borderId="2" xfId="0" applyFont="1" applyFill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12" fillId="1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3" fontId="14" fillId="0" borderId="0" xfId="0" applyNumberFormat="1" applyFont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24" fillId="12" borderId="2" xfId="0" applyFont="1" applyFill="1" applyBorder="1"/>
    <xf numFmtId="9" fontId="7" fillId="12" borderId="2" xfId="0" applyNumberFormat="1" applyFont="1" applyFill="1" applyBorder="1" applyAlignment="1">
      <alignment horizontal="right"/>
    </xf>
    <xf numFmtId="165" fontId="23" fillId="0" borderId="2" xfId="0" applyNumberFormat="1" applyFont="1" applyBorder="1" applyAlignment="1">
      <alignment horizontal="right"/>
    </xf>
    <xf numFmtId="165" fontId="16" fillId="13" borderId="2" xfId="0" applyNumberFormat="1" applyFont="1" applyFill="1" applyBorder="1" applyAlignment="1">
      <alignment horizontal="right"/>
    </xf>
    <xf numFmtId="164" fontId="23" fillId="0" borderId="2" xfId="0" applyNumberFormat="1" applyFont="1" applyBorder="1" applyAlignment="1">
      <alignment horizontal="right"/>
    </xf>
    <xf numFmtId="167" fontId="16" fillId="13" borderId="2" xfId="0" applyNumberFormat="1" applyFont="1" applyFill="1" applyBorder="1" applyAlignment="1">
      <alignment horizontal="right"/>
    </xf>
    <xf numFmtId="165" fontId="11" fillId="0" borderId="0" xfId="0" applyNumberFormat="1" applyFont="1"/>
    <xf numFmtId="3" fontId="25" fillId="0" borderId="2" xfId="0" applyNumberFormat="1" applyFont="1" applyBorder="1"/>
    <xf numFmtId="164" fontId="26" fillId="0" borderId="2" xfId="0" applyNumberFormat="1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164" fontId="12" fillId="12" borderId="2" xfId="0" applyNumberFormat="1" applyFont="1" applyFill="1" applyBorder="1" applyAlignment="1">
      <alignment horizontal="right"/>
    </xf>
    <xf numFmtId="0" fontId="11" fillId="12" borderId="2" xfId="0" applyFont="1" applyFill="1" applyBorder="1"/>
    <xf numFmtId="3" fontId="11" fillId="0" borderId="0" xfId="0" applyNumberFormat="1" applyFont="1"/>
    <xf numFmtId="9" fontId="24" fillId="12" borderId="2" xfId="0" applyNumberFormat="1" applyFont="1" applyFill="1" applyBorder="1"/>
    <xf numFmtId="9" fontId="2" fillId="12" borderId="2" xfId="0" applyNumberFormat="1" applyFont="1" applyFill="1" applyBorder="1" applyAlignment="1">
      <alignment horizontal="right"/>
    </xf>
    <xf numFmtId="165" fontId="2" fillId="12" borderId="2" xfId="0" applyNumberFormat="1" applyFont="1" applyFill="1" applyBorder="1" applyAlignment="1">
      <alignment horizontal="right"/>
    </xf>
    <xf numFmtId="0" fontId="27" fillId="0" borderId="9" xfId="0" applyFont="1" applyBorder="1"/>
    <xf numFmtId="1" fontId="27" fillId="0" borderId="9" xfId="0" applyNumberFormat="1" applyFont="1" applyBorder="1"/>
    <xf numFmtId="9" fontId="27" fillId="0" borderId="2" xfId="0" applyNumberFormat="1" applyFont="1" applyBorder="1"/>
    <xf numFmtId="9" fontId="11" fillId="12" borderId="2" xfId="0" applyNumberFormat="1" applyFont="1" applyFill="1" applyBorder="1" applyAlignment="1">
      <alignment horizontal="right"/>
    </xf>
    <xf numFmtId="165" fontId="11" fillId="12" borderId="2" xfId="0" applyNumberFormat="1" applyFont="1" applyFill="1" applyBorder="1" applyAlignment="1">
      <alignment horizontal="right"/>
    </xf>
    <xf numFmtId="3" fontId="14" fillId="14" borderId="5" xfId="0" applyNumberFormat="1" applyFont="1" applyFill="1" applyBorder="1" applyAlignment="1">
      <alignment horizontal="right"/>
    </xf>
    <xf numFmtId="4" fontId="14" fillId="14" borderId="5" xfId="0" applyNumberFormat="1" applyFont="1" applyFill="1" applyBorder="1" applyAlignment="1">
      <alignment horizontal="right"/>
    </xf>
    <xf numFmtId="1" fontId="28" fillId="15" borderId="2" xfId="0" applyNumberFormat="1" applyFont="1" applyFill="1" applyBorder="1" applyAlignment="1">
      <alignment horizontal="right"/>
    </xf>
    <xf numFmtId="1" fontId="6" fillId="16" borderId="2" xfId="0" applyNumberFormat="1" applyFont="1" applyFill="1" applyBorder="1" applyAlignment="1">
      <alignment horizontal="right"/>
    </xf>
    <xf numFmtId="1" fontId="6" fillId="14" borderId="2" xfId="0" applyNumberFormat="1" applyFont="1" applyFill="1" applyBorder="1" applyAlignment="1">
      <alignment horizontal="right"/>
    </xf>
    <xf numFmtId="3" fontId="6" fillId="14" borderId="2" xfId="0" applyNumberFormat="1" applyFont="1" applyFill="1" applyBorder="1" applyAlignment="1">
      <alignment horizontal="right"/>
    </xf>
    <xf numFmtId="1" fontId="28" fillId="5" borderId="2" xfId="0" applyNumberFormat="1" applyFont="1" applyFill="1" applyBorder="1" applyAlignment="1">
      <alignment horizontal="right"/>
    </xf>
    <xf numFmtId="3" fontId="14" fillId="14" borderId="2" xfId="0" applyNumberFormat="1" applyFont="1" applyFill="1" applyBorder="1" applyAlignment="1">
      <alignment horizontal="right"/>
    </xf>
    <xf numFmtId="4" fontId="14" fillId="14" borderId="2" xfId="0" applyNumberFormat="1" applyFont="1" applyFill="1" applyBorder="1" applyAlignment="1">
      <alignment horizontal="right"/>
    </xf>
    <xf numFmtId="1" fontId="28" fillId="17" borderId="2" xfId="0" applyNumberFormat="1" applyFont="1" applyFill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0" fontId="6" fillId="18" borderId="2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1" fontId="11" fillId="0" borderId="0" xfId="0" applyNumberFormat="1" applyFont="1"/>
    <xf numFmtId="0" fontId="5" fillId="19" borderId="0" xfId="0" applyFont="1" applyFill="1" applyAlignment="1">
      <alignment horizontal="center" vertical="center"/>
    </xf>
    <xf numFmtId="0" fontId="5" fillId="19" borderId="10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0" fontId="5" fillId="19" borderId="12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164" fontId="19" fillId="6" borderId="8" xfId="0" applyNumberFormat="1" applyFont="1" applyFill="1" applyBorder="1" applyAlignment="1">
      <alignment horizontal="center" vertical="center"/>
    </xf>
    <xf numFmtId="0" fontId="20" fillId="0" borderId="8" xfId="0" applyFont="1" applyBorder="1"/>
    <xf numFmtId="0" fontId="20" fillId="0" borderId="3" xfId="0" applyFont="1" applyBorder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Voltas-style" pivot="0" count="3" xr9:uid="{BB8C87F0-9DE8-40D6-A30A-D79EDA1C51CC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72</xdr:row>
      <xdr:rowOff>200025</xdr:rowOff>
    </xdr:from>
    <xdr:ext cx="8239125" cy="37147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75EC5530-9046-49EE-B77F-2DCDD025F7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695" y="13733145"/>
          <a:ext cx="8239125" cy="37147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A06D12-4CE6-4E36-9B5B-BACA5FB8BFF4}" name="Table_4" displayName="Table_4" ref="C12:F37" headerRowCount="0">
  <tableColumns count="4">
    <tableColumn id="1" xr3:uid="{6684C1F5-23A0-4AD5-829C-CACE8A3C2F8A}" name="Column1"/>
    <tableColumn id="2" xr3:uid="{8F8A00E9-5E7B-4FFB-BFF5-D0BF91113705}" name="Column2"/>
    <tableColumn id="3" xr3:uid="{AD724BBD-E940-45D3-8984-45D95F07229E}" name="Column3"/>
    <tableColumn id="4" xr3:uid="{6A00E654-8666-406C-BB3E-6C37880F365D}" name="Column4"/>
  </tableColumns>
  <tableStyleInfo name="Volta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D8B8-1A03-42D9-BD14-E92BBDFA8621}">
  <sheetPr>
    <outlinePr summaryBelow="0" summaryRight="0"/>
  </sheetPr>
  <dimension ref="A1:AA1003"/>
  <sheetViews>
    <sheetView showGridLines="0" tabSelected="1" topLeftCell="A40" workbookViewId="0">
      <selection activeCell="G48" sqref="G48"/>
    </sheetView>
  </sheetViews>
  <sheetFormatPr defaultColWidth="12.6640625" defaultRowHeight="15.75" customHeight="1"/>
  <cols>
    <col min="1" max="1" width="3.33203125" customWidth="1"/>
    <col min="15" max="15" width="13.33203125" customWidth="1"/>
  </cols>
  <sheetData>
    <row r="1" spans="1:22" ht="15.75" customHeight="1">
      <c r="A1" s="1"/>
      <c r="B1" s="2"/>
      <c r="E1" s="3" t="s">
        <v>0</v>
      </c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4" t="s">
        <v>2</v>
      </c>
      <c r="S1" s="2"/>
      <c r="T1" s="2"/>
      <c r="U1" s="2"/>
      <c r="V1" s="2"/>
    </row>
    <row r="2" spans="1:22" ht="15.75" customHeight="1">
      <c r="A2" s="5"/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3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7" t="s">
        <v>19</v>
      </c>
      <c r="S2" s="8" t="s">
        <v>20</v>
      </c>
      <c r="T2" s="8" t="s">
        <v>21</v>
      </c>
      <c r="U2" s="8" t="s">
        <v>22</v>
      </c>
      <c r="V2" s="8" t="s">
        <v>23</v>
      </c>
    </row>
    <row r="3" spans="1:22" ht="15.75" customHeight="1">
      <c r="A3" s="5"/>
      <c r="B3" s="6" t="s">
        <v>24</v>
      </c>
      <c r="C3" s="9">
        <f ca="1">IFERROR(__xludf.DUMMYFUNCTION("googlefinance(""NSE:""&amp;B3,""price"")"),1360.9)</f>
        <v>1360.9</v>
      </c>
      <c r="D3" s="10">
        <f ca="1">IFERROR(__xludf.DUMMYFUNCTION("GOOGLEFINANCE(""nse:""&amp;B3,""marketcap"")/10000000"),45033.40767)</f>
        <v>45033.407670000001</v>
      </c>
      <c r="E3" s="11">
        <f t="shared" ref="E3:F3" si="0">C36</f>
        <v>14354</v>
      </c>
      <c r="F3" s="12">
        <f t="shared" si="0"/>
        <v>639</v>
      </c>
      <c r="G3" s="13">
        <f>F36</f>
        <v>19.57</v>
      </c>
      <c r="H3" s="14">
        <v>33.08</v>
      </c>
      <c r="I3" s="15">
        <v>6480</v>
      </c>
      <c r="J3" s="11">
        <v>863</v>
      </c>
      <c r="K3" s="11">
        <v>30</v>
      </c>
      <c r="L3" s="11">
        <v>1</v>
      </c>
      <c r="M3" s="15">
        <v>8878</v>
      </c>
      <c r="N3" s="15">
        <v>6005</v>
      </c>
      <c r="O3" s="15">
        <v>13152</v>
      </c>
      <c r="P3" s="15">
        <v>6611</v>
      </c>
      <c r="Q3" s="15">
        <v>2511</v>
      </c>
      <c r="R3" s="16">
        <v>-208</v>
      </c>
      <c r="S3" s="17">
        <v>-224</v>
      </c>
      <c r="T3" s="17">
        <v>158</v>
      </c>
      <c r="U3" s="17">
        <v>-100</v>
      </c>
      <c r="V3" s="17">
        <f t="shared" ref="V3:V4" si="1">SUM(S3:U3)</f>
        <v>-166</v>
      </c>
    </row>
    <row r="4" spans="1:22" ht="15.75" customHeight="1">
      <c r="A4" s="5"/>
      <c r="B4" s="18" t="s">
        <v>25</v>
      </c>
      <c r="C4" s="18">
        <v>1458.7</v>
      </c>
      <c r="D4" s="10">
        <f ca="1">C4*D3/C3</f>
        <v>48269.697823667426</v>
      </c>
      <c r="E4" s="18">
        <v>15320</v>
      </c>
      <c r="F4" s="18">
        <v>834</v>
      </c>
      <c r="G4" s="19">
        <v>25.43</v>
      </c>
      <c r="H4" s="18">
        <v>33.1</v>
      </c>
      <c r="I4" s="18">
        <v>6480</v>
      </c>
      <c r="J4" s="18">
        <v>713</v>
      </c>
      <c r="K4" s="18">
        <v>30</v>
      </c>
      <c r="L4" s="18">
        <v>1</v>
      </c>
      <c r="M4" s="18">
        <v>7724</v>
      </c>
      <c r="N4" s="18">
        <v>5758</v>
      </c>
      <c r="O4" s="18">
        <v>12035</v>
      </c>
      <c r="P4" s="18">
        <v>6181</v>
      </c>
      <c r="Q4" s="18">
        <v>2400</v>
      </c>
      <c r="R4" s="16">
        <v>-293</v>
      </c>
      <c r="S4" s="17">
        <v>761</v>
      </c>
      <c r="T4" s="17">
        <v>522</v>
      </c>
      <c r="U4" s="17">
        <v>-116</v>
      </c>
      <c r="V4" s="17">
        <f t="shared" si="1"/>
        <v>1167</v>
      </c>
    </row>
    <row r="5" spans="1:22" ht="15.75" customHeight="1">
      <c r="A5" s="5"/>
      <c r="B5" s="20" t="s">
        <v>26</v>
      </c>
      <c r="C5" s="21">
        <f t="shared" ref="C5:V5" ca="1" si="2">(C3/C4)-1</f>
        <v>-6.7045999862891614E-2</v>
      </c>
      <c r="D5" s="21">
        <f t="shared" ca="1" si="2"/>
        <v>-6.7045999862891614E-2</v>
      </c>
      <c r="E5" s="21">
        <f t="shared" si="2"/>
        <v>-6.3054830287206265E-2</v>
      </c>
      <c r="F5" s="21">
        <f t="shared" si="2"/>
        <v>-0.23381294964028776</v>
      </c>
      <c r="G5" s="21">
        <f t="shared" si="2"/>
        <v>-0.23043649233189145</v>
      </c>
      <c r="H5" s="21">
        <f t="shared" si="2"/>
        <v>-6.0422960725081687E-4</v>
      </c>
      <c r="I5" s="21">
        <f t="shared" si="2"/>
        <v>0</v>
      </c>
      <c r="J5" s="21">
        <f t="shared" si="2"/>
        <v>0.21037868162692841</v>
      </c>
      <c r="K5" s="21">
        <f t="shared" si="2"/>
        <v>0</v>
      </c>
      <c r="L5" s="21">
        <f t="shared" si="2"/>
        <v>0</v>
      </c>
      <c r="M5" s="21">
        <f t="shared" si="2"/>
        <v>0.149404453650958</v>
      </c>
      <c r="N5" s="21">
        <f t="shared" si="2"/>
        <v>4.2896839180270874E-2</v>
      </c>
      <c r="O5" s="21">
        <f t="shared" si="2"/>
        <v>9.2812629829663429E-2</v>
      </c>
      <c r="P5" s="21">
        <f t="shared" si="2"/>
        <v>6.9568031062934743E-2</v>
      </c>
      <c r="Q5" s="21">
        <f t="shared" si="2"/>
        <v>4.6249999999999902E-2</v>
      </c>
      <c r="R5" s="21">
        <f t="shared" si="2"/>
        <v>-0.29010238907849828</v>
      </c>
      <c r="S5" s="21">
        <f t="shared" si="2"/>
        <v>-1.2943495400788436</v>
      </c>
      <c r="T5" s="21">
        <f t="shared" si="2"/>
        <v>-0.69731800766283525</v>
      </c>
      <c r="U5" s="21">
        <f t="shared" si="2"/>
        <v>-0.13793103448275867</v>
      </c>
      <c r="V5" s="21">
        <f t="shared" si="2"/>
        <v>-1.1422450728363325</v>
      </c>
    </row>
    <row r="6" spans="1:22" ht="15.75" customHeight="1">
      <c r="A6" s="5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</row>
    <row r="7" spans="1:22" ht="15.75" customHeight="1">
      <c r="A7" s="5"/>
      <c r="B7" s="24" t="s">
        <v>26</v>
      </c>
      <c r="C7" s="25"/>
      <c r="D7" s="24" t="s">
        <v>27</v>
      </c>
      <c r="E7" s="26"/>
      <c r="F7" s="25"/>
      <c r="G7" s="24" t="s">
        <v>28</v>
      </c>
      <c r="H7" s="25"/>
      <c r="I7" s="25"/>
      <c r="J7" s="24" t="s">
        <v>29</v>
      </c>
      <c r="K7" s="25"/>
      <c r="L7" s="25"/>
      <c r="M7" s="24" t="s">
        <v>30</v>
      </c>
      <c r="N7" s="25"/>
      <c r="O7" s="25"/>
      <c r="P7" s="25"/>
      <c r="Q7" s="27"/>
      <c r="R7" s="28" t="s">
        <v>31</v>
      </c>
      <c r="S7" s="29"/>
      <c r="T7" s="2"/>
    </row>
    <row r="8" spans="1:22" ht="15.75" customHeight="1">
      <c r="A8" s="5"/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37</v>
      </c>
      <c r="H8" s="6" t="s">
        <v>38</v>
      </c>
      <c r="I8" s="6" t="s">
        <v>39</v>
      </c>
      <c r="J8" s="6" t="s">
        <v>40</v>
      </c>
      <c r="K8" s="6" t="s">
        <v>41</v>
      </c>
      <c r="L8" s="6" t="s">
        <v>42</v>
      </c>
      <c r="M8" s="3" t="s">
        <v>43</v>
      </c>
      <c r="N8" s="6" t="s">
        <v>44</v>
      </c>
      <c r="O8" s="6" t="s">
        <v>45</v>
      </c>
      <c r="P8" s="6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</row>
    <row r="9" spans="1:22" ht="15.75" customHeight="1">
      <c r="A9" s="5"/>
      <c r="B9" s="31">
        <f>E50</f>
        <v>-0.19698205546492664</v>
      </c>
      <c r="C9" s="32">
        <f>E56</f>
        <v>-0.58208955223880599</v>
      </c>
      <c r="D9" s="33">
        <f>C59</f>
        <v>3.5551041137633313E-2</v>
      </c>
      <c r="E9" s="34">
        <f>M3/N3</f>
        <v>1.4784346378018318</v>
      </c>
      <c r="F9" s="35">
        <f>(Q3/E3)*365</f>
        <v>63.850842970600524</v>
      </c>
      <c r="G9" s="32">
        <f>J3/I3</f>
        <v>0.133179012345679</v>
      </c>
      <c r="H9" s="32">
        <f>P3/O3</f>
        <v>0.50266119221411187</v>
      </c>
      <c r="I9" s="35">
        <f>C60</f>
        <v>12.23076923076923</v>
      </c>
      <c r="J9" s="32">
        <f>F3/I3</f>
        <v>9.8611111111111108E-2</v>
      </c>
      <c r="K9" s="34">
        <f>F3/H3</f>
        <v>19.316807738814994</v>
      </c>
      <c r="L9" s="32">
        <f>F3/O3</f>
        <v>4.8585766423357664E-2</v>
      </c>
      <c r="M9" s="36">
        <f ca="1">C3/G3</f>
        <v>69.540112416964746</v>
      </c>
      <c r="N9" s="33">
        <f ca="1">G3/C3</f>
        <v>1.4380189580424719E-2</v>
      </c>
      <c r="O9" s="36">
        <f>(O3-P3)/(H3/L3)</f>
        <v>197.73276904474002</v>
      </c>
      <c r="P9" s="34">
        <f ca="1">C3/O9</f>
        <v>6.882521327014218</v>
      </c>
      <c r="Q9" s="37">
        <f ca="1">R45</f>
        <v>-4.2853550878682221</v>
      </c>
      <c r="R9" s="38">
        <f>S3-N3</f>
        <v>-6229</v>
      </c>
      <c r="S9" s="39">
        <f>S3-J3</f>
        <v>-1087</v>
      </c>
      <c r="T9" s="38">
        <f>S3-R3</f>
        <v>-16</v>
      </c>
      <c r="U9" s="40">
        <v>0.187</v>
      </c>
    </row>
    <row r="10" spans="1:22" ht="15.75" customHeight="1">
      <c r="A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23"/>
      <c r="R10" s="23"/>
    </row>
    <row r="11" spans="1:22" ht="15.75" customHeight="1">
      <c r="A11" s="41"/>
      <c r="B11" s="6" t="s">
        <v>52</v>
      </c>
      <c r="C11" s="6" t="s">
        <v>53</v>
      </c>
      <c r="D11" s="44" t="s">
        <v>7</v>
      </c>
      <c r="E11" s="6" t="s">
        <v>54</v>
      </c>
      <c r="F11" s="44" t="s">
        <v>55</v>
      </c>
      <c r="G11" s="6" t="s">
        <v>56</v>
      </c>
      <c r="H11" s="44" t="s">
        <v>57</v>
      </c>
      <c r="I11" s="3" t="s">
        <v>58</v>
      </c>
      <c r="J11" s="44" t="s">
        <v>59</v>
      </c>
      <c r="K11" s="44" t="s">
        <v>60</v>
      </c>
      <c r="L11" s="44" t="s">
        <v>61</v>
      </c>
      <c r="M11" s="45" t="s">
        <v>45</v>
      </c>
      <c r="N11" s="45" t="s">
        <v>62</v>
      </c>
      <c r="O11" s="45" t="s">
        <v>63</v>
      </c>
      <c r="Q11" s="23"/>
      <c r="R11" s="23"/>
    </row>
    <row r="12" spans="1:22" ht="15.75" customHeight="1">
      <c r="A12" s="46"/>
      <c r="B12" s="47" t="s">
        <v>64</v>
      </c>
      <c r="C12" s="48">
        <v>880</v>
      </c>
      <c r="D12" s="48">
        <v>17</v>
      </c>
      <c r="E12" s="49">
        <f t="shared" ref="E12:E36" si="3">D12/C12</f>
        <v>1.9318181818181818E-2</v>
      </c>
      <c r="F12" s="50">
        <v>5</v>
      </c>
      <c r="G12" s="48">
        <v>33</v>
      </c>
      <c r="H12" s="51">
        <v>154.95999999999998</v>
      </c>
      <c r="I12" s="48">
        <v>31.1</v>
      </c>
      <c r="J12" s="48">
        <v>56.5</v>
      </c>
      <c r="K12" s="52">
        <f t="shared" ref="K12:K36" si="4">I12/F12</f>
        <v>6.2200000000000006</v>
      </c>
      <c r="L12" s="52">
        <f t="shared" ref="L12:L36" si="5">J12/F12</f>
        <v>11.3</v>
      </c>
      <c r="M12" s="53">
        <f t="shared" ref="M12:M16" si="6">(H12+G12)/(G12/10)</f>
        <v>56.957575757575754</v>
      </c>
      <c r="N12" s="54">
        <f t="shared" ref="N12:N36" si="7">I12/M12</f>
        <v>0.5460204298786977</v>
      </c>
      <c r="O12" s="54">
        <f t="shared" ref="O12:O36" si="8">J12/M12</f>
        <v>0.99196637582464364</v>
      </c>
      <c r="Q12" s="23"/>
      <c r="R12" s="23"/>
    </row>
    <row r="13" spans="1:22" ht="15.75" customHeight="1">
      <c r="A13" s="46"/>
      <c r="B13" s="47" t="s">
        <v>65</v>
      </c>
      <c r="C13" s="48">
        <v>1182</v>
      </c>
      <c r="D13" s="48">
        <v>26</v>
      </c>
      <c r="E13" s="49">
        <f t="shared" si="3"/>
        <v>2.1996615905245348E-2</v>
      </c>
      <c r="F13" s="50">
        <v>7.73</v>
      </c>
      <c r="G13" s="48">
        <v>33</v>
      </c>
      <c r="H13" s="55">
        <v>128.10999999999999</v>
      </c>
      <c r="I13" s="48">
        <v>41.6</v>
      </c>
      <c r="J13" s="48">
        <v>65.5</v>
      </c>
      <c r="K13" s="52">
        <f t="shared" si="4"/>
        <v>5.3816300129366104</v>
      </c>
      <c r="L13" s="52">
        <f t="shared" si="5"/>
        <v>8.4734799482535568</v>
      </c>
      <c r="M13" s="53">
        <f t="shared" si="6"/>
        <v>48.82121212121212</v>
      </c>
      <c r="N13" s="54">
        <f t="shared" si="7"/>
        <v>0.85208863509403521</v>
      </c>
      <c r="O13" s="54">
        <f t="shared" si="8"/>
        <v>1.3416299422754641</v>
      </c>
      <c r="Q13" s="23"/>
      <c r="R13" s="23"/>
    </row>
    <row r="14" spans="1:22" ht="15.75" customHeight="1">
      <c r="A14" s="46"/>
      <c r="B14" s="47" t="s">
        <v>66</v>
      </c>
      <c r="C14" s="48">
        <v>1293</v>
      </c>
      <c r="D14" s="48">
        <v>39</v>
      </c>
      <c r="E14" s="49">
        <f t="shared" si="3"/>
        <v>3.0162412993039442E-2</v>
      </c>
      <c r="F14" s="50">
        <v>11.8</v>
      </c>
      <c r="G14" s="48">
        <v>33</v>
      </c>
      <c r="H14" s="55">
        <v>155.94999999999999</v>
      </c>
      <c r="I14" s="48">
        <v>50</v>
      </c>
      <c r="J14" s="48">
        <v>159</v>
      </c>
      <c r="K14" s="52">
        <f t="shared" si="4"/>
        <v>4.2372881355932197</v>
      </c>
      <c r="L14" s="52">
        <f t="shared" si="5"/>
        <v>13.474576271186439</v>
      </c>
      <c r="M14" s="53">
        <f t="shared" si="6"/>
        <v>57.257575757575758</v>
      </c>
      <c r="N14" s="54">
        <f t="shared" si="7"/>
        <v>0.87324689071182848</v>
      </c>
      <c r="O14" s="54">
        <f t="shared" si="8"/>
        <v>2.7769251124636147</v>
      </c>
      <c r="Q14" s="56"/>
      <c r="R14" s="56"/>
    </row>
    <row r="15" spans="1:22" ht="15.75" customHeight="1">
      <c r="A15" s="46"/>
      <c r="B15" s="47" t="s">
        <v>67</v>
      </c>
      <c r="C15" s="48">
        <v>1409</v>
      </c>
      <c r="D15" s="48">
        <v>51</v>
      </c>
      <c r="E15" s="49">
        <f t="shared" si="3"/>
        <v>3.61958836053939E-2</v>
      </c>
      <c r="F15" s="50">
        <v>15.24</v>
      </c>
      <c r="G15" s="48">
        <v>33</v>
      </c>
      <c r="H15" s="55">
        <v>160.45999999999998</v>
      </c>
      <c r="I15" s="48">
        <v>87.9</v>
      </c>
      <c r="J15" s="48">
        <v>247.9</v>
      </c>
      <c r="K15" s="52">
        <f t="shared" si="4"/>
        <v>5.7677165354330713</v>
      </c>
      <c r="L15" s="52">
        <f t="shared" si="5"/>
        <v>16.266404199475065</v>
      </c>
      <c r="M15" s="53">
        <f t="shared" si="6"/>
        <v>58.624242424242418</v>
      </c>
      <c r="N15" s="54">
        <f t="shared" si="7"/>
        <v>1.4993797167373104</v>
      </c>
      <c r="O15" s="54">
        <f t="shared" si="8"/>
        <v>4.2286260725731424</v>
      </c>
      <c r="Q15" s="23"/>
      <c r="R15" s="23"/>
    </row>
    <row r="16" spans="1:22" ht="15.75" customHeight="1">
      <c r="A16" s="46"/>
      <c r="B16" s="47" t="s">
        <v>68</v>
      </c>
      <c r="C16" s="48">
        <v>1883</v>
      </c>
      <c r="D16" s="48">
        <v>71</v>
      </c>
      <c r="E16" s="49">
        <f t="shared" si="3"/>
        <v>3.7705788635156667E-2</v>
      </c>
      <c r="F16" s="50">
        <v>21.3</v>
      </c>
      <c r="G16" s="48">
        <v>33</v>
      </c>
      <c r="H16" s="55">
        <v>208.35</v>
      </c>
      <c r="I16" s="48">
        <v>218.4</v>
      </c>
      <c r="J16" s="48">
        <v>1088.4000000000001</v>
      </c>
      <c r="K16" s="52">
        <f t="shared" si="4"/>
        <v>10.253521126760564</v>
      </c>
      <c r="L16" s="52">
        <f t="shared" si="5"/>
        <v>51.098591549295776</v>
      </c>
      <c r="M16" s="53">
        <f t="shared" si="6"/>
        <v>73.13636363636364</v>
      </c>
      <c r="N16" s="54">
        <f t="shared" si="7"/>
        <v>2.9862026103169668</v>
      </c>
      <c r="O16" s="54">
        <f t="shared" si="8"/>
        <v>14.881789931634556</v>
      </c>
      <c r="Q16" s="56"/>
      <c r="R16" s="56"/>
    </row>
    <row r="17" spans="1:18" ht="15.75" customHeight="1">
      <c r="A17" s="46"/>
      <c r="B17" s="47" t="s">
        <v>69</v>
      </c>
      <c r="C17" s="48">
        <v>2456</v>
      </c>
      <c r="D17" s="48">
        <v>186</v>
      </c>
      <c r="E17" s="49">
        <f t="shared" si="3"/>
        <v>7.5732899022801309E-2</v>
      </c>
      <c r="F17" s="57">
        <v>5.62</v>
      </c>
      <c r="G17" s="48">
        <v>33</v>
      </c>
      <c r="H17" s="55">
        <v>347.68</v>
      </c>
      <c r="I17" s="48">
        <v>63.5</v>
      </c>
      <c r="J17" s="48">
        <v>120.5</v>
      </c>
      <c r="K17" s="52">
        <f t="shared" si="4"/>
        <v>11.298932384341636</v>
      </c>
      <c r="L17" s="52">
        <f t="shared" si="5"/>
        <v>21.441281138790035</v>
      </c>
      <c r="M17" s="53">
        <f t="shared" ref="M17:M36" si="9">(H17+G17)/(G17/1)</f>
        <v>11.535757575757575</v>
      </c>
      <c r="N17" s="54">
        <f t="shared" si="7"/>
        <v>5.5046233056635501</v>
      </c>
      <c r="O17" s="54">
        <f t="shared" si="8"/>
        <v>10.445781233582011</v>
      </c>
    </row>
    <row r="18" spans="1:18" ht="15.75" customHeight="1">
      <c r="A18" s="46"/>
      <c r="B18" s="47" t="s">
        <v>70</v>
      </c>
      <c r="C18" s="48">
        <v>3088</v>
      </c>
      <c r="D18" s="48">
        <v>208</v>
      </c>
      <c r="E18" s="49">
        <f t="shared" si="3"/>
        <v>6.7357512953367879E-2</v>
      </c>
      <c r="F18" s="50">
        <v>6.3</v>
      </c>
      <c r="G18" s="48">
        <v>33</v>
      </c>
      <c r="H18" s="55">
        <v>544.16000000000008</v>
      </c>
      <c r="I18" s="48">
        <v>79.400000000000006</v>
      </c>
      <c r="J18" s="48">
        <v>266.89999999999998</v>
      </c>
      <c r="K18" s="52">
        <f t="shared" si="4"/>
        <v>12.603174603174605</v>
      </c>
      <c r="L18" s="52">
        <f t="shared" si="5"/>
        <v>42.36507936507936</v>
      </c>
      <c r="M18" s="53">
        <f t="shared" si="9"/>
        <v>17.489696969696972</v>
      </c>
      <c r="N18" s="54">
        <f t="shared" si="7"/>
        <v>4.5398156490401274</v>
      </c>
      <c r="O18" s="54">
        <f t="shared" si="8"/>
        <v>15.260413057037907</v>
      </c>
      <c r="Q18" s="23"/>
      <c r="R18" s="23"/>
    </row>
    <row r="19" spans="1:18" ht="15.75" customHeight="1">
      <c r="A19" s="46"/>
      <c r="B19" s="47" t="s">
        <v>71</v>
      </c>
      <c r="C19" s="48">
        <v>4113</v>
      </c>
      <c r="D19" s="48">
        <v>253</v>
      </c>
      <c r="E19" s="49">
        <f t="shared" si="3"/>
        <v>6.1512278142475077E-2</v>
      </c>
      <c r="F19" s="50">
        <v>7.63</v>
      </c>
      <c r="G19" s="48">
        <v>33</v>
      </c>
      <c r="H19" s="55">
        <v>756.68000000000006</v>
      </c>
      <c r="I19" s="48">
        <v>31.1</v>
      </c>
      <c r="J19" s="48">
        <v>197.1</v>
      </c>
      <c r="K19" s="52">
        <f t="shared" si="4"/>
        <v>4.0760157273918747</v>
      </c>
      <c r="L19" s="52">
        <f t="shared" si="5"/>
        <v>25.832241153342071</v>
      </c>
      <c r="M19" s="53">
        <f t="shared" si="9"/>
        <v>23.929696969696973</v>
      </c>
      <c r="N19" s="54">
        <f t="shared" si="7"/>
        <v>1.2996403606524161</v>
      </c>
      <c r="O19" s="54">
        <f t="shared" si="8"/>
        <v>8.2366274946813878</v>
      </c>
      <c r="Q19" s="23"/>
      <c r="R19" s="23"/>
    </row>
    <row r="20" spans="1:18" ht="15.75" customHeight="1">
      <c r="A20" s="46"/>
      <c r="B20" s="47" t="s">
        <v>72</v>
      </c>
      <c r="C20" s="48">
        <v>4617</v>
      </c>
      <c r="D20" s="48">
        <v>344</v>
      </c>
      <c r="E20" s="49">
        <f t="shared" si="3"/>
        <v>7.4507255793805502E-2</v>
      </c>
      <c r="F20" s="50">
        <v>10.4</v>
      </c>
      <c r="G20" s="48">
        <v>33</v>
      </c>
      <c r="H20" s="55">
        <v>1052.0899999999999</v>
      </c>
      <c r="I20" s="48">
        <v>45.9</v>
      </c>
      <c r="J20" s="48">
        <v>189.6</v>
      </c>
      <c r="K20" s="52">
        <f t="shared" si="4"/>
        <v>4.4134615384615383</v>
      </c>
      <c r="L20" s="52">
        <f t="shared" si="5"/>
        <v>18.23076923076923</v>
      </c>
      <c r="M20" s="53">
        <f t="shared" si="9"/>
        <v>32.881515151515146</v>
      </c>
      <c r="N20" s="54">
        <f t="shared" si="7"/>
        <v>1.3959210756711427</v>
      </c>
      <c r="O20" s="54">
        <f t="shared" si="8"/>
        <v>5.7661576459095567</v>
      </c>
      <c r="Q20" s="56"/>
      <c r="R20" s="56"/>
    </row>
    <row r="21" spans="1:18" ht="15.75" customHeight="1">
      <c r="A21" s="46"/>
      <c r="B21" s="47" t="s">
        <v>73</v>
      </c>
      <c r="C21" s="48">
        <v>5217</v>
      </c>
      <c r="D21" s="48">
        <v>354</v>
      </c>
      <c r="E21" s="49">
        <f t="shared" si="3"/>
        <v>6.7855089131684879E-2</v>
      </c>
      <c r="F21" s="50">
        <v>10.68</v>
      </c>
      <c r="G21" s="48">
        <v>33</v>
      </c>
      <c r="H21" s="55">
        <v>1328.6399999999999</v>
      </c>
      <c r="I21" s="48">
        <v>147.4</v>
      </c>
      <c r="J21" s="48">
        <v>262.5</v>
      </c>
      <c r="K21" s="52">
        <f t="shared" si="4"/>
        <v>13.801498127340825</v>
      </c>
      <c r="L21" s="52">
        <f t="shared" si="5"/>
        <v>24.578651685393258</v>
      </c>
      <c r="M21" s="53">
        <f t="shared" si="9"/>
        <v>41.261818181818178</v>
      </c>
      <c r="N21" s="54">
        <f t="shared" si="7"/>
        <v>3.5723098616374376</v>
      </c>
      <c r="O21" s="54">
        <f t="shared" si="8"/>
        <v>6.3618136952498467</v>
      </c>
      <c r="Q21" s="56"/>
      <c r="R21" s="56"/>
    </row>
    <row r="22" spans="1:18" ht="15.75" customHeight="1">
      <c r="A22" s="46"/>
      <c r="B22" s="47" t="s">
        <v>74</v>
      </c>
      <c r="C22" s="48">
        <v>5281</v>
      </c>
      <c r="D22" s="58">
        <v>152</v>
      </c>
      <c r="E22" s="49">
        <f t="shared" si="3"/>
        <v>2.8782427570535882E-2</v>
      </c>
      <c r="F22" s="50">
        <v>4.59</v>
      </c>
      <c r="G22" s="48">
        <v>33</v>
      </c>
      <c r="H22" s="55">
        <v>1444.77</v>
      </c>
      <c r="I22" s="48">
        <v>71.5</v>
      </c>
      <c r="J22" s="48">
        <v>188.5</v>
      </c>
      <c r="K22" s="52">
        <f t="shared" si="4"/>
        <v>15.577342047930284</v>
      </c>
      <c r="L22" s="52">
        <f t="shared" si="5"/>
        <v>41.067538126361654</v>
      </c>
      <c r="M22" s="53">
        <f t="shared" si="9"/>
        <v>44.780909090909091</v>
      </c>
      <c r="N22" s="54">
        <f t="shared" si="7"/>
        <v>1.5966625388253923</v>
      </c>
      <c r="O22" s="54">
        <f t="shared" si="8"/>
        <v>4.2093830569033068</v>
      </c>
      <c r="Q22" s="23"/>
      <c r="R22" s="23"/>
    </row>
    <row r="23" spans="1:18" ht="15.75" customHeight="1">
      <c r="A23" s="46"/>
      <c r="B23" s="47" t="s">
        <v>75</v>
      </c>
      <c r="C23" s="48">
        <v>5662</v>
      </c>
      <c r="D23" s="58">
        <v>180</v>
      </c>
      <c r="E23" s="49">
        <f t="shared" si="3"/>
        <v>3.1790886612504413E-2</v>
      </c>
      <c r="F23" s="50">
        <v>5.44</v>
      </c>
      <c r="G23" s="48">
        <v>33</v>
      </c>
      <c r="H23" s="55">
        <v>1592.55</v>
      </c>
      <c r="I23" s="48">
        <v>73.3</v>
      </c>
      <c r="J23" s="48">
        <v>138.5</v>
      </c>
      <c r="K23" s="52">
        <f t="shared" si="4"/>
        <v>13.474264705882351</v>
      </c>
      <c r="L23" s="52">
        <f t="shared" si="5"/>
        <v>25.459558823529409</v>
      </c>
      <c r="M23" s="53">
        <f t="shared" si="9"/>
        <v>49.259090909090908</v>
      </c>
      <c r="N23" s="54">
        <f t="shared" si="7"/>
        <v>1.4880501983943897</v>
      </c>
      <c r="O23" s="54">
        <f t="shared" si="8"/>
        <v>2.811663744578758</v>
      </c>
      <c r="Q23" s="23"/>
      <c r="R23" s="23"/>
    </row>
    <row r="24" spans="1:18" ht="15.75" customHeight="1">
      <c r="A24" s="46"/>
      <c r="B24" s="47" t="s">
        <v>76</v>
      </c>
      <c r="C24" s="59">
        <v>5283</v>
      </c>
      <c r="D24" s="58">
        <v>182</v>
      </c>
      <c r="E24" s="49">
        <f t="shared" si="3"/>
        <v>3.4450123036153697E-2</v>
      </c>
      <c r="F24" s="50">
        <v>5.48</v>
      </c>
      <c r="G24" s="48">
        <v>33</v>
      </c>
      <c r="H24" s="55">
        <v>1786.25</v>
      </c>
      <c r="I24" s="48">
        <v>62.7</v>
      </c>
      <c r="J24" s="48">
        <v>164.4</v>
      </c>
      <c r="K24" s="52">
        <f t="shared" si="4"/>
        <v>11.441605839416058</v>
      </c>
      <c r="L24" s="52">
        <f t="shared" si="5"/>
        <v>30</v>
      </c>
      <c r="M24" s="53">
        <f t="shared" si="9"/>
        <v>55.128787878787875</v>
      </c>
      <c r="N24" s="54">
        <f t="shared" si="7"/>
        <v>1.13733681462141</v>
      </c>
      <c r="O24" s="54">
        <f t="shared" si="8"/>
        <v>2.9821080115432186</v>
      </c>
      <c r="Q24" s="23"/>
      <c r="R24" s="23"/>
    </row>
    <row r="25" spans="1:18" ht="15.75" customHeight="1">
      <c r="A25" s="46"/>
      <c r="B25" s="47" t="s">
        <v>77</v>
      </c>
      <c r="C25" s="48">
        <v>5318</v>
      </c>
      <c r="D25" s="58">
        <v>329</v>
      </c>
      <c r="E25" s="49">
        <f t="shared" si="3"/>
        <v>6.1865362918390371E-2</v>
      </c>
      <c r="F25" s="50">
        <v>9.9499999999999993</v>
      </c>
      <c r="G25" s="48">
        <v>33</v>
      </c>
      <c r="H25" s="55">
        <v>2069</v>
      </c>
      <c r="I25" s="48">
        <v>148.5</v>
      </c>
      <c r="J25" s="48">
        <v>301.5</v>
      </c>
      <c r="K25" s="52">
        <f t="shared" si="4"/>
        <v>14.924623115577891</v>
      </c>
      <c r="L25" s="52">
        <f t="shared" si="5"/>
        <v>30.301507537688444</v>
      </c>
      <c r="M25" s="53">
        <f t="shared" si="9"/>
        <v>63.696969696969695</v>
      </c>
      <c r="N25" s="54">
        <f t="shared" si="7"/>
        <v>2.3313510941960041</v>
      </c>
      <c r="O25" s="54">
        <f t="shared" si="8"/>
        <v>4.7333491912464325</v>
      </c>
      <c r="Q25" s="23"/>
      <c r="R25" s="23"/>
    </row>
    <row r="26" spans="1:18" ht="14.4">
      <c r="A26" s="46"/>
      <c r="B26" s="47" t="s">
        <v>78</v>
      </c>
      <c r="C26" s="48">
        <v>5975</v>
      </c>
      <c r="D26" s="48">
        <v>392</v>
      </c>
      <c r="E26" s="49">
        <f t="shared" si="3"/>
        <v>6.5606694560669462E-2</v>
      </c>
      <c r="F26" s="50">
        <v>11.65</v>
      </c>
      <c r="G26" s="48">
        <v>33</v>
      </c>
      <c r="H26" s="55">
        <v>2778.0099999999998</v>
      </c>
      <c r="I26" s="48">
        <v>211.2</v>
      </c>
      <c r="J26" s="48">
        <v>360</v>
      </c>
      <c r="K26" s="52">
        <f t="shared" si="4"/>
        <v>18.128755364806864</v>
      </c>
      <c r="L26" s="52">
        <f t="shared" si="5"/>
        <v>30.901287553648068</v>
      </c>
      <c r="M26" s="53">
        <f t="shared" si="9"/>
        <v>85.182121212121203</v>
      </c>
      <c r="N26" s="54">
        <f t="shared" si="7"/>
        <v>2.479393527593285</v>
      </c>
      <c r="O26" s="54">
        <f t="shared" si="8"/>
        <v>4.2262389674885545</v>
      </c>
      <c r="Q26" s="23"/>
      <c r="R26" s="23"/>
    </row>
    <row r="27" spans="1:18" ht="14.4">
      <c r="A27" s="46"/>
      <c r="B27" s="47" t="s">
        <v>79</v>
      </c>
      <c r="C27" s="48">
        <v>6295</v>
      </c>
      <c r="D27" s="48">
        <v>512</v>
      </c>
      <c r="E27" s="49">
        <f t="shared" si="3"/>
        <v>8.1334392374900713E-2</v>
      </c>
      <c r="F27" s="50">
        <v>15.38</v>
      </c>
      <c r="G27" s="48">
        <v>33</v>
      </c>
      <c r="H27" s="55">
        <v>3273.54</v>
      </c>
      <c r="I27" s="48">
        <v>266.8</v>
      </c>
      <c r="J27" s="48">
        <v>424.9</v>
      </c>
      <c r="K27" s="52">
        <f t="shared" si="4"/>
        <v>17.347204161248374</v>
      </c>
      <c r="L27" s="52">
        <f t="shared" si="5"/>
        <v>27.626788036410922</v>
      </c>
      <c r="M27" s="53">
        <f t="shared" si="9"/>
        <v>100.19818181818182</v>
      </c>
      <c r="N27" s="54">
        <f t="shared" si="7"/>
        <v>2.6627229672104376</v>
      </c>
      <c r="O27" s="54">
        <f t="shared" si="8"/>
        <v>4.2405959099239681</v>
      </c>
      <c r="Q27" s="23"/>
      <c r="R27" s="23"/>
    </row>
    <row r="28" spans="1:18" ht="14.4">
      <c r="A28" s="46"/>
      <c r="B28" s="47" t="s">
        <v>80</v>
      </c>
      <c r="C28" s="48">
        <v>6602</v>
      </c>
      <c r="D28" s="48">
        <v>574</v>
      </c>
      <c r="E28" s="49">
        <f t="shared" si="3"/>
        <v>8.6943350499848526E-2</v>
      </c>
      <c r="F28" s="50">
        <v>17.3</v>
      </c>
      <c r="G28" s="48">
        <v>33</v>
      </c>
      <c r="H28" s="55">
        <v>3872.13</v>
      </c>
      <c r="I28" s="48">
        <v>401.3</v>
      </c>
      <c r="J28" s="48">
        <v>675</v>
      </c>
      <c r="K28" s="52">
        <f t="shared" si="4"/>
        <v>23.196531791907514</v>
      </c>
      <c r="L28" s="52">
        <f t="shared" si="5"/>
        <v>39.017341040462426</v>
      </c>
      <c r="M28" s="53">
        <f t="shared" si="9"/>
        <v>118.33727272727273</v>
      </c>
      <c r="N28" s="54">
        <f t="shared" si="7"/>
        <v>3.3911547118789898</v>
      </c>
      <c r="O28" s="54">
        <f t="shared" si="8"/>
        <v>5.7040354610473916</v>
      </c>
      <c r="Q28" s="23"/>
      <c r="R28" s="23"/>
    </row>
    <row r="29" spans="1:18" ht="14.4">
      <c r="A29" s="46"/>
      <c r="B29" s="47" t="s">
        <v>81</v>
      </c>
      <c r="C29" s="48">
        <v>7124</v>
      </c>
      <c r="D29" s="58">
        <v>514</v>
      </c>
      <c r="E29" s="49">
        <f t="shared" si="3"/>
        <v>7.2150477259966317E-2</v>
      </c>
      <c r="F29" s="50">
        <v>15.35</v>
      </c>
      <c r="G29" s="48">
        <v>33</v>
      </c>
      <c r="H29" s="55">
        <v>4076.91</v>
      </c>
      <c r="I29" s="48">
        <v>472</v>
      </c>
      <c r="J29" s="48">
        <v>665</v>
      </c>
      <c r="K29" s="52">
        <f t="shared" si="4"/>
        <v>30.749185667752442</v>
      </c>
      <c r="L29" s="52">
        <f t="shared" si="5"/>
        <v>43.322475570032573</v>
      </c>
      <c r="M29" s="53">
        <f t="shared" si="9"/>
        <v>124.54272727272726</v>
      </c>
      <c r="N29" s="54">
        <f t="shared" si="7"/>
        <v>3.7898640116206925</v>
      </c>
      <c r="O29" s="54">
        <f t="shared" si="8"/>
        <v>5.3395329824740694</v>
      </c>
      <c r="Q29" s="23"/>
    </row>
    <row r="30" spans="1:18" ht="14.4">
      <c r="A30" s="46"/>
      <c r="B30" s="47" t="s">
        <v>82</v>
      </c>
      <c r="C30" s="60">
        <v>7658</v>
      </c>
      <c r="D30" s="61">
        <v>521</v>
      </c>
      <c r="E30" s="49">
        <f t="shared" si="3"/>
        <v>6.803342909375816E-2</v>
      </c>
      <c r="F30" s="62">
        <v>15.63</v>
      </c>
      <c r="G30" s="48">
        <v>33</v>
      </c>
      <c r="H30" s="55">
        <v>4247.13</v>
      </c>
      <c r="I30" s="60">
        <v>450</v>
      </c>
      <c r="J30" s="60">
        <v>741</v>
      </c>
      <c r="K30" s="52">
        <f t="shared" si="4"/>
        <v>28.790786948176581</v>
      </c>
      <c r="L30" s="52">
        <f t="shared" si="5"/>
        <v>47.408829174664106</v>
      </c>
      <c r="M30" s="53">
        <f t="shared" si="9"/>
        <v>129.70090909090911</v>
      </c>
      <c r="N30" s="54">
        <f t="shared" si="7"/>
        <v>3.4695207855836152</v>
      </c>
      <c r="O30" s="54">
        <f t="shared" si="8"/>
        <v>5.7131442269276862</v>
      </c>
      <c r="Q30" s="23"/>
    </row>
    <row r="31" spans="1:18" ht="14.4">
      <c r="A31" s="46"/>
      <c r="B31" s="47" t="s">
        <v>83</v>
      </c>
      <c r="C31" s="60">
        <v>7556</v>
      </c>
      <c r="D31" s="61">
        <v>529</v>
      </c>
      <c r="E31" s="49">
        <f t="shared" si="3"/>
        <v>7.0010587612493388E-2</v>
      </c>
      <c r="F31" s="62">
        <v>15.87</v>
      </c>
      <c r="G31" s="48">
        <v>33</v>
      </c>
      <c r="H31" s="55">
        <v>4960.2700000000004</v>
      </c>
      <c r="I31" s="60">
        <v>528</v>
      </c>
      <c r="J31" s="60">
        <v>1132</v>
      </c>
      <c r="K31" s="52">
        <f t="shared" si="4"/>
        <v>33.270321361058606</v>
      </c>
      <c r="L31" s="52">
        <f t="shared" si="5"/>
        <v>71.329552614996857</v>
      </c>
      <c r="M31" s="53">
        <f t="shared" si="9"/>
        <v>151.31121212121212</v>
      </c>
      <c r="N31" s="54">
        <f t="shared" si="7"/>
        <v>3.4894968627772984</v>
      </c>
      <c r="O31" s="54">
        <f t="shared" si="8"/>
        <v>7.481269789136177</v>
      </c>
      <c r="Q31" s="23"/>
    </row>
    <row r="32" spans="1:18" ht="14.4">
      <c r="A32" s="5"/>
      <c r="B32" s="47" t="s">
        <v>84</v>
      </c>
      <c r="C32" s="60">
        <v>7841</v>
      </c>
      <c r="D32" s="61">
        <v>506</v>
      </c>
      <c r="E32" s="49">
        <f t="shared" si="3"/>
        <v>6.4532585129447775E-2</v>
      </c>
      <c r="F32" s="62">
        <v>15.23</v>
      </c>
      <c r="G32" s="48">
        <v>33</v>
      </c>
      <c r="H32" s="55">
        <v>5591</v>
      </c>
      <c r="I32" s="60">
        <v>918</v>
      </c>
      <c r="J32" s="60">
        <v>1357</v>
      </c>
      <c r="K32" s="52">
        <f t="shared" si="4"/>
        <v>60.275771503611288</v>
      </c>
      <c r="L32" s="52">
        <f t="shared" si="5"/>
        <v>89.100459619172682</v>
      </c>
      <c r="M32" s="53">
        <f t="shared" si="9"/>
        <v>170.42424242424244</v>
      </c>
      <c r="N32" s="54">
        <f t="shared" si="7"/>
        <v>5.3865576102418204</v>
      </c>
      <c r="O32" s="54">
        <f t="shared" si="8"/>
        <v>7.9624822190611662</v>
      </c>
      <c r="Q32" s="23"/>
    </row>
    <row r="33" spans="1:19" ht="14.4">
      <c r="A33" s="5"/>
      <c r="B33" s="47" t="s">
        <v>85</v>
      </c>
      <c r="C33" s="63">
        <v>9399</v>
      </c>
      <c r="D33" s="63">
        <v>136</v>
      </c>
      <c r="E33" s="64">
        <f t="shared" si="3"/>
        <v>1.4469624428130653E-2</v>
      </c>
      <c r="F33" s="65">
        <v>4.08</v>
      </c>
      <c r="G33" s="63">
        <v>33</v>
      </c>
      <c r="H33" s="63">
        <v>5417</v>
      </c>
      <c r="I33" s="63">
        <v>737</v>
      </c>
      <c r="J33" s="63">
        <v>1347</v>
      </c>
      <c r="K33" s="66">
        <f t="shared" si="4"/>
        <v>180.63725490196077</v>
      </c>
      <c r="L33" s="66">
        <f t="shared" si="5"/>
        <v>330.14705882352939</v>
      </c>
      <c r="M33" s="67">
        <f t="shared" si="9"/>
        <v>165.15151515151516</v>
      </c>
      <c r="N33" s="68">
        <f t="shared" si="7"/>
        <v>4.4625688073394496</v>
      </c>
      <c r="O33" s="68">
        <f t="shared" si="8"/>
        <v>8.1561467889908261</v>
      </c>
      <c r="Q33" s="23"/>
    </row>
    <row r="34" spans="1:19" ht="14.4">
      <c r="A34" s="5"/>
      <c r="B34" s="47" t="s">
        <v>86</v>
      </c>
      <c r="C34" s="63">
        <v>12407</v>
      </c>
      <c r="D34" s="63">
        <v>248</v>
      </c>
      <c r="E34" s="64">
        <f t="shared" si="3"/>
        <v>1.99887160473926E-2</v>
      </c>
      <c r="F34" s="65">
        <v>7.62</v>
      </c>
      <c r="G34" s="63">
        <v>33</v>
      </c>
      <c r="H34" s="63">
        <v>5787</v>
      </c>
      <c r="I34" s="63">
        <v>747</v>
      </c>
      <c r="J34" s="63">
        <v>1139</v>
      </c>
      <c r="K34" s="66">
        <f t="shared" si="4"/>
        <v>98.031496062992119</v>
      </c>
      <c r="L34" s="66">
        <f t="shared" si="5"/>
        <v>149.47506561679791</v>
      </c>
      <c r="M34" s="67">
        <f t="shared" si="9"/>
        <v>176.36363636363637</v>
      </c>
      <c r="N34" s="68">
        <f t="shared" si="7"/>
        <v>4.2355670103092784</v>
      </c>
      <c r="O34" s="68">
        <f t="shared" si="8"/>
        <v>6.4582474226804116</v>
      </c>
      <c r="Q34" s="23"/>
    </row>
    <row r="35" spans="1:19" ht="14.4">
      <c r="A35" s="5"/>
      <c r="B35" s="47" t="s">
        <v>87</v>
      </c>
      <c r="C35" s="63">
        <v>15320</v>
      </c>
      <c r="D35" s="63">
        <v>834</v>
      </c>
      <c r="E35" s="64">
        <f t="shared" si="3"/>
        <v>5.4438642297650129E-2</v>
      </c>
      <c r="F35" s="65">
        <v>25.43</v>
      </c>
      <c r="G35" s="63">
        <v>33</v>
      </c>
      <c r="H35" s="63">
        <v>6480</v>
      </c>
      <c r="I35" s="63">
        <v>1135</v>
      </c>
      <c r="J35" s="63">
        <v>1945</v>
      </c>
      <c r="K35" s="66">
        <f t="shared" si="4"/>
        <v>44.632324026740072</v>
      </c>
      <c r="L35" s="66">
        <f t="shared" si="5"/>
        <v>76.484467164766031</v>
      </c>
      <c r="M35" s="67">
        <f t="shared" si="9"/>
        <v>197.36363636363637</v>
      </c>
      <c r="N35" s="68">
        <f t="shared" si="7"/>
        <v>5.750806080147397</v>
      </c>
      <c r="O35" s="68">
        <f t="shared" si="8"/>
        <v>9.8549055734684465</v>
      </c>
      <c r="Q35" s="23"/>
    </row>
    <row r="36" spans="1:19" ht="14.4">
      <c r="A36" s="5"/>
      <c r="B36" s="47" t="s">
        <v>88</v>
      </c>
      <c r="C36" s="63">
        <f>C35+C50-D50</f>
        <v>14354</v>
      </c>
      <c r="D36" s="63">
        <f>D35+C56-D56</f>
        <v>639</v>
      </c>
      <c r="E36" s="64">
        <f t="shared" si="3"/>
        <v>4.4517207746969482E-2</v>
      </c>
      <c r="F36" s="65">
        <f>M45</f>
        <v>19.57</v>
      </c>
      <c r="G36" s="63">
        <v>33</v>
      </c>
      <c r="H36" s="63">
        <v>6480</v>
      </c>
      <c r="I36" s="63">
        <v>1190</v>
      </c>
      <c r="J36" s="63">
        <v>1430</v>
      </c>
      <c r="K36" s="66">
        <f t="shared" si="4"/>
        <v>60.807358201328562</v>
      </c>
      <c r="L36" s="66">
        <f t="shared" si="5"/>
        <v>73.071027082268785</v>
      </c>
      <c r="M36" s="67">
        <f t="shared" si="9"/>
        <v>197.36363636363637</v>
      </c>
      <c r="N36" s="68">
        <f t="shared" si="7"/>
        <v>6.0294795025333947</v>
      </c>
      <c r="O36" s="68">
        <f t="shared" si="8"/>
        <v>7.2455089820359282</v>
      </c>
      <c r="Q36" s="23"/>
    </row>
    <row r="37" spans="1:19" ht="14.4">
      <c r="A37" s="5"/>
      <c r="C37" s="69"/>
      <c r="D37" s="70"/>
      <c r="E37" s="71"/>
      <c r="F37" s="70"/>
    </row>
    <row r="38" spans="1:19" ht="14.4">
      <c r="A38" s="72"/>
      <c r="B38" s="73" t="s">
        <v>89</v>
      </c>
      <c r="C38" s="6" t="s">
        <v>53</v>
      </c>
      <c r="D38" s="44" t="s">
        <v>7</v>
      </c>
      <c r="E38" s="6" t="s">
        <v>54</v>
      </c>
      <c r="F38" s="44" t="s">
        <v>55</v>
      </c>
      <c r="G38" s="6" t="s">
        <v>56</v>
      </c>
      <c r="H38" s="44" t="s">
        <v>57</v>
      </c>
      <c r="I38" s="3" t="s">
        <v>58</v>
      </c>
      <c r="J38" s="44" t="s">
        <v>59</v>
      </c>
      <c r="K38" s="44" t="s">
        <v>60</v>
      </c>
      <c r="L38" s="44" t="s">
        <v>61</v>
      </c>
      <c r="M38" s="45" t="s">
        <v>45</v>
      </c>
      <c r="N38" s="45" t="s">
        <v>62</v>
      </c>
      <c r="O38" s="45" t="s">
        <v>63</v>
      </c>
    </row>
    <row r="39" spans="1:19" ht="14.4">
      <c r="A39" s="72"/>
      <c r="B39" s="74" t="s">
        <v>90</v>
      </c>
      <c r="C39" s="75">
        <f t="shared" ref="C39:D39" si="10">(C35/C15)^(1/20)-1</f>
        <v>0.12672359377521802</v>
      </c>
      <c r="D39" s="75">
        <f t="shared" si="10"/>
        <v>0.14995221401540038</v>
      </c>
      <c r="E39" s="76">
        <f>MEDIAN(E15:E35)</f>
        <v>6.4532585129447775E-2</v>
      </c>
      <c r="F39" s="75">
        <f>((10*(F35/F15))^(1/20)-1)</f>
        <v>0.15111329432589482</v>
      </c>
      <c r="G39" s="75">
        <f t="shared" ref="G39:H39" si="11">(G35/G15)^(1/20)-1</f>
        <v>0</v>
      </c>
      <c r="H39" s="75">
        <f t="shared" si="11"/>
        <v>0.20312405730023175</v>
      </c>
      <c r="I39" s="75">
        <f t="shared" ref="I39:J39" si="12">((10*(I35/I15))^(1/20)-1)</f>
        <v>0.2751179203858678</v>
      </c>
      <c r="J39" s="75">
        <f t="shared" si="12"/>
        <v>0.24374730853986071</v>
      </c>
      <c r="K39" s="77">
        <f>MEDIAN(K15:K35)</f>
        <v>15.577342047930284</v>
      </c>
      <c r="L39" s="77">
        <f>MEDIAN(L15:L35)</f>
        <v>39.017341040462426</v>
      </c>
      <c r="M39" s="75">
        <f>((10*(M35/M15))^(1/20)-1)</f>
        <v>0.19222848734644682</v>
      </c>
      <c r="N39" s="78">
        <f t="shared" ref="N39:O39" si="13">MEDIAN(N15:N35)</f>
        <v>3.3911547118789898</v>
      </c>
      <c r="O39" s="78">
        <f t="shared" si="13"/>
        <v>5.7661576459095567</v>
      </c>
    </row>
    <row r="40" spans="1:19" ht="14.4">
      <c r="A40" s="72"/>
      <c r="B40" s="79" t="s">
        <v>91</v>
      </c>
      <c r="C40" s="75">
        <f t="shared" ref="C40:D40" si="14">(C35/C25)^(1/10)-1</f>
        <v>0.11160641201958832</v>
      </c>
      <c r="D40" s="75">
        <f t="shared" si="14"/>
        <v>9.7481012527632416E-2</v>
      </c>
      <c r="E40" s="76">
        <f>MEDIAN(E25:E35)</f>
        <v>6.5606694560669462E-2</v>
      </c>
      <c r="F40" s="75">
        <f t="shared" ref="F40:J40" si="15">(F35/F25)^(1/10)-1</f>
        <v>9.8379270482044756E-2</v>
      </c>
      <c r="G40" s="75">
        <f t="shared" si="15"/>
        <v>0</v>
      </c>
      <c r="H40" s="75">
        <f t="shared" si="15"/>
        <v>0.12093763722025974</v>
      </c>
      <c r="I40" s="75">
        <f t="shared" si="15"/>
        <v>0.22553844843673709</v>
      </c>
      <c r="J40" s="75">
        <f t="shared" si="15"/>
        <v>0.20493391605246036</v>
      </c>
      <c r="K40" s="77">
        <f t="shared" ref="K40:L40" si="16">MEDIAN(K25:K35)</f>
        <v>30.749185667752442</v>
      </c>
      <c r="L40" s="77">
        <f t="shared" si="16"/>
        <v>47.408829174664106</v>
      </c>
      <c r="M40" s="75">
        <f>(M35/M25)^(1/10)-1</f>
        <v>0.11973392566258512</v>
      </c>
      <c r="N40" s="78">
        <f t="shared" ref="N40:O40" si="17">MEDIAN(N25:N35)</f>
        <v>3.4894968627772984</v>
      </c>
      <c r="O40" s="78">
        <f t="shared" si="17"/>
        <v>5.7131442269276862</v>
      </c>
    </row>
    <row r="41" spans="1:19" ht="14.4">
      <c r="A41" s="72"/>
      <c r="B41" s="79" t="s">
        <v>92</v>
      </c>
      <c r="C41" s="80">
        <f t="shared" ref="C41:D41" si="18">(C35/C30)^(1/5)-1</f>
        <v>0.1487583486441475</v>
      </c>
      <c r="D41" s="80">
        <f t="shared" si="18"/>
        <v>9.8665951151400089E-2</v>
      </c>
      <c r="E41" s="76">
        <f>MEDIAN(E30:E35)</f>
        <v>5.9485613713548949E-2</v>
      </c>
      <c r="F41" s="80">
        <f t="shared" ref="F41:J41" si="19">(F35/F30)^(1/5)-1</f>
        <v>0.10224332230779254</v>
      </c>
      <c r="G41" s="80">
        <f t="shared" si="19"/>
        <v>0</v>
      </c>
      <c r="H41" s="80">
        <f t="shared" si="19"/>
        <v>8.8167849455959679E-2</v>
      </c>
      <c r="I41" s="80">
        <f t="shared" si="19"/>
        <v>0.20325221425775708</v>
      </c>
      <c r="J41" s="80">
        <f t="shared" si="19"/>
        <v>0.21288682775749934</v>
      </c>
      <c r="K41" s="81">
        <f t="shared" ref="K41:L41" si="20">MEDIAN(K30:K35)</f>
        <v>52.45404776517568</v>
      </c>
      <c r="L41" s="81">
        <f t="shared" si="20"/>
        <v>82.792463391969363</v>
      </c>
      <c r="M41" s="80">
        <f>(M35/M30)^(1/5)-1</f>
        <v>8.7589043076665485E-2</v>
      </c>
      <c r="N41" s="82">
        <f t="shared" ref="N41:O41" si="21">MEDIAN(N30:N35)</f>
        <v>4.349067908824364</v>
      </c>
      <c r="O41" s="82">
        <f t="shared" si="21"/>
        <v>7.7218760040986716</v>
      </c>
    </row>
    <row r="42" spans="1:19" ht="14.4">
      <c r="A42" s="83"/>
      <c r="B42" s="74" t="s">
        <v>93</v>
      </c>
      <c r="C42" s="80">
        <f t="shared" ref="C42:D42" si="22">(C35/C34)-1</f>
        <v>0.2347868138953817</v>
      </c>
      <c r="D42" s="80">
        <f t="shared" si="22"/>
        <v>2.3629032258064515</v>
      </c>
      <c r="E42" s="84">
        <f>E35</f>
        <v>5.4438642297650129E-2</v>
      </c>
      <c r="F42" s="80">
        <f t="shared" ref="F42:J42" si="23">(F35/F34)-1</f>
        <v>2.3372703412073488</v>
      </c>
      <c r="G42" s="80">
        <f t="shared" si="23"/>
        <v>0</v>
      </c>
      <c r="H42" s="80">
        <f t="shared" si="23"/>
        <v>0.11975116640746508</v>
      </c>
      <c r="I42" s="80">
        <f t="shared" si="23"/>
        <v>0.51941097724230256</v>
      </c>
      <c r="J42" s="80">
        <f t="shared" si="23"/>
        <v>0.70763827919227396</v>
      </c>
      <c r="K42" s="81">
        <f t="shared" ref="K42:L42" si="24">K35</f>
        <v>44.632324026740072</v>
      </c>
      <c r="L42" s="81">
        <f t="shared" si="24"/>
        <v>76.484467164766031</v>
      </c>
      <c r="M42" s="80">
        <f>(M35/M34)-1</f>
        <v>0.11907216494845363</v>
      </c>
      <c r="N42" s="85">
        <f t="shared" ref="N42:O42" si="25">N35</f>
        <v>5.750806080147397</v>
      </c>
      <c r="O42" s="85">
        <f t="shared" si="25"/>
        <v>9.8549055734684465</v>
      </c>
    </row>
    <row r="43" spans="1:19" ht="14.4">
      <c r="A43" s="72"/>
    </row>
    <row r="44" spans="1:19" ht="14.4">
      <c r="A44" s="86"/>
      <c r="B44" s="79" t="s">
        <v>94</v>
      </c>
      <c r="C44" s="74" t="s">
        <v>95</v>
      </c>
      <c r="D44" s="74" t="s">
        <v>96</v>
      </c>
      <c r="E44" s="74" t="s">
        <v>97</v>
      </c>
      <c r="F44" s="74" t="s">
        <v>98</v>
      </c>
      <c r="G44" s="74" t="s">
        <v>99</v>
      </c>
      <c r="H44" s="23"/>
      <c r="I44" s="87" t="s">
        <v>100</v>
      </c>
      <c r="J44" s="87" t="s">
        <v>101</v>
      </c>
      <c r="K44" s="87" t="s">
        <v>102</v>
      </c>
      <c r="L44" s="87" t="s">
        <v>98</v>
      </c>
      <c r="M44" s="87" t="s">
        <v>103</v>
      </c>
      <c r="N44" s="23"/>
      <c r="O44" s="88" t="s">
        <v>104</v>
      </c>
      <c r="P44" s="88" t="s">
        <v>105</v>
      </c>
      <c r="Q44" s="88" t="s">
        <v>106</v>
      </c>
      <c r="R44" s="89" t="s">
        <v>107</v>
      </c>
    </row>
    <row r="45" spans="1:19" ht="14.4">
      <c r="A45" s="90"/>
      <c r="B45" s="79" t="s">
        <v>6</v>
      </c>
      <c r="C45" s="91">
        <v>0.28999999999999998</v>
      </c>
      <c r="D45" s="91">
        <v>0.28999999999999998</v>
      </c>
      <c r="E45" s="91">
        <v>0.23</v>
      </c>
      <c r="F45" s="91">
        <v>-0.2</v>
      </c>
      <c r="G45" s="92">
        <v>-7.0000000000000007E-2</v>
      </c>
      <c r="I45" s="93">
        <v>4.05</v>
      </c>
      <c r="J45" s="93">
        <v>3.99</v>
      </c>
      <c r="K45" s="93">
        <v>7.28</v>
      </c>
      <c r="L45" s="93">
        <v>4.25</v>
      </c>
      <c r="M45" s="94">
        <f>SUM(I45:L45)</f>
        <v>19.57</v>
      </c>
      <c r="O45" s="95">
        <v>25.43</v>
      </c>
      <c r="P45" s="95">
        <f>M45</f>
        <v>19.57</v>
      </c>
      <c r="Q45" s="96">
        <f>E67</f>
        <v>18.680585280575535</v>
      </c>
      <c r="R45" s="157">
        <f ca="1">Q47/-17</f>
        <v>-4.2853550878682221</v>
      </c>
    </row>
    <row r="46" spans="1:19" ht="14.4">
      <c r="A46" s="90"/>
      <c r="B46" s="79" t="s">
        <v>108</v>
      </c>
      <c r="C46" s="97">
        <v>6.2E-2</v>
      </c>
      <c r="D46" s="97">
        <v>5.6000000000000001E-2</v>
      </c>
      <c r="E46" s="97">
        <v>5.3999999999999999E-2</v>
      </c>
      <c r="F46" s="97">
        <v>3.5999999999999997E-2</v>
      </c>
      <c r="G46" s="98">
        <v>5.1999999999999998E-2</v>
      </c>
      <c r="O46" s="88" t="s">
        <v>109</v>
      </c>
      <c r="P46" s="88" t="s">
        <v>109</v>
      </c>
      <c r="Q46" s="88" t="s">
        <v>110</v>
      </c>
      <c r="R46" s="158"/>
      <c r="S46" s="99"/>
    </row>
    <row r="47" spans="1:19" ht="14.4">
      <c r="A47" s="90"/>
      <c r="B47" s="79" t="s">
        <v>7</v>
      </c>
      <c r="C47" s="91">
        <v>1.84</v>
      </c>
      <c r="D47" s="91">
        <v>3.36</v>
      </c>
      <c r="E47" s="91">
        <v>2.36</v>
      </c>
      <c r="F47" s="91">
        <v>-0.57999999999999996</v>
      </c>
      <c r="G47" s="100">
        <v>-0.27</v>
      </c>
      <c r="N47" s="46"/>
      <c r="O47" s="101">
        <f>C4/O45</f>
        <v>57.361384191899333</v>
      </c>
      <c r="P47" s="101">
        <f ca="1">C3/P45</f>
        <v>69.540112416964746</v>
      </c>
      <c r="Q47" s="101">
        <f ca="1">C3/Q45</f>
        <v>72.851036493759779</v>
      </c>
      <c r="R47" s="159"/>
    </row>
    <row r="48" spans="1:19" ht="14.4">
      <c r="A48" s="72"/>
      <c r="N48" s="102"/>
    </row>
    <row r="49" spans="1:27" ht="14.4">
      <c r="A49" s="83"/>
      <c r="B49" s="74" t="s">
        <v>111</v>
      </c>
      <c r="C49" s="74" t="s">
        <v>98</v>
      </c>
      <c r="D49" s="74" t="s">
        <v>112</v>
      </c>
      <c r="E49" s="79" t="s">
        <v>113</v>
      </c>
      <c r="G49" s="74" t="s">
        <v>111</v>
      </c>
      <c r="H49" s="74" t="s">
        <v>102</v>
      </c>
      <c r="I49" s="74" t="s">
        <v>114</v>
      </c>
      <c r="J49" s="79" t="s">
        <v>113</v>
      </c>
      <c r="L49" s="74" t="s">
        <v>111</v>
      </c>
      <c r="M49" s="74" t="s">
        <v>97</v>
      </c>
      <c r="N49" s="74" t="s">
        <v>115</v>
      </c>
      <c r="O49" s="79" t="s">
        <v>113</v>
      </c>
      <c r="Q49" s="103" t="s">
        <v>116</v>
      </c>
      <c r="R49" s="74" t="s">
        <v>98</v>
      </c>
      <c r="S49" s="74" t="s">
        <v>112</v>
      </c>
      <c r="T49" s="104" t="s">
        <v>117</v>
      </c>
      <c r="U49" s="104" t="s">
        <v>113</v>
      </c>
      <c r="W49" s="74" t="s">
        <v>118</v>
      </c>
      <c r="X49" s="74" t="s">
        <v>98</v>
      </c>
      <c r="Y49" s="74" t="s">
        <v>112</v>
      </c>
      <c r="Z49" s="104" t="s">
        <v>117</v>
      </c>
      <c r="AA49" s="104" t="s">
        <v>113</v>
      </c>
    </row>
    <row r="50" spans="1:27" ht="14.4">
      <c r="A50" s="86"/>
      <c r="B50" s="79" t="s">
        <v>53</v>
      </c>
      <c r="C50" s="105">
        <v>3938</v>
      </c>
      <c r="D50" s="105">
        <v>4904</v>
      </c>
      <c r="E50" s="106">
        <f t="shared" ref="E50:E57" si="26">(C50/D50)^(1/1)-1</f>
        <v>-0.19698205546492664</v>
      </c>
      <c r="G50" s="79" t="s">
        <v>53</v>
      </c>
      <c r="H50" s="105">
        <v>4728</v>
      </c>
      <c r="I50" s="105">
        <v>4192</v>
      </c>
      <c r="J50" s="106">
        <f t="shared" ref="J50:J54" si="27">(H50/I50)^(1/1)-1</f>
        <v>0.12786259541984735</v>
      </c>
      <c r="L50" s="79" t="s">
        <v>53</v>
      </c>
      <c r="M50" s="105">
        <v>15320</v>
      </c>
      <c r="N50" s="105">
        <v>12407</v>
      </c>
      <c r="O50" s="106">
        <f t="shared" ref="O50:O57" si="28">(M50/N50)^(1/1)-1</f>
        <v>0.2347868138953817</v>
      </c>
      <c r="Q50" s="87" t="s">
        <v>119</v>
      </c>
      <c r="R50" s="107">
        <v>2868</v>
      </c>
      <c r="S50" s="107">
        <v>3802</v>
      </c>
      <c r="T50" s="80">
        <f t="shared" ref="T50:T52" si="29">R50/$R$54</f>
        <v>0.73051451859398875</v>
      </c>
      <c r="U50" s="92">
        <f t="shared" ref="U50:U52" si="30">(R50/S50)^(1/1)-1</f>
        <v>-0.2456601788532351</v>
      </c>
      <c r="W50" s="87" t="s">
        <v>120</v>
      </c>
      <c r="X50" s="107">
        <v>2210</v>
      </c>
      <c r="Y50" s="107">
        <v>1722</v>
      </c>
      <c r="Z50" s="80">
        <f t="shared" ref="Z50:Z56" si="31">X50/$X$58</f>
        <v>0.58265225415238597</v>
      </c>
      <c r="AA50" s="92">
        <f t="shared" ref="AA50:AA56" si="32">(X50/Y50)^(1/1)-1</f>
        <v>0.28339140534262475</v>
      </c>
    </row>
    <row r="51" spans="1:27" ht="14.4">
      <c r="A51" s="86"/>
      <c r="B51" s="79" t="s">
        <v>121</v>
      </c>
      <c r="C51" s="105">
        <v>3792</v>
      </c>
      <c r="D51" s="108">
        <v>4520</v>
      </c>
      <c r="E51" s="106">
        <f t="shared" si="26"/>
        <v>-0.16106194690265485</v>
      </c>
      <c r="G51" s="79" t="s">
        <v>121</v>
      </c>
      <c r="H51" s="105">
        <v>4472</v>
      </c>
      <c r="I51" s="108">
        <v>4045</v>
      </c>
      <c r="J51" s="106">
        <f t="shared" si="27"/>
        <v>0.10556242274412853</v>
      </c>
      <c r="L51" s="79" t="s">
        <v>121</v>
      </c>
      <c r="M51" s="105">
        <v>14420</v>
      </c>
      <c r="N51" s="108">
        <v>12110</v>
      </c>
      <c r="O51" s="106">
        <f t="shared" si="28"/>
        <v>0.19075144508670516</v>
      </c>
      <c r="Q51" s="87" t="s">
        <v>122</v>
      </c>
      <c r="R51" s="107">
        <v>922</v>
      </c>
      <c r="S51" s="109">
        <v>949</v>
      </c>
      <c r="T51" s="80">
        <f t="shared" si="29"/>
        <v>0.2348446255731024</v>
      </c>
      <c r="U51" s="92">
        <f t="shared" si="30"/>
        <v>-2.8451001053740765E-2</v>
      </c>
      <c r="W51" s="104" t="s">
        <v>123</v>
      </c>
      <c r="X51" s="107">
        <v>1118</v>
      </c>
      <c r="Y51" s="109">
        <v>1652</v>
      </c>
      <c r="Z51" s="80">
        <f t="shared" si="31"/>
        <v>0.29475349327708938</v>
      </c>
      <c r="AA51" s="92">
        <f t="shared" si="32"/>
        <v>-0.32324455205811142</v>
      </c>
    </row>
    <row r="52" spans="1:27" ht="14.4">
      <c r="A52" s="110"/>
      <c r="B52" s="74" t="s">
        <v>124</v>
      </c>
      <c r="C52" s="105">
        <f t="shared" ref="C52:D52" si="33">C50-(X50+X51+X52+X53+X56)</f>
        <v>176</v>
      </c>
      <c r="D52" s="105">
        <f t="shared" si="33"/>
        <v>407</v>
      </c>
      <c r="E52" s="106">
        <f t="shared" si="26"/>
        <v>-0.56756756756756754</v>
      </c>
      <c r="G52" s="79" t="s">
        <v>125</v>
      </c>
      <c r="H52" s="105">
        <v>23</v>
      </c>
      <c r="I52" s="108">
        <v>21</v>
      </c>
      <c r="J52" s="106">
        <f t="shared" si="27"/>
        <v>9.5238095238095344E-2</v>
      </c>
      <c r="L52" s="74" t="s">
        <v>124</v>
      </c>
      <c r="M52" s="105">
        <f t="shared" ref="M52:N52" si="34">M50-(Z60+Z61+Z62+Z63+Z66)</f>
        <v>15320</v>
      </c>
      <c r="N52" s="105">
        <f t="shared" si="34"/>
        <v>12407</v>
      </c>
      <c r="O52" s="106">
        <f t="shared" si="28"/>
        <v>0.2347868138953817</v>
      </c>
      <c r="Q52" s="87" t="s">
        <v>126</v>
      </c>
      <c r="R52" s="107">
        <v>136</v>
      </c>
      <c r="S52" s="109">
        <v>161</v>
      </c>
      <c r="T52" s="80">
        <f t="shared" si="29"/>
        <v>3.4640855832908816E-2</v>
      </c>
      <c r="U52" s="92">
        <f t="shared" si="30"/>
        <v>-0.15527950310559002</v>
      </c>
      <c r="W52" s="104" t="s">
        <v>127</v>
      </c>
      <c r="X52" s="107">
        <v>-247</v>
      </c>
      <c r="Y52" s="109">
        <v>518</v>
      </c>
      <c r="Z52" s="80">
        <f t="shared" si="31"/>
        <v>-6.5119957817031379E-2</v>
      </c>
      <c r="AA52" s="92">
        <f t="shared" si="32"/>
        <v>-1.4768339768339769</v>
      </c>
    </row>
    <row r="53" spans="1:27" ht="14.4">
      <c r="A53" s="72"/>
      <c r="B53" s="79" t="s">
        <v>125</v>
      </c>
      <c r="C53" s="105">
        <v>13</v>
      </c>
      <c r="D53" s="108">
        <v>10</v>
      </c>
      <c r="E53" s="106">
        <f t="shared" si="26"/>
        <v>0.30000000000000004</v>
      </c>
      <c r="F53" s="111"/>
      <c r="G53" s="79" t="s">
        <v>128</v>
      </c>
      <c r="H53" s="105">
        <v>235</v>
      </c>
      <c r="I53" s="108">
        <v>111</v>
      </c>
      <c r="J53" s="106">
        <f t="shared" si="27"/>
        <v>1.1171171171171173</v>
      </c>
      <c r="L53" s="79" t="s">
        <v>125</v>
      </c>
      <c r="M53" s="105">
        <v>65</v>
      </c>
      <c r="N53" s="108">
        <v>56</v>
      </c>
      <c r="O53" s="106">
        <f t="shared" si="28"/>
        <v>0.16071428571428581</v>
      </c>
      <c r="W53" s="104" t="s">
        <v>129</v>
      </c>
      <c r="X53" s="107">
        <v>231</v>
      </c>
      <c r="Y53" s="107">
        <v>202</v>
      </c>
      <c r="Z53" s="80">
        <f t="shared" si="31"/>
        <v>6.0901660954389668E-2</v>
      </c>
      <c r="AA53" s="92">
        <f t="shared" si="32"/>
        <v>0.14356435643564347</v>
      </c>
    </row>
    <row r="54" spans="1:27" ht="14.4">
      <c r="A54" s="72"/>
      <c r="B54" s="74" t="s">
        <v>130</v>
      </c>
      <c r="C54" s="112">
        <f t="shared" ref="C54:D54" si="35">C52-C53</f>
        <v>163</v>
      </c>
      <c r="D54" s="112">
        <f t="shared" si="35"/>
        <v>397</v>
      </c>
      <c r="E54" s="106">
        <f t="shared" si="26"/>
        <v>-0.58942065491183881</v>
      </c>
      <c r="G54" s="79" t="s">
        <v>55</v>
      </c>
      <c r="H54" s="105">
        <v>7.28</v>
      </c>
      <c r="I54" s="108">
        <v>3.52</v>
      </c>
      <c r="J54" s="106">
        <f t="shared" si="27"/>
        <v>1.0681818181818183</v>
      </c>
      <c r="L54" s="74" t="s">
        <v>130</v>
      </c>
      <c r="M54" s="112">
        <f t="shared" ref="M54:N54" si="36">M52-M53</f>
        <v>15255</v>
      </c>
      <c r="N54" s="112">
        <f t="shared" si="36"/>
        <v>12351</v>
      </c>
      <c r="O54" s="106">
        <f t="shared" si="28"/>
        <v>0.23512266213262079</v>
      </c>
      <c r="Q54" s="113" t="s">
        <v>131</v>
      </c>
      <c r="R54" s="114">
        <f t="shared" ref="R54:S54" si="37">SUM(R50:R52)</f>
        <v>3926</v>
      </c>
      <c r="S54" s="114">
        <f t="shared" si="37"/>
        <v>4912</v>
      </c>
      <c r="T54" s="80">
        <f>R54/$R$54</f>
        <v>1</v>
      </c>
      <c r="U54" s="115">
        <f>(R54/S54)^(1/1)-1</f>
        <v>-0.20073289902280134</v>
      </c>
      <c r="W54" s="104" t="s">
        <v>132</v>
      </c>
      <c r="X54" s="107">
        <v>13</v>
      </c>
      <c r="Y54" s="109">
        <v>10</v>
      </c>
      <c r="Z54" s="80">
        <f t="shared" si="31"/>
        <v>3.4273662008963879E-3</v>
      </c>
      <c r="AA54" s="92">
        <f t="shared" si="32"/>
        <v>0.30000000000000004</v>
      </c>
    </row>
    <row r="55" spans="1:27" ht="14.4">
      <c r="A55" s="72"/>
      <c r="B55" s="74" t="s">
        <v>133</v>
      </c>
      <c r="C55" s="112">
        <f t="shared" ref="C55:D55" si="38">C54-X55</f>
        <v>145</v>
      </c>
      <c r="D55" s="112">
        <f t="shared" si="38"/>
        <v>384</v>
      </c>
      <c r="E55" s="106">
        <f t="shared" si="26"/>
        <v>-0.62239583333333326</v>
      </c>
      <c r="G55" s="79" t="s">
        <v>54</v>
      </c>
      <c r="H55" s="116">
        <f t="shared" ref="H55:I55" si="39">H53/H50</f>
        <v>4.970389170896785E-2</v>
      </c>
      <c r="I55" s="116">
        <f t="shared" si="39"/>
        <v>2.6479007633587785E-2</v>
      </c>
      <c r="J55" s="117">
        <f t="shared" ref="J55:J56" si="40">H55-I55</f>
        <v>2.3224884075380064E-2</v>
      </c>
      <c r="L55" s="74" t="s">
        <v>133</v>
      </c>
      <c r="M55" s="112">
        <f t="shared" ref="M55:N55" si="41">M54-Z65</f>
        <v>15255</v>
      </c>
      <c r="N55" s="112">
        <f t="shared" si="41"/>
        <v>12351</v>
      </c>
      <c r="O55" s="106">
        <f t="shared" si="28"/>
        <v>0.23512266213262079</v>
      </c>
      <c r="S55" s="102"/>
      <c r="W55" s="104" t="s">
        <v>134</v>
      </c>
      <c r="X55" s="107">
        <v>18</v>
      </c>
      <c r="Y55" s="109">
        <v>13</v>
      </c>
      <c r="Z55" s="80">
        <f t="shared" si="31"/>
        <v>4.7455839704719218E-3</v>
      </c>
      <c r="AA55" s="92">
        <f t="shared" si="32"/>
        <v>0.38461538461538458</v>
      </c>
    </row>
    <row r="56" spans="1:27" ht="14.4">
      <c r="A56" s="72"/>
      <c r="B56" s="79" t="s">
        <v>128</v>
      </c>
      <c r="C56" s="105">
        <v>140</v>
      </c>
      <c r="D56" s="108">
        <v>335</v>
      </c>
      <c r="E56" s="106">
        <f t="shared" si="26"/>
        <v>-0.58208955223880599</v>
      </c>
      <c r="G56" s="79" t="s">
        <v>39</v>
      </c>
      <c r="H56" s="118">
        <f t="shared" ref="H56:I56" si="42">(H50-H51+H52)/H52</f>
        <v>12.130434782608695</v>
      </c>
      <c r="I56" s="118">
        <f t="shared" si="42"/>
        <v>8</v>
      </c>
      <c r="J56" s="119">
        <f t="shared" si="40"/>
        <v>4.1304347826086953</v>
      </c>
      <c r="L56" s="79" t="s">
        <v>128</v>
      </c>
      <c r="M56" s="105">
        <v>834</v>
      </c>
      <c r="N56" s="108">
        <v>248</v>
      </c>
      <c r="O56" s="106">
        <f t="shared" si="28"/>
        <v>2.3629032258064515</v>
      </c>
      <c r="Q56" s="104" t="s">
        <v>135</v>
      </c>
      <c r="R56" s="87" t="s">
        <v>136</v>
      </c>
      <c r="S56" s="87" t="s">
        <v>137</v>
      </c>
      <c r="T56" s="87" t="s">
        <v>26</v>
      </c>
      <c r="W56" s="104" t="s">
        <v>138</v>
      </c>
      <c r="X56" s="109">
        <v>450</v>
      </c>
      <c r="Y56" s="109">
        <v>403</v>
      </c>
      <c r="Z56" s="80">
        <f t="shared" si="31"/>
        <v>0.11863959926179805</v>
      </c>
      <c r="AA56" s="92">
        <f t="shared" si="32"/>
        <v>0.11662531017369737</v>
      </c>
    </row>
    <row r="57" spans="1:27" ht="14.4">
      <c r="A57" s="72"/>
      <c r="B57" s="79" t="s">
        <v>55</v>
      </c>
      <c r="C57" s="105">
        <v>4.25</v>
      </c>
      <c r="D57" s="108">
        <v>10.1</v>
      </c>
      <c r="E57" s="106">
        <f t="shared" si="26"/>
        <v>-0.57920792079207917</v>
      </c>
      <c r="G57" s="79" t="s">
        <v>39</v>
      </c>
      <c r="H57" s="118">
        <f t="shared" ref="H57:I57" si="43">(H50-H51+H52)/H52</f>
        <v>12.130434782608695</v>
      </c>
      <c r="I57" s="118">
        <f t="shared" si="43"/>
        <v>8</v>
      </c>
      <c r="J57" s="106">
        <f>(H57/I57)^(1/1)-1</f>
        <v>0.51630434782608692</v>
      </c>
      <c r="L57" s="79" t="s">
        <v>55</v>
      </c>
      <c r="M57" s="105">
        <v>25.43</v>
      </c>
      <c r="N57" s="108">
        <v>7.62</v>
      </c>
      <c r="O57" s="106">
        <f t="shared" si="28"/>
        <v>2.3372703412073488</v>
      </c>
      <c r="P57" s="120"/>
      <c r="Q57" s="121" t="s">
        <v>139</v>
      </c>
      <c r="R57" s="122">
        <v>25</v>
      </c>
      <c r="S57" s="123">
        <v>30</v>
      </c>
      <c r="T57" s="91">
        <f t="shared" ref="T57:T61" si="44">S57/R57-1</f>
        <v>0.19999999999999996</v>
      </c>
      <c r="W57" s="104"/>
      <c r="X57" s="124"/>
      <c r="Y57" s="124"/>
      <c r="Z57" s="125"/>
      <c r="AA57" s="92"/>
    </row>
    <row r="58" spans="1:27" ht="14.4">
      <c r="A58" s="86"/>
      <c r="B58" s="74" t="s">
        <v>140</v>
      </c>
      <c r="C58" s="116">
        <f t="shared" ref="C58:D58" si="45">C54/C51</f>
        <v>4.2985232067510551E-2</v>
      </c>
      <c r="D58" s="116">
        <f t="shared" si="45"/>
        <v>8.7831858407079647E-2</v>
      </c>
      <c r="E58" s="117">
        <f t="shared" ref="E58:E60" si="46">C58-D58</f>
        <v>-4.4846626339569096E-2</v>
      </c>
      <c r="H58" s="99"/>
      <c r="I58" s="126"/>
      <c r="L58" s="74" t="s">
        <v>140</v>
      </c>
      <c r="M58" s="116">
        <f t="shared" ref="M58:N58" si="47">M54/M51</f>
        <v>1.0579056865464633</v>
      </c>
      <c r="N58" s="116">
        <f t="shared" si="47"/>
        <v>1.0199009083402146</v>
      </c>
      <c r="O58" s="117">
        <f t="shared" ref="O58:O60" si="48">M58-N58</f>
        <v>3.8004778206248702E-2</v>
      </c>
      <c r="Q58" s="121" t="s">
        <v>141</v>
      </c>
      <c r="R58" s="122">
        <v>27</v>
      </c>
      <c r="S58" s="123">
        <v>31.7</v>
      </c>
      <c r="T58" s="91">
        <f t="shared" si="44"/>
        <v>0.17407407407407405</v>
      </c>
      <c r="W58" s="113" t="s">
        <v>131</v>
      </c>
      <c r="X58" s="114">
        <f t="shared" ref="X58:Y58" si="49">SUM(X50:X56)</f>
        <v>3793</v>
      </c>
      <c r="Y58" s="114">
        <f t="shared" si="49"/>
        <v>4520</v>
      </c>
      <c r="Z58" s="127">
        <f>X58/$X$58</f>
        <v>1</v>
      </c>
      <c r="AA58" s="115">
        <f>(X58/Y58)^(1/1)-1</f>
        <v>-0.16084070796460181</v>
      </c>
    </row>
    <row r="59" spans="1:27" ht="14.4">
      <c r="A59" s="5"/>
      <c r="B59" s="79" t="s">
        <v>54</v>
      </c>
      <c r="C59" s="116">
        <f t="shared" ref="C59:D59" si="50">C56/C50</f>
        <v>3.5551041137633313E-2</v>
      </c>
      <c r="D59" s="116">
        <f t="shared" si="50"/>
        <v>6.8311582381729199E-2</v>
      </c>
      <c r="E59" s="117">
        <f t="shared" si="46"/>
        <v>-3.2760541244095887E-2</v>
      </c>
      <c r="H59" s="99"/>
      <c r="I59" s="126"/>
      <c r="L59" s="79" t="s">
        <v>54</v>
      </c>
      <c r="M59" s="116">
        <f t="shared" ref="M59:N59" si="51">M56/M50</f>
        <v>5.4438642297650129E-2</v>
      </c>
      <c r="N59" s="116">
        <f t="shared" si="51"/>
        <v>1.99887160473926E-2</v>
      </c>
      <c r="O59" s="117">
        <f t="shared" si="48"/>
        <v>3.4449926250257529E-2</v>
      </c>
      <c r="Q59" s="121" t="s">
        <v>142</v>
      </c>
      <c r="R59" s="122">
        <v>0.01</v>
      </c>
      <c r="S59" s="122">
        <v>21.58</v>
      </c>
      <c r="T59" s="91">
        <f t="shared" si="44"/>
        <v>2157</v>
      </c>
    </row>
    <row r="60" spans="1:27" ht="14.4">
      <c r="A60" s="5"/>
      <c r="B60" s="79" t="s">
        <v>39</v>
      </c>
      <c r="C60" s="118">
        <f t="shared" ref="C60:D60" si="52">(C50-C51+C53)/C53</f>
        <v>12.23076923076923</v>
      </c>
      <c r="D60" s="118">
        <f t="shared" si="52"/>
        <v>39.4</v>
      </c>
      <c r="E60" s="119">
        <f t="shared" si="46"/>
        <v>-27.169230769230769</v>
      </c>
      <c r="L60" s="79" t="s">
        <v>39</v>
      </c>
      <c r="M60" s="118">
        <f t="shared" ref="M60:N60" si="53">(M50-M51+M53)/M53</f>
        <v>14.846153846153847</v>
      </c>
      <c r="N60" s="118">
        <f t="shared" si="53"/>
        <v>6.3035714285714288</v>
      </c>
      <c r="O60" s="119">
        <f t="shared" si="48"/>
        <v>8.5425824175824179</v>
      </c>
      <c r="Q60" s="121" t="s">
        <v>143</v>
      </c>
      <c r="R60" s="122">
        <v>31.08</v>
      </c>
      <c r="S60" s="123">
        <v>13.3</v>
      </c>
      <c r="T60" s="91">
        <f t="shared" si="44"/>
        <v>-0.572072072072072</v>
      </c>
    </row>
    <row r="61" spans="1:27" ht="14.4">
      <c r="A61" s="5"/>
      <c r="H61" s="46"/>
      <c r="N61" s="23"/>
      <c r="Q61" s="121" t="s">
        <v>144</v>
      </c>
      <c r="R61" s="122">
        <v>17</v>
      </c>
      <c r="S61" s="123">
        <v>3.5</v>
      </c>
      <c r="T61" s="91">
        <f t="shared" si="44"/>
        <v>-0.79411764705882359</v>
      </c>
    </row>
    <row r="62" spans="1:27" ht="14.4">
      <c r="A62" s="5"/>
      <c r="B62" s="74" t="s">
        <v>145</v>
      </c>
      <c r="C62" s="79" t="s">
        <v>53</v>
      </c>
      <c r="D62" s="79" t="s">
        <v>7</v>
      </c>
      <c r="E62" s="74" t="s">
        <v>55</v>
      </c>
      <c r="F62" s="79" t="s">
        <v>108</v>
      </c>
      <c r="H62" s="46"/>
      <c r="N62" s="23"/>
    </row>
    <row r="63" spans="1:27" ht="14.4">
      <c r="A63" s="5"/>
      <c r="B63" s="74" t="s">
        <v>146</v>
      </c>
      <c r="C63" s="128">
        <v>0.15</v>
      </c>
      <c r="D63" s="128">
        <v>0.15</v>
      </c>
      <c r="E63" s="128">
        <v>0.15</v>
      </c>
      <c r="F63" s="129">
        <f>AVERAGE(E39:E42)</f>
        <v>6.1015883925329077E-2</v>
      </c>
      <c r="N63" s="23"/>
      <c r="Q63" s="130" t="s">
        <v>131</v>
      </c>
      <c r="R63" s="131">
        <f t="shared" ref="R63:S63" si="54">SUM(R57:R61)</f>
        <v>100.09</v>
      </c>
      <c r="S63" s="131">
        <f t="shared" si="54"/>
        <v>100.08</v>
      </c>
      <c r="T63" s="132">
        <f>S63/R63-1</f>
        <v>-9.9910080927245737E-5</v>
      </c>
    </row>
    <row r="64" spans="1:27" ht="14.4">
      <c r="A64" s="5"/>
      <c r="B64" s="74" t="s">
        <v>147</v>
      </c>
      <c r="C64" s="133">
        <v>-7.0000000000000007E-2</v>
      </c>
      <c r="D64" s="133">
        <f>(D67/D35)-1</f>
        <v>-0.26541151079136704</v>
      </c>
      <c r="E64" s="133">
        <f>D64</f>
        <v>-0.26541151079136704</v>
      </c>
      <c r="F64" s="134">
        <v>4.2999999999999997E-2</v>
      </c>
      <c r="H64" s="120"/>
      <c r="N64" s="23"/>
    </row>
    <row r="65" spans="1:14" ht="14.4">
      <c r="A65" s="5"/>
      <c r="D65" s="102"/>
      <c r="N65" s="23"/>
    </row>
    <row r="66" spans="1:14" ht="14.4">
      <c r="A66" s="5"/>
      <c r="B66" s="79" t="s">
        <v>148</v>
      </c>
      <c r="C66" s="79" t="s">
        <v>53</v>
      </c>
      <c r="D66" s="79" t="s">
        <v>128</v>
      </c>
      <c r="E66" s="79" t="s">
        <v>55</v>
      </c>
      <c r="F66" s="79" t="s">
        <v>149</v>
      </c>
      <c r="G66" s="79" t="s">
        <v>150</v>
      </c>
      <c r="H66" s="79" t="s">
        <v>151</v>
      </c>
      <c r="I66" s="79" t="s">
        <v>152</v>
      </c>
      <c r="J66" s="79" t="s">
        <v>150</v>
      </c>
      <c r="K66" s="79" t="s">
        <v>153</v>
      </c>
      <c r="L66" s="79" t="s">
        <v>152</v>
      </c>
      <c r="M66" s="79" t="s">
        <v>154</v>
      </c>
    </row>
    <row r="67" spans="1:14" ht="14.4">
      <c r="A67" s="5"/>
      <c r="B67" s="74" t="s">
        <v>155</v>
      </c>
      <c r="C67" s="135">
        <f>FV(C64,1,0,-C35,0)</f>
        <v>14247.599999999999</v>
      </c>
      <c r="D67" s="135">
        <f>C67*F64</f>
        <v>612.64679999999987</v>
      </c>
      <c r="E67" s="136">
        <f>FV(E64,1,0,-F35,0)</f>
        <v>18.680585280575535</v>
      </c>
      <c r="F67" s="137">
        <f>(E67*75%)+M35</f>
        <v>211.37407532406803</v>
      </c>
      <c r="G67" s="138">
        <f t="shared" ref="G67:G69" si="55">25*E67</f>
        <v>467.01463201438838</v>
      </c>
      <c r="H67" s="139">
        <f t="shared" ref="H67:H69" si="56">AVERAGE(G67,I67)</f>
        <v>887.32780082733791</v>
      </c>
      <c r="I67" s="139">
        <f t="shared" ref="I67:I69" si="57">70*E67</f>
        <v>1307.6409696402875</v>
      </c>
      <c r="J67" s="140">
        <f t="shared" ref="J67:J69" si="58">3.8*F67</f>
        <v>803.22148623145847</v>
      </c>
      <c r="K67" s="139">
        <f t="shared" ref="K67:K69" si="59">AVERAGE(J67,L67)</f>
        <v>1299.9505632430185</v>
      </c>
      <c r="L67" s="140">
        <f t="shared" ref="L67:L69" si="60">8.5*F67</f>
        <v>1796.6796402545783</v>
      </c>
      <c r="M67" s="139">
        <f t="shared" ref="M67:M69" si="61">H67*60%+K67*40%</f>
        <v>1052.3769057936101</v>
      </c>
    </row>
    <row r="68" spans="1:14" ht="14.4">
      <c r="A68" s="5"/>
      <c r="B68" s="74" t="s">
        <v>156</v>
      </c>
      <c r="C68" s="135">
        <f>FV(C63,4,0,-C67,0)</f>
        <v>24919.141447499991</v>
      </c>
      <c r="D68" s="135">
        <f>C68*F63</f>
        <v>1520.4634420795162</v>
      </c>
      <c r="E68" s="136">
        <f>(D68*E67)/D67</f>
        <v>46.361373299858627</v>
      </c>
      <c r="F68" s="141">
        <f>FV(11%,4,0,-F67,0)</f>
        <v>320.8807291905789</v>
      </c>
      <c r="G68" s="138">
        <f t="shared" si="55"/>
        <v>1159.0343324964656</v>
      </c>
      <c r="H68" s="139">
        <f t="shared" si="56"/>
        <v>2202.1652317432845</v>
      </c>
      <c r="I68" s="139">
        <f t="shared" si="57"/>
        <v>3245.2961309901038</v>
      </c>
      <c r="J68" s="140">
        <f t="shared" si="58"/>
        <v>1219.3467709241997</v>
      </c>
      <c r="K68" s="139">
        <f t="shared" si="59"/>
        <v>1973.4164845220603</v>
      </c>
      <c r="L68" s="140">
        <f t="shared" si="60"/>
        <v>2727.4861981199206</v>
      </c>
      <c r="M68" s="139">
        <f t="shared" si="61"/>
        <v>2110.6657328547949</v>
      </c>
    </row>
    <row r="69" spans="1:14" ht="14.4">
      <c r="A69" s="5"/>
      <c r="B69" s="87" t="s">
        <v>157</v>
      </c>
      <c r="C69" s="142">
        <f t="shared" ref="C69:E69" si="62">FV(C63,5,0,-C68,0)</f>
        <v>50121.294256758243</v>
      </c>
      <c r="D69" s="142">
        <f t="shared" si="62"/>
        <v>3058.1950725576239</v>
      </c>
      <c r="E69" s="143">
        <f t="shared" si="62"/>
        <v>93.249281409041217</v>
      </c>
      <c r="F69" s="144">
        <f>FV(11%,5,0,-F68,0)</f>
        <v>540.70268953701975</v>
      </c>
      <c r="G69" s="138">
        <f t="shared" si="55"/>
        <v>2331.2320352260303</v>
      </c>
      <c r="H69" s="139">
        <f t="shared" si="56"/>
        <v>4429.3408669294577</v>
      </c>
      <c r="I69" s="139">
        <f t="shared" si="57"/>
        <v>6527.449698632885</v>
      </c>
      <c r="J69" s="140">
        <f t="shared" si="58"/>
        <v>2054.670220240675</v>
      </c>
      <c r="K69" s="139">
        <f t="shared" si="59"/>
        <v>3325.3215406526715</v>
      </c>
      <c r="L69" s="140">
        <f t="shared" si="60"/>
        <v>4595.972861064668</v>
      </c>
      <c r="M69" s="139">
        <f t="shared" si="61"/>
        <v>3987.733136418743</v>
      </c>
    </row>
    <row r="70" spans="1:14" ht="14.4">
      <c r="A70" s="1"/>
      <c r="N70" s="23"/>
    </row>
    <row r="71" spans="1:14" ht="14.4">
      <c r="A71" s="86"/>
      <c r="B71" s="74" t="s">
        <v>158</v>
      </c>
      <c r="C71" s="74" t="s">
        <v>159</v>
      </c>
      <c r="D71" s="74" t="s">
        <v>160</v>
      </c>
      <c r="E71" s="74" t="s">
        <v>161</v>
      </c>
      <c r="F71" s="74" t="s">
        <v>162</v>
      </c>
      <c r="N71" s="23"/>
    </row>
    <row r="72" spans="1:14" ht="14.4">
      <c r="A72" s="86"/>
      <c r="B72" s="6" t="s">
        <v>24</v>
      </c>
      <c r="C72" s="145">
        <f ca="1">IFERROR(__xludf.DUMMYFUNCTION("GOOGLEFINANCE(""NSE:""&amp;B72,""price"")"),1360.9)</f>
        <v>1360.9</v>
      </c>
      <c r="D72" s="146">
        <v>1.35E-2</v>
      </c>
      <c r="E72" s="147">
        <f ca="1">IFERROR(MAX(0.25, MIN(1,0.75 - 0.3*((C72/M67)-1))),"")</f>
        <v>0.66204963948527673</v>
      </c>
      <c r="F72" s="148">
        <f ca="1">D72*E72</f>
        <v>8.9376701330512349E-3</v>
      </c>
      <c r="N72" s="2"/>
    </row>
    <row r="73" spans="1:14" ht="14.4">
      <c r="A73" s="86"/>
      <c r="K73" s="23"/>
      <c r="L73" s="149"/>
    </row>
    <row r="74" spans="1:14" ht="14.4">
      <c r="A74" s="86"/>
      <c r="B74" s="23"/>
      <c r="K74" s="23"/>
      <c r="L74" s="149"/>
    </row>
    <row r="75" spans="1:14" ht="14.4">
      <c r="A75" s="86"/>
      <c r="B75" s="23"/>
      <c r="D75" s="46"/>
      <c r="E75" s="46"/>
      <c r="F75" s="120"/>
      <c r="K75" s="23"/>
      <c r="L75" s="149"/>
    </row>
    <row r="76" spans="1:14" ht="14.4">
      <c r="A76" s="86"/>
      <c r="B76" s="23"/>
      <c r="K76" s="23"/>
      <c r="L76" s="149"/>
    </row>
    <row r="77" spans="1:14" ht="14.4">
      <c r="A77" s="86"/>
      <c r="B77" s="23"/>
      <c r="D77" s="46"/>
      <c r="E77" s="46"/>
      <c r="F77" s="120"/>
    </row>
    <row r="78" spans="1:14" ht="14.4">
      <c r="A78" s="86"/>
      <c r="B78" s="23"/>
    </row>
    <row r="79" spans="1:14" ht="14.4">
      <c r="A79" s="86"/>
      <c r="B79" s="23"/>
      <c r="D79" s="46"/>
      <c r="E79" s="46"/>
      <c r="F79" s="120"/>
    </row>
    <row r="80" spans="1:14" ht="14.4">
      <c r="A80" s="86"/>
      <c r="B80" s="23"/>
    </row>
    <row r="81" spans="1:14" ht="14.4">
      <c r="A81" s="86"/>
      <c r="B81" s="23"/>
      <c r="D81" s="46"/>
      <c r="E81" s="46"/>
      <c r="F81" s="46"/>
    </row>
    <row r="82" spans="1:14" ht="14.4">
      <c r="A82" s="86"/>
      <c r="B82" s="23"/>
    </row>
    <row r="83" spans="1:14" ht="14.4">
      <c r="A83" s="86"/>
      <c r="B83" s="2"/>
      <c r="D83" s="46"/>
      <c r="E83" s="46"/>
      <c r="F83" s="150"/>
    </row>
    <row r="84" spans="1:14" ht="13.2">
      <c r="A84" s="86"/>
    </row>
    <row r="85" spans="1:14" ht="13.2">
      <c r="A85" s="86"/>
    </row>
    <row r="86" spans="1:14" ht="14.4">
      <c r="A86" s="86"/>
      <c r="G86" s="151"/>
      <c r="H86" s="151"/>
      <c r="I86" s="151"/>
      <c r="J86" s="151"/>
      <c r="K86" s="151"/>
      <c r="L86" s="151"/>
      <c r="M86" s="151"/>
      <c r="N86" s="152"/>
    </row>
    <row r="87" spans="1:14" ht="14.4">
      <c r="A87" s="86"/>
      <c r="B87" s="153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2"/>
    </row>
    <row r="88" spans="1:14" ht="14.4">
      <c r="A88" s="86"/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6"/>
    </row>
    <row r="89" spans="1:14" ht="13.2">
      <c r="A89" s="86"/>
    </row>
    <row r="90" spans="1:14" ht="13.2">
      <c r="A90" s="86"/>
    </row>
    <row r="91" spans="1:14" ht="13.2">
      <c r="A91" s="86"/>
    </row>
    <row r="92" spans="1:14" ht="13.2">
      <c r="A92" s="86"/>
    </row>
    <row r="93" spans="1:14" ht="13.2">
      <c r="A93" s="86"/>
    </row>
    <row r="94" spans="1:14" ht="13.2">
      <c r="A94" s="86"/>
    </row>
    <row r="95" spans="1:14" ht="13.2">
      <c r="A95" s="86"/>
    </row>
    <row r="96" spans="1:14" ht="13.2">
      <c r="A96" s="86"/>
    </row>
    <row r="97" spans="1:5" ht="13.2">
      <c r="A97" s="86"/>
    </row>
    <row r="98" spans="1:5" ht="13.2">
      <c r="A98" s="86"/>
    </row>
    <row r="99" spans="1:5" ht="13.2">
      <c r="A99" s="86"/>
    </row>
    <row r="100" spans="1:5" ht="13.2">
      <c r="A100" s="86"/>
    </row>
    <row r="101" spans="1:5" ht="13.2">
      <c r="A101" s="86"/>
    </row>
    <row r="102" spans="1:5" ht="13.2">
      <c r="A102" s="86"/>
    </row>
    <row r="103" spans="1:5" ht="13.2">
      <c r="A103" s="86"/>
    </row>
    <row r="104" spans="1:5" ht="13.2">
      <c r="A104" s="86"/>
    </row>
    <row r="105" spans="1:5" ht="13.2">
      <c r="A105" s="86"/>
    </row>
    <row r="106" spans="1:5" ht="13.2">
      <c r="A106" s="86"/>
    </row>
    <row r="107" spans="1:5" ht="13.2">
      <c r="A107" s="86"/>
    </row>
    <row r="108" spans="1:5" ht="13.2">
      <c r="A108" s="86"/>
    </row>
    <row r="109" spans="1:5" ht="13.2">
      <c r="A109" s="86"/>
    </row>
    <row r="110" spans="1:5" ht="13.2">
      <c r="A110" s="86"/>
    </row>
    <row r="111" spans="1:5" ht="13.2">
      <c r="A111" s="86"/>
      <c r="C111" s="46"/>
      <c r="D111" s="150"/>
      <c r="E111" s="150"/>
    </row>
    <row r="112" spans="1:5" ht="13.2">
      <c r="A112" s="86"/>
      <c r="C112" s="46"/>
      <c r="D112" s="150"/>
      <c r="E112" s="150"/>
    </row>
    <row r="113" spans="1:5" ht="13.2">
      <c r="A113" s="86"/>
      <c r="C113" s="46"/>
      <c r="D113" s="150"/>
      <c r="E113" s="150"/>
    </row>
    <row r="114" spans="1:5" ht="13.2">
      <c r="A114" s="86"/>
      <c r="C114" s="46"/>
      <c r="D114" s="150"/>
      <c r="E114" s="150"/>
    </row>
    <row r="115" spans="1:5" ht="13.2">
      <c r="A115" s="86"/>
    </row>
    <row r="116" spans="1:5" ht="13.2">
      <c r="A116" s="86"/>
    </row>
    <row r="117" spans="1:5" ht="13.2">
      <c r="A117" s="86"/>
    </row>
    <row r="118" spans="1:5" ht="13.2">
      <c r="A118" s="86"/>
    </row>
    <row r="119" spans="1:5" ht="13.2">
      <c r="A119" s="86"/>
    </row>
    <row r="120" spans="1:5" ht="13.2">
      <c r="A120" s="86"/>
    </row>
    <row r="121" spans="1:5" ht="13.2">
      <c r="A121" s="86"/>
    </row>
    <row r="122" spans="1:5" ht="13.2">
      <c r="A122" s="86"/>
    </row>
    <row r="123" spans="1:5" ht="13.2">
      <c r="A123" s="86"/>
    </row>
    <row r="124" spans="1:5" ht="13.2">
      <c r="A124" s="86"/>
    </row>
    <row r="125" spans="1:5" ht="13.2">
      <c r="A125" s="86"/>
    </row>
    <row r="126" spans="1:5" ht="13.2">
      <c r="A126" s="86"/>
    </row>
    <row r="127" spans="1:5" ht="13.2">
      <c r="A127" s="86"/>
    </row>
    <row r="128" spans="1:5" ht="13.2">
      <c r="A128" s="86"/>
    </row>
    <row r="129" spans="1:1" ht="13.2">
      <c r="A129" s="86"/>
    </row>
    <row r="130" spans="1:1" ht="13.2">
      <c r="A130" s="86"/>
    </row>
    <row r="131" spans="1:1" ht="13.2">
      <c r="A131" s="86"/>
    </row>
    <row r="132" spans="1:1" ht="13.2">
      <c r="A132" s="86"/>
    </row>
    <row r="133" spans="1:1" ht="13.2">
      <c r="A133" s="86"/>
    </row>
    <row r="134" spans="1:1" ht="13.2">
      <c r="A134" s="86"/>
    </row>
    <row r="135" spans="1:1" ht="13.2">
      <c r="A135" s="86"/>
    </row>
    <row r="136" spans="1:1" ht="13.2">
      <c r="A136" s="86"/>
    </row>
    <row r="137" spans="1:1" ht="13.2">
      <c r="A137" s="86"/>
    </row>
    <row r="138" spans="1:1" ht="13.2">
      <c r="A138" s="86"/>
    </row>
    <row r="139" spans="1:1" ht="13.2">
      <c r="A139" s="86"/>
    </row>
    <row r="140" spans="1:1" ht="13.2">
      <c r="A140" s="86"/>
    </row>
    <row r="141" spans="1:1" ht="13.2">
      <c r="A141" s="86"/>
    </row>
    <row r="142" spans="1:1" ht="13.2">
      <c r="A142" s="86"/>
    </row>
    <row r="143" spans="1:1" ht="13.2">
      <c r="A143" s="86"/>
    </row>
    <row r="144" spans="1:1" ht="13.2">
      <c r="A144" s="86"/>
    </row>
    <row r="145" spans="1:1" ht="13.2">
      <c r="A145" s="86"/>
    </row>
    <row r="146" spans="1:1" ht="13.2">
      <c r="A146" s="86"/>
    </row>
    <row r="147" spans="1:1" ht="13.2">
      <c r="A147" s="86"/>
    </row>
    <row r="148" spans="1:1" ht="13.2">
      <c r="A148" s="86"/>
    </row>
    <row r="149" spans="1:1" ht="13.2">
      <c r="A149" s="86"/>
    </row>
    <row r="150" spans="1:1" ht="13.2">
      <c r="A150" s="86"/>
    </row>
    <row r="151" spans="1:1" ht="13.2">
      <c r="A151" s="86"/>
    </row>
    <row r="152" spans="1:1" ht="13.2">
      <c r="A152" s="86"/>
    </row>
    <row r="153" spans="1:1" ht="13.2">
      <c r="A153" s="86"/>
    </row>
    <row r="154" spans="1:1" ht="13.2">
      <c r="A154" s="86"/>
    </row>
    <row r="155" spans="1:1" ht="13.2">
      <c r="A155" s="86"/>
    </row>
    <row r="156" spans="1:1" ht="13.2">
      <c r="A156" s="86"/>
    </row>
    <row r="157" spans="1:1" ht="13.2">
      <c r="A157" s="86"/>
    </row>
    <row r="158" spans="1:1" ht="13.2">
      <c r="A158" s="86"/>
    </row>
    <row r="159" spans="1:1" ht="13.2">
      <c r="A159" s="86"/>
    </row>
    <row r="160" spans="1:1" ht="13.2">
      <c r="A160" s="86"/>
    </row>
    <row r="161" spans="1:1" ht="13.2">
      <c r="A161" s="86"/>
    </row>
    <row r="162" spans="1:1" ht="13.2">
      <c r="A162" s="86"/>
    </row>
    <row r="163" spans="1:1" ht="13.2">
      <c r="A163" s="86"/>
    </row>
    <row r="164" spans="1:1" ht="13.2">
      <c r="A164" s="86"/>
    </row>
    <row r="165" spans="1:1" ht="13.2">
      <c r="A165" s="86"/>
    </row>
    <row r="166" spans="1:1" ht="13.2">
      <c r="A166" s="86"/>
    </row>
    <row r="167" spans="1:1" ht="13.2">
      <c r="A167" s="86"/>
    </row>
    <row r="168" spans="1:1" ht="13.2">
      <c r="A168" s="86"/>
    </row>
    <row r="169" spans="1:1" ht="13.2">
      <c r="A169" s="86"/>
    </row>
    <row r="170" spans="1:1" ht="13.2">
      <c r="A170" s="86"/>
    </row>
    <row r="171" spans="1:1" ht="13.2">
      <c r="A171" s="86"/>
    </row>
    <row r="172" spans="1:1" ht="13.2">
      <c r="A172" s="86"/>
    </row>
    <row r="173" spans="1:1" ht="13.2">
      <c r="A173" s="86"/>
    </row>
    <row r="174" spans="1:1" ht="13.2">
      <c r="A174" s="86"/>
    </row>
    <row r="175" spans="1:1" ht="13.2">
      <c r="A175" s="86"/>
    </row>
    <row r="176" spans="1:1" ht="13.2">
      <c r="A176" s="86"/>
    </row>
    <row r="177" spans="1:1" ht="13.2">
      <c r="A177" s="86"/>
    </row>
    <row r="178" spans="1:1" ht="13.2">
      <c r="A178" s="86"/>
    </row>
    <row r="179" spans="1:1" ht="13.2">
      <c r="A179" s="86"/>
    </row>
    <row r="180" spans="1:1" ht="13.2">
      <c r="A180" s="86"/>
    </row>
    <row r="181" spans="1:1" ht="13.2">
      <c r="A181" s="86"/>
    </row>
    <row r="182" spans="1:1" ht="13.2">
      <c r="A182" s="86"/>
    </row>
    <row r="183" spans="1:1" ht="13.2">
      <c r="A183" s="86"/>
    </row>
    <row r="184" spans="1:1" ht="13.2">
      <c r="A184" s="86"/>
    </row>
    <row r="185" spans="1:1" ht="13.2">
      <c r="A185" s="86"/>
    </row>
    <row r="186" spans="1:1" ht="13.2">
      <c r="A186" s="86"/>
    </row>
    <row r="187" spans="1:1" ht="13.2">
      <c r="A187" s="86"/>
    </row>
    <row r="188" spans="1:1" ht="13.2">
      <c r="A188" s="86"/>
    </row>
    <row r="189" spans="1:1" ht="13.2">
      <c r="A189" s="86"/>
    </row>
    <row r="190" spans="1:1" ht="13.2">
      <c r="A190" s="86"/>
    </row>
    <row r="191" spans="1:1" ht="13.2">
      <c r="A191" s="86"/>
    </row>
    <row r="192" spans="1:1" ht="13.2">
      <c r="A192" s="86"/>
    </row>
    <row r="193" spans="1:1" ht="13.2">
      <c r="A193" s="86"/>
    </row>
    <row r="194" spans="1:1" ht="13.2">
      <c r="A194" s="86"/>
    </row>
    <row r="195" spans="1:1" ht="13.2">
      <c r="A195" s="86"/>
    </row>
    <row r="196" spans="1:1" ht="13.2">
      <c r="A196" s="86"/>
    </row>
    <row r="197" spans="1:1" ht="13.2">
      <c r="A197" s="86"/>
    </row>
    <row r="198" spans="1:1" ht="13.2">
      <c r="A198" s="86"/>
    </row>
    <row r="199" spans="1:1" ht="13.2">
      <c r="A199" s="86"/>
    </row>
    <row r="200" spans="1:1" ht="13.2">
      <c r="A200" s="86"/>
    </row>
    <row r="201" spans="1:1" ht="13.2">
      <c r="A201" s="86"/>
    </row>
    <row r="202" spans="1:1" ht="13.2">
      <c r="A202" s="86"/>
    </row>
    <row r="203" spans="1:1" ht="13.2">
      <c r="A203" s="86"/>
    </row>
    <row r="204" spans="1:1" ht="13.2">
      <c r="A204" s="86"/>
    </row>
    <row r="205" spans="1:1" ht="13.2">
      <c r="A205" s="86"/>
    </row>
    <row r="206" spans="1:1" ht="13.2">
      <c r="A206" s="86"/>
    </row>
    <row r="207" spans="1:1" ht="13.2">
      <c r="A207" s="86"/>
    </row>
    <row r="208" spans="1:1" ht="13.2">
      <c r="A208" s="86"/>
    </row>
    <row r="209" spans="1:1" ht="13.2">
      <c r="A209" s="86"/>
    </row>
    <row r="210" spans="1:1" ht="13.2">
      <c r="A210" s="86"/>
    </row>
    <row r="211" spans="1:1" ht="13.2">
      <c r="A211" s="86"/>
    </row>
    <row r="212" spans="1:1" ht="13.2">
      <c r="A212" s="86"/>
    </row>
    <row r="213" spans="1:1" ht="13.2">
      <c r="A213" s="86"/>
    </row>
    <row r="214" spans="1:1" ht="13.2">
      <c r="A214" s="86"/>
    </row>
    <row r="215" spans="1:1" ht="13.2">
      <c r="A215" s="86"/>
    </row>
    <row r="216" spans="1:1" ht="13.2">
      <c r="A216" s="86"/>
    </row>
    <row r="217" spans="1:1" ht="13.2">
      <c r="A217" s="86"/>
    </row>
    <row r="218" spans="1:1" ht="13.2">
      <c r="A218" s="86"/>
    </row>
    <row r="219" spans="1:1" ht="13.2">
      <c r="A219" s="86"/>
    </row>
    <row r="220" spans="1:1" ht="13.2">
      <c r="A220" s="86"/>
    </row>
    <row r="221" spans="1:1" ht="13.2">
      <c r="A221" s="86"/>
    </row>
    <row r="222" spans="1:1" ht="13.2">
      <c r="A222" s="86"/>
    </row>
    <row r="223" spans="1:1" ht="13.2">
      <c r="A223" s="86"/>
    </row>
    <row r="224" spans="1:1" ht="13.2">
      <c r="A224" s="86"/>
    </row>
    <row r="225" spans="1:1" ht="13.2">
      <c r="A225" s="86"/>
    </row>
    <row r="226" spans="1:1" ht="13.2">
      <c r="A226" s="86"/>
    </row>
    <row r="227" spans="1:1" ht="13.2">
      <c r="A227" s="86"/>
    </row>
    <row r="228" spans="1:1" ht="13.2">
      <c r="A228" s="86"/>
    </row>
    <row r="229" spans="1:1" ht="13.2">
      <c r="A229" s="86"/>
    </row>
    <row r="230" spans="1:1" ht="13.2">
      <c r="A230" s="86"/>
    </row>
    <row r="231" spans="1:1" ht="13.2">
      <c r="A231" s="86"/>
    </row>
    <row r="232" spans="1:1" ht="13.2">
      <c r="A232" s="86"/>
    </row>
    <row r="233" spans="1:1" ht="13.2">
      <c r="A233" s="86"/>
    </row>
    <row r="234" spans="1:1" ht="13.2">
      <c r="A234" s="86"/>
    </row>
    <row r="235" spans="1:1" ht="13.2">
      <c r="A235" s="86"/>
    </row>
    <row r="236" spans="1:1" ht="13.2">
      <c r="A236" s="86"/>
    </row>
    <row r="237" spans="1:1" ht="13.2">
      <c r="A237" s="86"/>
    </row>
    <row r="238" spans="1:1" ht="13.2">
      <c r="A238" s="86"/>
    </row>
    <row r="239" spans="1:1" ht="13.2">
      <c r="A239" s="86"/>
    </row>
    <row r="240" spans="1:1" ht="13.2">
      <c r="A240" s="86"/>
    </row>
    <row r="241" spans="1:1" ht="13.2">
      <c r="A241" s="86"/>
    </row>
    <row r="242" spans="1:1" ht="13.2">
      <c r="A242" s="86"/>
    </row>
    <row r="243" spans="1:1" ht="13.2">
      <c r="A243" s="86"/>
    </row>
    <row r="244" spans="1:1" ht="13.2">
      <c r="A244" s="86"/>
    </row>
    <row r="245" spans="1:1" ht="13.2">
      <c r="A245" s="86"/>
    </row>
    <row r="246" spans="1:1" ht="13.2">
      <c r="A246" s="86"/>
    </row>
    <row r="247" spans="1:1" ht="13.2">
      <c r="A247" s="86"/>
    </row>
    <row r="248" spans="1:1" ht="13.2">
      <c r="A248" s="86"/>
    </row>
    <row r="249" spans="1:1" ht="13.2">
      <c r="A249" s="86"/>
    </row>
    <row r="250" spans="1:1" ht="13.2">
      <c r="A250" s="86"/>
    </row>
    <row r="251" spans="1:1" ht="13.2">
      <c r="A251" s="86"/>
    </row>
    <row r="252" spans="1:1" ht="13.2">
      <c r="A252" s="86"/>
    </row>
    <row r="253" spans="1:1" ht="13.2">
      <c r="A253" s="86"/>
    </row>
    <row r="254" spans="1:1" ht="13.2">
      <c r="A254" s="86"/>
    </row>
    <row r="255" spans="1:1" ht="13.2">
      <c r="A255" s="86"/>
    </row>
    <row r="256" spans="1:1" ht="13.2">
      <c r="A256" s="86"/>
    </row>
    <row r="257" spans="1:1" ht="13.2">
      <c r="A257" s="86"/>
    </row>
    <row r="258" spans="1:1" ht="13.2">
      <c r="A258" s="86"/>
    </row>
    <row r="259" spans="1:1" ht="13.2">
      <c r="A259" s="86"/>
    </row>
    <row r="260" spans="1:1" ht="13.2">
      <c r="A260" s="86"/>
    </row>
    <row r="261" spans="1:1" ht="13.2">
      <c r="A261" s="86"/>
    </row>
    <row r="262" spans="1:1" ht="13.2">
      <c r="A262" s="86"/>
    </row>
    <row r="263" spans="1:1" ht="13.2">
      <c r="A263" s="86"/>
    </row>
    <row r="264" spans="1:1" ht="13.2">
      <c r="A264" s="86"/>
    </row>
    <row r="265" spans="1:1" ht="13.2">
      <c r="A265" s="86"/>
    </row>
    <row r="266" spans="1:1" ht="13.2">
      <c r="A266" s="86"/>
    </row>
    <row r="267" spans="1:1" ht="13.2">
      <c r="A267" s="86"/>
    </row>
    <row r="268" spans="1:1" ht="13.2">
      <c r="A268" s="86"/>
    </row>
    <row r="269" spans="1:1" ht="13.2">
      <c r="A269" s="86"/>
    </row>
    <row r="270" spans="1:1" ht="13.2">
      <c r="A270" s="86"/>
    </row>
    <row r="271" spans="1:1" ht="13.2">
      <c r="A271" s="86"/>
    </row>
    <row r="272" spans="1:1" ht="13.2">
      <c r="A272" s="86"/>
    </row>
    <row r="273" spans="1:1" ht="13.2">
      <c r="A273" s="86"/>
    </row>
    <row r="274" spans="1:1" ht="13.2">
      <c r="A274" s="86"/>
    </row>
    <row r="275" spans="1:1" ht="13.2">
      <c r="A275" s="86"/>
    </row>
    <row r="276" spans="1:1" ht="13.2">
      <c r="A276" s="86"/>
    </row>
    <row r="277" spans="1:1" ht="13.2">
      <c r="A277" s="86"/>
    </row>
    <row r="278" spans="1:1" ht="13.2">
      <c r="A278" s="86"/>
    </row>
    <row r="279" spans="1:1" ht="13.2">
      <c r="A279" s="86"/>
    </row>
    <row r="280" spans="1:1" ht="13.2">
      <c r="A280" s="86"/>
    </row>
    <row r="281" spans="1:1" ht="13.2">
      <c r="A281" s="86"/>
    </row>
    <row r="282" spans="1:1" ht="13.2">
      <c r="A282" s="86"/>
    </row>
    <row r="283" spans="1:1" ht="13.2">
      <c r="A283" s="86"/>
    </row>
    <row r="284" spans="1:1" ht="13.2">
      <c r="A284" s="86"/>
    </row>
    <row r="285" spans="1:1" ht="13.2">
      <c r="A285" s="86"/>
    </row>
    <row r="286" spans="1:1" ht="13.2">
      <c r="A286" s="86"/>
    </row>
    <row r="287" spans="1:1" ht="13.2">
      <c r="A287" s="86"/>
    </row>
    <row r="288" spans="1:1" ht="13.2">
      <c r="A288" s="86"/>
    </row>
    <row r="289" spans="1:1" ht="13.2">
      <c r="A289" s="86"/>
    </row>
    <row r="290" spans="1:1" ht="13.2">
      <c r="A290" s="86"/>
    </row>
    <row r="291" spans="1:1" ht="13.2">
      <c r="A291" s="86"/>
    </row>
    <row r="292" spans="1:1" ht="13.2">
      <c r="A292" s="86"/>
    </row>
    <row r="293" spans="1:1" ht="13.2">
      <c r="A293" s="86"/>
    </row>
    <row r="294" spans="1:1" ht="13.2">
      <c r="A294" s="86"/>
    </row>
    <row r="295" spans="1:1" ht="13.2">
      <c r="A295" s="86"/>
    </row>
    <row r="296" spans="1:1" ht="13.2">
      <c r="A296" s="86"/>
    </row>
    <row r="297" spans="1:1" ht="13.2">
      <c r="A297" s="86"/>
    </row>
    <row r="298" spans="1:1" ht="13.2">
      <c r="A298" s="86"/>
    </row>
    <row r="299" spans="1:1" ht="13.2">
      <c r="A299" s="86"/>
    </row>
    <row r="300" spans="1:1" ht="13.2">
      <c r="A300" s="86"/>
    </row>
    <row r="301" spans="1:1" ht="13.2">
      <c r="A301" s="86"/>
    </row>
    <row r="302" spans="1:1" ht="13.2">
      <c r="A302" s="86"/>
    </row>
    <row r="303" spans="1:1" ht="13.2">
      <c r="A303" s="86"/>
    </row>
    <row r="304" spans="1:1" ht="13.2">
      <c r="A304" s="86"/>
    </row>
    <row r="305" spans="1:1" ht="13.2">
      <c r="A305" s="86"/>
    </row>
    <row r="306" spans="1:1" ht="13.2">
      <c r="A306" s="86"/>
    </row>
    <row r="307" spans="1:1" ht="13.2">
      <c r="A307" s="86"/>
    </row>
    <row r="308" spans="1:1" ht="13.2">
      <c r="A308" s="86"/>
    </row>
    <row r="309" spans="1:1" ht="13.2">
      <c r="A309" s="86"/>
    </row>
    <row r="310" spans="1:1" ht="13.2">
      <c r="A310" s="86"/>
    </row>
    <row r="311" spans="1:1" ht="13.2">
      <c r="A311" s="86"/>
    </row>
    <row r="312" spans="1:1" ht="13.2">
      <c r="A312" s="86"/>
    </row>
    <row r="313" spans="1:1" ht="13.2">
      <c r="A313" s="86"/>
    </row>
    <row r="314" spans="1:1" ht="13.2">
      <c r="A314" s="86"/>
    </row>
    <row r="315" spans="1:1" ht="13.2">
      <c r="A315" s="86"/>
    </row>
    <row r="316" spans="1:1" ht="13.2">
      <c r="A316" s="86"/>
    </row>
    <row r="317" spans="1:1" ht="13.2">
      <c r="A317" s="86"/>
    </row>
    <row r="318" spans="1:1" ht="13.2">
      <c r="A318" s="86"/>
    </row>
    <row r="319" spans="1:1" ht="13.2">
      <c r="A319" s="86"/>
    </row>
    <row r="320" spans="1:1" ht="13.2">
      <c r="A320" s="86"/>
    </row>
    <row r="321" spans="1:1" ht="13.2">
      <c r="A321" s="86"/>
    </row>
    <row r="322" spans="1:1" ht="13.2">
      <c r="A322" s="86"/>
    </row>
    <row r="323" spans="1:1" ht="13.2">
      <c r="A323" s="86"/>
    </row>
    <row r="324" spans="1:1" ht="13.2">
      <c r="A324" s="86"/>
    </row>
    <row r="325" spans="1:1" ht="13.2">
      <c r="A325" s="86"/>
    </row>
    <row r="326" spans="1:1" ht="13.2">
      <c r="A326" s="86"/>
    </row>
    <row r="327" spans="1:1" ht="13.2">
      <c r="A327" s="86"/>
    </row>
    <row r="328" spans="1:1" ht="13.2">
      <c r="A328" s="86"/>
    </row>
    <row r="329" spans="1:1" ht="13.2">
      <c r="A329" s="86"/>
    </row>
    <row r="330" spans="1:1" ht="13.2">
      <c r="A330" s="86"/>
    </row>
    <row r="331" spans="1:1" ht="13.2">
      <c r="A331" s="86"/>
    </row>
    <row r="332" spans="1:1" ht="13.2">
      <c r="A332" s="86"/>
    </row>
    <row r="333" spans="1:1" ht="13.2">
      <c r="A333" s="86"/>
    </row>
    <row r="334" spans="1:1" ht="13.2">
      <c r="A334" s="86"/>
    </row>
    <row r="335" spans="1:1" ht="13.2">
      <c r="A335" s="86"/>
    </row>
    <row r="336" spans="1:1" ht="13.2">
      <c r="A336" s="86"/>
    </row>
    <row r="337" spans="1:1" ht="13.2">
      <c r="A337" s="86"/>
    </row>
    <row r="338" spans="1:1" ht="13.2">
      <c r="A338" s="86"/>
    </row>
    <row r="339" spans="1:1" ht="13.2">
      <c r="A339" s="86"/>
    </row>
    <row r="340" spans="1:1" ht="13.2">
      <c r="A340" s="86"/>
    </row>
    <row r="341" spans="1:1" ht="13.2">
      <c r="A341" s="86"/>
    </row>
    <row r="342" spans="1:1" ht="13.2">
      <c r="A342" s="86"/>
    </row>
    <row r="343" spans="1:1" ht="13.2">
      <c r="A343" s="86"/>
    </row>
    <row r="344" spans="1:1" ht="13.2">
      <c r="A344" s="86"/>
    </row>
    <row r="345" spans="1:1" ht="13.2">
      <c r="A345" s="86"/>
    </row>
    <row r="346" spans="1:1" ht="13.2">
      <c r="A346" s="86"/>
    </row>
    <row r="347" spans="1:1" ht="13.2">
      <c r="A347" s="86"/>
    </row>
    <row r="348" spans="1:1" ht="13.2">
      <c r="A348" s="86"/>
    </row>
    <row r="349" spans="1:1" ht="13.2">
      <c r="A349" s="86"/>
    </row>
    <row r="350" spans="1:1" ht="13.2">
      <c r="A350" s="86"/>
    </row>
    <row r="351" spans="1:1" ht="13.2">
      <c r="A351" s="86"/>
    </row>
    <row r="352" spans="1:1" ht="13.2">
      <c r="A352" s="86"/>
    </row>
    <row r="353" spans="1:1" ht="13.2">
      <c r="A353" s="86"/>
    </row>
    <row r="354" spans="1:1" ht="13.2">
      <c r="A354" s="86"/>
    </row>
    <row r="355" spans="1:1" ht="13.2">
      <c r="A355" s="86"/>
    </row>
    <row r="356" spans="1:1" ht="13.2">
      <c r="A356" s="86"/>
    </row>
    <row r="357" spans="1:1" ht="13.2">
      <c r="A357" s="86"/>
    </row>
    <row r="358" spans="1:1" ht="13.2">
      <c r="A358" s="86"/>
    </row>
    <row r="359" spans="1:1" ht="13.2">
      <c r="A359" s="86"/>
    </row>
    <row r="360" spans="1:1" ht="13.2">
      <c r="A360" s="86"/>
    </row>
    <row r="361" spans="1:1" ht="13.2">
      <c r="A361" s="86"/>
    </row>
    <row r="362" spans="1:1" ht="13.2">
      <c r="A362" s="86"/>
    </row>
    <row r="363" spans="1:1" ht="13.2">
      <c r="A363" s="86"/>
    </row>
    <row r="364" spans="1:1" ht="13.2">
      <c r="A364" s="86"/>
    </row>
    <row r="365" spans="1:1" ht="13.2">
      <c r="A365" s="86"/>
    </row>
    <row r="366" spans="1:1" ht="13.2">
      <c r="A366" s="86"/>
    </row>
    <row r="367" spans="1:1" ht="13.2">
      <c r="A367" s="86"/>
    </row>
    <row r="368" spans="1:1" ht="13.2">
      <c r="A368" s="86"/>
    </row>
    <row r="369" spans="1:1" ht="13.2">
      <c r="A369" s="86"/>
    </row>
    <row r="370" spans="1:1" ht="13.2">
      <c r="A370" s="86"/>
    </row>
    <row r="371" spans="1:1" ht="13.2">
      <c r="A371" s="86"/>
    </row>
    <row r="372" spans="1:1" ht="13.2">
      <c r="A372" s="86"/>
    </row>
    <row r="373" spans="1:1" ht="13.2">
      <c r="A373" s="86"/>
    </row>
    <row r="374" spans="1:1" ht="13.2">
      <c r="A374" s="86"/>
    </row>
    <row r="375" spans="1:1" ht="13.2">
      <c r="A375" s="86"/>
    </row>
    <row r="376" spans="1:1" ht="13.2">
      <c r="A376" s="86"/>
    </row>
    <row r="377" spans="1:1" ht="13.2">
      <c r="A377" s="86"/>
    </row>
    <row r="378" spans="1:1" ht="13.2">
      <c r="A378" s="86"/>
    </row>
    <row r="379" spans="1:1" ht="13.2">
      <c r="A379" s="86"/>
    </row>
    <row r="380" spans="1:1" ht="13.2">
      <c r="A380" s="86"/>
    </row>
    <row r="381" spans="1:1" ht="13.2">
      <c r="A381" s="86"/>
    </row>
    <row r="382" spans="1:1" ht="13.2">
      <c r="A382" s="86"/>
    </row>
    <row r="383" spans="1:1" ht="13.2">
      <c r="A383" s="86"/>
    </row>
    <row r="384" spans="1:1" ht="13.2">
      <c r="A384" s="86"/>
    </row>
    <row r="385" spans="1:1" ht="13.2">
      <c r="A385" s="86"/>
    </row>
    <row r="386" spans="1:1" ht="13.2">
      <c r="A386" s="86"/>
    </row>
    <row r="387" spans="1:1" ht="13.2">
      <c r="A387" s="86"/>
    </row>
    <row r="388" spans="1:1" ht="13.2">
      <c r="A388" s="86"/>
    </row>
    <row r="389" spans="1:1" ht="13.2">
      <c r="A389" s="86"/>
    </row>
    <row r="390" spans="1:1" ht="13.2">
      <c r="A390" s="86"/>
    </row>
    <row r="391" spans="1:1" ht="13.2">
      <c r="A391" s="86"/>
    </row>
    <row r="392" spans="1:1" ht="13.2">
      <c r="A392" s="86"/>
    </row>
    <row r="393" spans="1:1" ht="13.2">
      <c r="A393" s="86"/>
    </row>
    <row r="394" spans="1:1" ht="13.2">
      <c r="A394" s="86"/>
    </row>
    <row r="395" spans="1:1" ht="13.2">
      <c r="A395" s="86"/>
    </row>
    <row r="396" spans="1:1" ht="13.2">
      <c r="A396" s="86"/>
    </row>
    <row r="397" spans="1:1" ht="13.2">
      <c r="A397" s="86"/>
    </row>
    <row r="398" spans="1:1" ht="13.2">
      <c r="A398" s="86"/>
    </row>
    <row r="399" spans="1:1" ht="13.2">
      <c r="A399" s="86"/>
    </row>
    <row r="400" spans="1:1" ht="13.2">
      <c r="A400" s="86"/>
    </row>
    <row r="401" spans="1:1" ht="13.2">
      <c r="A401" s="86"/>
    </row>
    <row r="402" spans="1:1" ht="13.2">
      <c r="A402" s="86"/>
    </row>
    <row r="403" spans="1:1" ht="13.2">
      <c r="A403" s="86"/>
    </row>
    <row r="404" spans="1:1" ht="13.2">
      <c r="A404" s="86"/>
    </row>
    <row r="405" spans="1:1" ht="13.2">
      <c r="A405" s="86"/>
    </row>
    <row r="406" spans="1:1" ht="13.2">
      <c r="A406" s="86"/>
    </row>
    <row r="407" spans="1:1" ht="13.2">
      <c r="A407" s="86"/>
    </row>
    <row r="408" spans="1:1" ht="13.2">
      <c r="A408" s="86"/>
    </row>
    <row r="409" spans="1:1" ht="13.2">
      <c r="A409" s="86"/>
    </row>
    <row r="410" spans="1:1" ht="13.2">
      <c r="A410" s="86"/>
    </row>
    <row r="411" spans="1:1" ht="13.2">
      <c r="A411" s="86"/>
    </row>
    <row r="412" spans="1:1" ht="13.2">
      <c r="A412" s="86"/>
    </row>
    <row r="413" spans="1:1" ht="13.2">
      <c r="A413" s="86"/>
    </row>
    <row r="414" spans="1:1" ht="13.2">
      <c r="A414" s="86"/>
    </row>
    <row r="415" spans="1:1" ht="13.2">
      <c r="A415" s="86"/>
    </row>
    <row r="416" spans="1:1" ht="13.2">
      <c r="A416" s="86"/>
    </row>
    <row r="417" spans="1:1" ht="13.2">
      <c r="A417" s="86"/>
    </row>
    <row r="418" spans="1:1" ht="13.2">
      <c r="A418" s="86"/>
    </row>
    <row r="419" spans="1:1" ht="13.2">
      <c r="A419" s="86"/>
    </row>
    <row r="420" spans="1:1" ht="13.2">
      <c r="A420" s="86"/>
    </row>
    <row r="421" spans="1:1" ht="13.2">
      <c r="A421" s="86"/>
    </row>
    <row r="422" spans="1:1" ht="13.2">
      <c r="A422" s="86"/>
    </row>
    <row r="423" spans="1:1" ht="13.2">
      <c r="A423" s="86"/>
    </row>
    <row r="424" spans="1:1" ht="13.2">
      <c r="A424" s="86"/>
    </row>
    <row r="425" spans="1:1" ht="13.2">
      <c r="A425" s="86"/>
    </row>
    <row r="426" spans="1:1" ht="13.2">
      <c r="A426" s="86"/>
    </row>
    <row r="427" spans="1:1" ht="13.2">
      <c r="A427" s="86"/>
    </row>
    <row r="428" spans="1:1" ht="13.2">
      <c r="A428" s="86"/>
    </row>
    <row r="429" spans="1:1" ht="13.2">
      <c r="A429" s="86"/>
    </row>
    <row r="430" spans="1:1" ht="13.2">
      <c r="A430" s="86"/>
    </row>
    <row r="431" spans="1:1" ht="13.2">
      <c r="A431" s="86"/>
    </row>
    <row r="432" spans="1:1" ht="13.2">
      <c r="A432" s="86"/>
    </row>
    <row r="433" spans="1:1" ht="13.2">
      <c r="A433" s="86"/>
    </row>
    <row r="434" spans="1:1" ht="13.2">
      <c r="A434" s="86"/>
    </row>
    <row r="435" spans="1:1" ht="13.2">
      <c r="A435" s="86"/>
    </row>
    <row r="436" spans="1:1" ht="13.2">
      <c r="A436" s="86"/>
    </row>
    <row r="437" spans="1:1" ht="13.2">
      <c r="A437" s="86"/>
    </row>
    <row r="438" spans="1:1" ht="13.2">
      <c r="A438" s="86"/>
    </row>
    <row r="439" spans="1:1" ht="13.2">
      <c r="A439" s="86"/>
    </row>
    <row r="440" spans="1:1" ht="13.2">
      <c r="A440" s="86"/>
    </row>
    <row r="441" spans="1:1" ht="13.2">
      <c r="A441" s="86"/>
    </row>
    <row r="442" spans="1:1" ht="13.2">
      <c r="A442" s="86"/>
    </row>
    <row r="443" spans="1:1" ht="13.2">
      <c r="A443" s="86"/>
    </row>
    <row r="444" spans="1:1" ht="13.2">
      <c r="A444" s="86"/>
    </row>
    <row r="445" spans="1:1" ht="13.2">
      <c r="A445" s="86"/>
    </row>
    <row r="446" spans="1:1" ht="13.2">
      <c r="A446" s="86"/>
    </row>
    <row r="447" spans="1:1" ht="13.2">
      <c r="A447" s="86"/>
    </row>
    <row r="448" spans="1:1" ht="13.2">
      <c r="A448" s="86"/>
    </row>
    <row r="449" spans="1:1" ht="13.2">
      <c r="A449" s="86"/>
    </row>
    <row r="450" spans="1:1" ht="13.2">
      <c r="A450" s="86"/>
    </row>
    <row r="451" spans="1:1" ht="13.2">
      <c r="A451" s="86"/>
    </row>
    <row r="452" spans="1:1" ht="13.2">
      <c r="A452" s="86"/>
    </row>
    <row r="453" spans="1:1" ht="13.2">
      <c r="A453" s="86"/>
    </row>
    <row r="454" spans="1:1" ht="13.2">
      <c r="A454" s="86"/>
    </row>
    <row r="455" spans="1:1" ht="13.2">
      <c r="A455" s="86"/>
    </row>
    <row r="456" spans="1:1" ht="13.2">
      <c r="A456" s="86"/>
    </row>
    <row r="457" spans="1:1" ht="13.2">
      <c r="A457" s="86"/>
    </row>
    <row r="458" spans="1:1" ht="13.2">
      <c r="A458" s="86"/>
    </row>
    <row r="459" spans="1:1" ht="13.2">
      <c r="A459" s="86"/>
    </row>
    <row r="460" spans="1:1" ht="13.2">
      <c r="A460" s="86"/>
    </row>
    <row r="461" spans="1:1" ht="13.2">
      <c r="A461" s="86"/>
    </row>
    <row r="462" spans="1:1" ht="13.2">
      <c r="A462" s="86"/>
    </row>
    <row r="463" spans="1:1" ht="13.2">
      <c r="A463" s="86"/>
    </row>
    <row r="464" spans="1:1" ht="13.2">
      <c r="A464" s="86"/>
    </row>
    <row r="465" spans="1:1" ht="13.2">
      <c r="A465" s="86"/>
    </row>
    <row r="466" spans="1:1" ht="13.2">
      <c r="A466" s="86"/>
    </row>
    <row r="467" spans="1:1" ht="13.2">
      <c r="A467" s="86"/>
    </row>
    <row r="468" spans="1:1" ht="13.2">
      <c r="A468" s="86"/>
    </row>
    <row r="469" spans="1:1" ht="13.2">
      <c r="A469" s="86"/>
    </row>
    <row r="470" spans="1:1" ht="13.2">
      <c r="A470" s="86"/>
    </row>
    <row r="471" spans="1:1" ht="13.2">
      <c r="A471" s="86"/>
    </row>
    <row r="472" spans="1:1" ht="13.2">
      <c r="A472" s="86"/>
    </row>
    <row r="473" spans="1:1" ht="13.2">
      <c r="A473" s="86"/>
    </row>
    <row r="474" spans="1:1" ht="13.2">
      <c r="A474" s="86"/>
    </row>
    <row r="475" spans="1:1" ht="13.2">
      <c r="A475" s="86"/>
    </row>
    <row r="476" spans="1:1" ht="13.2">
      <c r="A476" s="86"/>
    </row>
    <row r="477" spans="1:1" ht="13.2">
      <c r="A477" s="86"/>
    </row>
    <row r="478" spans="1:1" ht="13.2">
      <c r="A478" s="86"/>
    </row>
    <row r="479" spans="1:1" ht="13.2">
      <c r="A479" s="86"/>
    </row>
    <row r="480" spans="1:1" ht="13.2">
      <c r="A480" s="86"/>
    </row>
    <row r="481" spans="1:1" ht="13.2">
      <c r="A481" s="86"/>
    </row>
    <row r="482" spans="1:1" ht="13.2">
      <c r="A482" s="86"/>
    </row>
    <row r="483" spans="1:1" ht="13.2">
      <c r="A483" s="86"/>
    </row>
    <row r="484" spans="1:1" ht="13.2">
      <c r="A484" s="86"/>
    </row>
    <row r="485" spans="1:1" ht="13.2">
      <c r="A485" s="86"/>
    </row>
    <row r="486" spans="1:1" ht="13.2">
      <c r="A486" s="86"/>
    </row>
    <row r="487" spans="1:1" ht="13.2">
      <c r="A487" s="86"/>
    </row>
    <row r="488" spans="1:1" ht="13.2">
      <c r="A488" s="86"/>
    </row>
    <row r="489" spans="1:1" ht="13.2">
      <c r="A489" s="86"/>
    </row>
    <row r="490" spans="1:1" ht="13.2">
      <c r="A490" s="86"/>
    </row>
    <row r="491" spans="1:1" ht="13.2">
      <c r="A491" s="86"/>
    </row>
    <row r="492" spans="1:1" ht="13.2">
      <c r="A492" s="86"/>
    </row>
    <row r="493" spans="1:1" ht="13.2">
      <c r="A493" s="86"/>
    </row>
    <row r="494" spans="1:1" ht="13.2">
      <c r="A494" s="86"/>
    </row>
    <row r="495" spans="1:1" ht="13.2">
      <c r="A495" s="86"/>
    </row>
    <row r="496" spans="1:1" ht="13.2">
      <c r="A496" s="86"/>
    </row>
    <row r="497" spans="1:1" ht="13.2">
      <c r="A497" s="86"/>
    </row>
    <row r="498" spans="1:1" ht="13.2">
      <c r="A498" s="86"/>
    </row>
    <row r="499" spans="1:1" ht="13.2">
      <c r="A499" s="86"/>
    </row>
    <row r="500" spans="1:1" ht="13.2">
      <c r="A500" s="86"/>
    </row>
    <row r="501" spans="1:1" ht="13.2">
      <c r="A501" s="86"/>
    </row>
    <row r="502" spans="1:1" ht="13.2">
      <c r="A502" s="86"/>
    </row>
    <row r="503" spans="1:1" ht="13.2">
      <c r="A503" s="86"/>
    </row>
    <row r="504" spans="1:1" ht="13.2">
      <c r="A504" s="86"/>
    </row>
    <row r="505" spans="1:1" ht="13.2">
      <c r="A505" s="86"/>
    </row>
    <row r="506" spans="1:1" ht="13.2">
      <c r="A506" s="86"/>
    </row>
    <row r="507" spans="1:1" ht="13.2">
      <c r="A507" s="86"/>
    </row>
    <row r="508" spans="1:1" ht="13.2">
      <c r="A508" s="86"/>
    </row>
    <row r="509" spans="1:1" ht="13.2">
      <c r="A509" s="86"/>
    </row>
    <row r="510" spans="1:1" ht="13.2">
      <c r="A510" s="86"/>
    </row>
    <row r="511" spans="1:1" ht="13.2">
      <c r="A511" s="86"/>
    </row>
    <row r="512" spans="1:1" ht="13.2">
      <c r="A512" s="86"/>
    </row>
    <row r="513" spans="1:1" ht="13.2">
      <c r="A513" s="86"/>
    </row>
    <row r="514" spans="1:1" ht="13.2">
      <c r="A514" s="86"/>
    </row>
    <row r="515" spans="1:1" ht="13.2">
      <c r="A515" s="86"/>
    </row>
    <row r="516" spans="1:1" ht="13.2">
      <c r="A516" s="86"/>
    </row>
    <row r="517" spans="1:1" ht="13.2">
      <c r="A517" s="86"/>
    </row>
    <row r="518" spans="1:1" ht="13.2">
      <c r="A518" s="86"/>
    </row>
    <row r="519" spans="1:1" ht="13.2">
      <c r="A519" s="86"/>
    </row>
    <row r="520" spans="1:1" ht="13.2">
      <c r="A520" s="86"/>
    </row>
    <row r="521" spans="1:1" ht="13.2">
      <c r="A521" s="86"/>
    </row>
    <row r="522" spans="1:1" ht="13.2">
      <c r="A522" s="86"/>
    </row>
    <row r="523" spans="1:1" ht="13.2">
      <c r="A523" s="86"/>
    </row>
    <row r="524" spans="1:1" ht="13.2">
      <c r="A524" s="86"/>
    </row>
    <row r="525" spans="1:1" ht="13.2">
      <c r="A525" s="86"/>
    </row>
    <row r="526" spans="1:1" ht="13.2">
      <c r="A526" s="86"/>
    </row>
    <row r="527" spans="1:1" ht="13.2">
      <c r="A527" s="86"/>
    </row>
    <row r="528" spans="1:1" ht="13.2">
      <c r="A528" s="86"/>
    </row>
    <row r="529" spans="1:1" ht="13.2">
      <c r="A529" s="86"/>
    </row>
    <row r="530" spans="1:1" ht="13.2">
      <c r="A530" s="86"/>
    </row>
    <row r="531" spans="1:1" ht="13.2">
      <c r="A531" s="86"/>
    </row>
    <row r="532" spans="1:1" ht="13.2">
      <c r="A532" s="86"/>
    </row>
    <row r="533" spans="1:1" ht="13.2">
      <c r="A533" s="86"/>
    </row>
    <row r="534" spans="1:1" ht="13.2">
      <c r="A534" s="86"/>
    </row>
    <row r="535" spans="1:1" ht="13.2">
      <c r="A535" s="86"/>
    </row>
    <row r="536" spans="1:1" ht="13.2">
      <c r="A536" s="86"/>
    </row>
    <row r="537" spans="1:1" ht="13.2">
      <c r="A537" s="86"/>
    </row>
    <row r="538" spans="1:1" ht="13.2">
      <c r="A538" s="86"/>
    </row>
    <row r="539" spans="1:1" ht="13.2">
      <c r="A539" s="86"/>
    </row>
    <row r="540" spans="1:1" ht="13.2">
      <c r="A540" s="86"/>
    </row>
    <row r="541" spans="1:1" ht="13.2">
      <c r="A541" s="86"/>
    </row>
    <row r="542" spans="1:1" ht="13.2">
      <c r="A542" s="86"/>
    </row>
    <row r="543" spans="1:1" ht="13.2">
      <c r="A543" s="86"/>
    </row>
    <row r="544" spans="1:1" ht="13.2">
      <c r="A544" s="86"/>
    </row>
    <row r="545" spans="1:1" ht="13.2">
      <c r="A545" s="86"/>
    </row>
    <row r="546" spans="1:1" ht="13.2">
      <c r="A546" s="86"/>
    </row>
    <row r="547" spans="1:1" ht="13.2">
      <c r="A547" s="86"/>
    </row>
    <row r="548" spans="1:1" ht="13.2">
      <c r="A548" s="86"/>
    </row>
    <row r="549" spans="1:1" ht="13.2">
      <c r="A549" s="86"/>
    </row>
    <row r="550" spans="1:1" ht="13.2">
      <c r="A550" s="86"/>
    </row>
    <row r="551" spans="1:1" ht="13.2">
      <c r="A551" s="86"/>
    </row>
    <row r="552" spans="1:1" ht="13.2">
      <c r="A552" s="86"/>
    </row>
    <row r="553" spans="1:1" ht="13.2">
      <c r="A553" s="86"/>
    </row>
    <row r="554" spans="1:1" ht="13.2">
      <c r="A554" s="86"/>
    </row>
    <row r="555" spans="1:1" ht="13.2">
      <c r="A555" s="86"/>
    </row>
    <row r="556" spans="1:1" ht="13.2">
      <c r="A556" s="86"/>
    </row>
    <row r="557" spans="1:1" ht="13.2">
      <c r="A557" s="86"/>
    </row>
    <row r="558" spans="1:1" ht="13.2">
      <c r="A558" s="86"/>
    </row>
    <row r="559" spans="1:1" ht="13.2">
      <c r="A559" s="86"/>
    </row>
    <row r="560" spans="1:1" ht="13.2">
      <c r="A560" s="86"/>
    </row>
    <row r="561" spans="1:1" ht="13.2">
      <c r="A561" s="86"/>
    </row>
    <row r="562" spans="1:1" ht="13.2">
      <c r="A562" s="86"/>
    </row>
    <row r="563" spans="1:1" ht="13.2">
      <c r="A563" s="86"/>
    </row>
    <row r="564" spans="1:1" ht="13.2">
      <c r="A564" s="86"/>
    </row>
    <row r="565" spans="1:1" ht="13.2">
      <c r="A565" s="86"/>
    </row>
    <row r="566" spans="1:1" ht="13.2">
      <c r="A566" s="86"/>
    </row>
    <row r="567" spans="1:1" ht="13.2">
      <c r="A567" s="86"/>
    </row>
    <row r="568" spans="1:1" ht="13.2">
      <c r="A568" s="86"/>
    </row>
    <row r="569" spans="1:1" ht="13.2">
      <c r="A569" s="86"/>
    </row>
    <row r="570" spans="1:1" ht="13.2">
      <c r="A570" s="86"/>
    </row>
    <row r="571" spans="1:1" ht="13.2">
      <c r="A571" s="86"/>
    </row>
    <row r="572" spans="1:1" ht="13.2">
      <c r="A572" s="86"/>
    </row>
    <row r="573" spans="1:1" ht="13.2">
      <c r="A573" s="86"/>
    </row>
    <row r="574" spans="1:1" ht="13.2">
      <c r="A574" s="86"/>
    </row>
    <row r="575" spans="1:1" ht="13.2">
      <c r="A575" s="86"/>
    </row>
    <row r="576" spans="1:1" ht="13.2">
      <c r="A576" s="86"/>
    </row>
    <row r="577" spans="1:1" ht="13.2">
      <c r="A577" s="86"/>
    </row>
    <row r="578" spans="1:1" ht="13.2">
      <c r="A578" s="86"/>
    </row>
    <row r="579" spans="1:1" ht="13.2">
      <c r="A579" s="86"/>
    </row>
    <row r="580" spans="1:1" ht="13.2">
      <c r="A580" s="86"/>
    </row>
    <row r="581" spans="1:1" ht="13.2">
      <c r="A581" s="86"/>
    </row>
    <row r="582" spans="1:1" ht="13.2">
      <c r="A582" s="86"/>
    </row>
    <row r="583" spans="1:1" ht="13.2">
      <c r="A583" s="86"/>
    </row>
    <row r="584" spans="1:1" ht="13.2">
      <c r="A584" s="86"/>
    </row>
    <row r="585" spans="1:1" ht="13.2">
      <c r="A585" s="86"/>
    </row>
    <row r="586" spans="1:1" ht="13.2">
      <c r="A586" s="86"/>
    </row>
    <row r="587" spans="1:1" ht="13.2">
      <c r="A587" s="86"/>
    </row>
    <row r="588" spans="1:1" ht="13.2">
      <c r="A588" s="86"/>
    </row>
    <row r="589" spans="1:1" ht="13.2">
      <c r="A589" s="86"/>
    </row>
    <row r="590" spans="1:1" ht="13.2">
      <c r="A590" s="86"/>
    </row>
    <row r="591" spans="1:1" ht="13.2">
      <c r="A591" s="86"/>
    </row>
    <row r="592" spans="1:1" ht="13.2">
      <c r="A592" s="86"/>
    </row>
    <row r="593" spans="1:1" ht="13.2">
      <c r="A593" s="86"/>
    </row>
    <row r="594" spans="1:1" ht="13.2">
      <c r="A594" s="86"/>
    </row>
    <row r="595" spans="1:1" ht="13.2">
      <c r="A595" s="86"/>
    </row>
    <row r="596" spans="1:1" ht="13.2">
      <c r="A596" s="86"/>
    </row>
    <row r="597" spans="1:1" ht="13.2">
      <c r="A597" s="86"/>
    </row>
    <row r="598" spans="1:1" ht="13.2">
      <c r="A598" s="86"/>
    </row>
    <row r="599" spans="1:1" ht="13.2">
      <c r="A599" s="86"/>
    </row>
    <row r="600" spans="1:1" ht="13.2">
      <c r="A600" s="86"/>
    </row>
    <row r="601" spans="1:1" ht="13.2">
      <c r="A601" s="86"/>
    </row>
    <row r="602" spans="1:1" ht="13.2">
      <c r="A602" s="86"/>
    </row>
    <row r="603" spans="1:1" ht="13.2">
      <c r="A603" s="86"/>
    </row>
    <row r="604" spans="1:1" ht="13.2">
      <c r="A604" s="86"/>
    </row>
    <row r="605" spans="1:1" ht="13.2">
      <c r="A605" s="86"/>
    </row>
    <row r="606" spans="1:1" ht="13.2">
      <c r="A606" s="86"/>
    </row>
    <row r="607" spans="1:1" ht="13.2">
      <c r="A607" s="86"/>
    </row>
    <row r="608" spans="1:1" ht="13.2">
      <c r="A608" s="86"/>
    </row>
    <row r="609" spans="1:1" ht="13.2">
      <c r="A609" s="86"/>
    </row>
    <row r="610" spans="1:1" ht="13.2">
      <c r="A610" s="86"/>
    </row>
    <row r="611" spans="1:1" ht="13.2">
      <c r="A611" s="86"/>
    </row>
    <row r="612" spans="1:1" ht="13.2">
      <c r="A612" s="86"/>
    </row>
    <row r="613" spans="1:1" ht="13.2">
      <c r="A613" s="86"/>
    </row>
    <row r="614" spans="1:1" ht="13.2">
      <c r="A614" s="86"/>
    </row>
    <row r="615" spans="1:1" ht="13.2">
      <c r="A615" s="86"/>
    </row>
    <row r="616" spans="1:1" ht="13.2">
      <c r="A616" s="86"/>
    </row>
    <row r="617" spans="1:1" ht="13.2">
      <c r="A617" s="86"/>
    </row>
    <row r="618" spans="1:1" ht="13.2">
      <c r="A618" s="86"/>
    </row>
    <row r="619" spans="1:1" ht="13.2">
      <c r="A619" s="86"/>
    </row>
    <row r="620" spans="1:1" ht="13.2">
      <c r="A620" s="86"/>
    </row>
    <row r="621" spans="1:1" ht="13.2">
      <c r="A621" s="86"/>
    </row>
    <row r="622" spans="1:1" ht="13.2">
      <c r="A622" s="86"/>
    </row>
    <row r="623" spans="1:1" ht="13.2">
      <c r="A623" s="86"/>
    </row>
    <row r="624" spans="1:1" ht="13.2">
      <c r="A624" s="86"/>
    </row>
    <row r="625" spans="1:1" ht="13.2">
      <c r="A625" s="86"/>
    </row>
    <row r="626" spans="1:1" ht="13.2">
      <c r="A626" s="86"/>
    </row>
    <row r="627" spans="1:1" ht="13.2">
      <c r="A627" s="86"/>
    </row>
    <row r="628" spans="1:1" ht="13.2">
      <c r="A628" s="86"/>
    </row>
    <row r="629" spans="1:1" ht="13.2">
      <c r="A629" s="86"/>
    </row>
    <row r="630" spans="1:1" ht="13.2">
      <c r="A630" s="86"/>
    </row>
    <row r="631" spans="1:1" ht="13.2">
      <c r="A631" s="86"/>
    </row>
    <row r="632" spans="1:1" ht="13.2">
      <c r="A632" s="86"/>
    </row>
    <row r="633" spans="1:1" ht="13.2">
      <c r="A633" s="86"/>
    </row>
    <row r="634" spans="1:1" ht="13.2">
      <c r="A634" s="86"/>
    </row>
    <row r="635" spans="1:1" ht="13.2">
      <c r="A635" s="86"/>
    </row>
    <row r="636" spans="1:1" ht="13.2">
      <c r="A636" s="86"/>
    </row>
    <row r="637" spans="1:1" ht="13.2">
      <c r="A637" s="86"/>
    </row>
    <row r="638" spans="1:1" ht="13.2">
      <c r="A638" s="86"/>
    </row>
    <row r="639" spans="1:1" ht="13.2">
      <c r="A639" s="86"/>
    </row>
    <row r="640" spans="1:1" ht="13.2">
      <c r="A640" s="86"/>
    </row>
    <row r="641" spans="1:1" ht="13.2">
      <c r="A641" s="86"/>
    </row>
    <row r="642" spans="1:1" ht="13.2">
      <c r="A642" s="86"/>
    </row>
    <row r="643" spans="1:1" ht="13.2">
      <c r="A643" s="86"/>
    </row>
    <row r="644" spans="1:1" ht="13.2">
      <c r="A644" s="86"/>
    </row>
    <row r="645" spans="1:1" ht="13.2">
      <c r="A645" s="86"/>
    </row>
    <row r="646" spans="1:1" ht="13.2">
      <c r="A646" s="86"/>
    </row>
    <row r="647" spans="1:1" ht="13.2">
      <c r="A647" s="86"/>
    </row>
    <row r="648" spans="1:1" ht="13.2">
      <c r="A648" s="86"/>
    </row>
    <row r="649" spans="1:1" ht="13.2">
      <c r="A649" s="86"/>
    </row>
    <row r="650" spans="1:1" ht="13.2">
      <c r="A650" s="86"/>
    </row>
    <row r="651" spans="1:1" ht="13.2">
      <c r="A651" s="86"/>
    </row>
    <row r="652" spans="1:1" ht="13.2">
      <c r="A652" s="86"/>
    </row>
    <row r="653" spans="1:1" ht="13.2">
      <c r="A653" s="86"/>
    </row>
    <row r="654" spans="1:1" ht="13.2">
      <c r="A654" s="86"/>
    </row>
    <row r="655" spans="1:1" ht="13.2">
      <c r="A655" s="86"/>
    </row>
    <row r="656" spans="1:1" ht="13.2">
      <c r="A656" s="86"/>
    </row>
    <row r="657" spans="1:1" ht="13.2">
      <c r="A657" s="86"/>
    </row>
    <row r="658" spans="1:1" ht="13.2">
      <c r="A658" s="86"/>
    </row>
    <row r="659" spans="1:1" ht="13.2">
      <c r="A659" s="86"/>
    </row>
    <row r="660" spans="1:1" ht="13.2">
      <c r="A660" s="86"/>
    </row>
    <row r="661" spans="1:1" ht="13.2">
      <c r="A661" s="86"/>
    </row>
    <row r="662" spans="1:1" ht="13.2">
      <c r="A662" s="86"/>
    </row>
    <row r="663" spans="1:1" ht="13.2">
      <c r="A663" s="86"/>
    </row>
    <row r="664" spans="1:1" ht="13.2">
      <c r="A664" s="86"/>
    </row>
    <row r="665" spans="1:1" ht="13.2">
      <c r="A665" s="86"/>
    </row>
    <row r="666" spans="1:1" ht="13.2">
      <c r="A666" s="86"/>
    </row>
    <row r="667" spans="1:1" ht="13.2">
      <c r="A667" s="86"/>
    </row>
    <row r="668" spans="1:1" ht="13.2">
      <c r="A668" s="86"/>
    </row>
    <row r="669" spans="1:1" ht="13.2">
      <c r="A669" s="86"/>
    </row>
    <row r="670" spans="1:1" ht="13.2">
      <c r="A670" s="86"/>
    </row>
    <row r="671" spans="1:1" ht="13.2">
      <c r="A671" s="86"/>
    </row>
    <row r="672" spans="1:1" ht="13.2">
      <c r="A672" s="86"/>
    </row>
    <row r="673" spans="1:1" ht="13.2">
      <c r="A673" s="86"/>
    </row>
    <row r="674" spans="1:1" ht="13.2">
      <c r="A674" s="86"/>
    </row>
    <row r="675" spans="1:1" ht="13.2">
      <c r="A675" s="86"/>
    </row>
    <row r="676" spans="1:1" ht="13.2">
      <c r="A676" s="86"/>
    </row>
    <row r="677" spans="1:1" ht="13.2">
      <c r="A677" s="86"/>
    </row>
    <row r="678" spans="1:1" ht="13.2">
      <c r="A678" s="86"/>
    </row>
    <row r="679" spans="1:1" ht="13.2">
      <c r="A679" s="86"/>
    </row>
    <row r="680" spans="1:1" ht="13.2">
      <c r="A680" s="86"/>
    </row>
    <row r="681" spans="1:1" ht="13.2">
      <c r="A681" s="86"/>
    </row>
    <row r="682" spans="1:1" ht="13.2">
      <c r="A682" s="86"/>
    </row>
    <row r="683" spans="1:1" ht="13.2">
      <c r="A683" s="86"/>
    </row>
    <row r="684" spans="1:1" ht="13.2">
      <c r="A684" s="86"/>
    </row>
    <row r="685" spans="1:1" ht="13.2">
      <c r="A685" s="86"/>
    </row>
    <row r="686" spans="1:1" ht="13.2">
      <c r="A686" s="86"/>
    </row>
    <row r="687" spans="1:1" ht="13.2">
      <c r="A687" s="86"/>
    </row>
    <row r="688" spans="1:1" ht="13.2">
      <c r="A688" s="86"/>
    </row>
    <row r="689" spans="1:1" ht="13.2">
      <c r="A689" s="86"/>
    </row>
    <row r="690" spans="1:1" ht="13.2">
      <c r="A690" s="86"/>
    </row>
    <row r="691" spans="1:1" ht="13.2">
      <c r="A691" s="86"/>
    </row>
    <row r="692" spans="1:1" ht="13.2">
      <c r="A692" s="86"/>
    </row>
    <row r="693" spans="1:1" ht="13.2">
      <c r="A693" s="86"/>
    </row>
    <row r="694" spans="1:1" ht="13.2">
      <c r="A694" s="86"/>
    </row>
    <row r="695" spans="1:1" ht="13.2">
      <c r="A695" s="86"/>
    </row>
    <row r="696" spans="1:1" ht="13.2">
      <c r="A696" s="86"/>
    </row>
    <row r="697" spans="1:1" ht="13.2">
      <c r="A697" s="86"/>
    </row>
    <row r="698" spans="1:1" ht="13.2">
      <c r="A698" s="86"/>
    </row>
    <row r="699" spans="1:1" ht="13.2">
      <c r="A699" s="86"/>
    </row>
    <row r="700" spans="1:1" ht="13.2">
      <c r="A700" s="86"/>
    </row>
    <row r="701" spans="1:1" ht="13.2">
      <c r="A701" s="86"/>
    </row>
    <row r="702" spans="1:1" ht="13.2">
      <c r="A702" s="86"/>
    </row>
    <row r="703" spans="1:1" ht="13.2">
      <c r="A703" s="86"/>
    </row>
    <row r="704" spans="1:1" ht="13.2">
      <c r="A704" s="86"/>
    </row>
    <row r="705" spans="1:1" ht="13.2">
      <c r="A705" s="86"/>
    </row>
    <row r="706" spans="1:1" ht="13.2">
      <c r="A706" s="86"/>
    </row>
    <row r="707" spans="1:1" ht="13.2">
      <c r="A707" s="86"/>
    </row>
    <row r="708" spans="1:1" ht="13.2">
      <c r="A708" s="86"/>
    </row>
    <row r="709" spans="1:1" ht="13.2">
      <c r="A709" s="86"/>
    </row>
    <row r="710" spans="1:1" ht="13.2">
      <c r="A710" s="86"/>
    </row>
    <row r="711" spans="1:1" ht="13.2">
      <c r="A711" s="86"/>
    </row>
    <row r="712" spans="1:1" ht="13.2">
      <c r="A712" s="86"/>
    </row>
    <row r="713" spans="1:1" ht="13.2">
      <c r="A713" s="86"/>
    </row>
    <row r="714" spans="1:1" ht="13.2">
      <c r="A714" s="86"/>
    </row>
    <row r="715" spans="1:1" ht="13.2">
      <c r="A715" s="86"/>
    </row>
    <row r="716" spans="1:1" ht="13.2">
      <c r="A716" s="86"/>
    </row>
    <row r="717" spans="1:1" ht="13.2">
      <c r="A717" s="86"/>
    </row>
    <row r="718" spans="1:1" ht="13.2">
      <c r="A718" s="86"/>
    </row>
    <row r="719" spans="1:1" ht="13.2">
      <c r="A719" s="86"/>
    </row>
    <row r="720" spans="1:1" ht="13.2">
      <c r="A720" s="86"/>
    </row>
    <row r="721" spans="1:1" ht="13.2">
      <c r="A721" s="86"/>
    </row>
    <row r="722" spans="1:1" ht="13.2">
      <c r="A722" s="86"/>
    </row>
    <row r="723" spans="1:1" ht="13.2">
      <c r="A723" s="86"/>
    </row>
    <row r="724" spans="1:1" ht="13.2">
      <c r="A724" s="86"/>
    </row>
    <row r="725" spans="1:1" ht="13.2">
      <c r="A725" s="86"/>
    </row>
    <row r="726" spans="1:1" ht="13.2">
      <c r="A726" s="86"/>
    </row>
    <row r="727" spans="1:1" ht="13.2">
      <c r="A727" s="86"/>
    </row>
    <row r="728" spans="1:1" ht="13.2">
      <c r="A728" s="86"/>
    </row>
    <row r="729" spans="1:1" ht="13.2">
      <c r="A729" s="86"/>
    </row>
    <row r="730" spans="1:1" ht="13.2">
      <c r="A730" s="86"/>
    </row>
    <row r="731" spans="1:1" ht="13.2">
      <c r="A731" s="86"/>
    </row>
    <row r="732" spans="1:1" ht="13.2">
      <c r="A732" s="86"/>
    </row>
    <row r="733" spans="1:1" ht="13.2">
      <c r="A733" s="86"/>
    </row>
    <row r="734" spans="1:1" ht="13.2">
      <c r="A734" s="86"/>
    </row>
    <row r="735" spans="1:1" ht="13.2">
      <c r="A735" s="86"/>
    </row>
    <row r="736" spans="1:1" ht="13.2">
      <c r="A736" s="86"/>
    </row>
    <row r="737" spans="1:1" ht="13.2">
      <c r="A737" s="86"/>
    </row>
    <row r="738" spans="1:1" ht="13.2">
      <c r="A738" s="86"/>
    </row>
    <row r="739" spans="1:1" ht="13.2">
      <c r="A739" s="86"/>
    </row>
    <row r="740" spans="1:1" ht="13.2">
      <c r="A740" s="86"/>
    </row>
    <row r="741" spans="1:1" ht="13.2">
      <c r="A741" s="86"/>
    </row>
    <row r="742" spans="1:1" ht="13.2">
      <c r="A742" s="86"/>
    </row>
    <row r="743" spans="1:1" ht="13.2">
      <c r="A743" s="86"/>
    </row>
    <row r="744" spans="1:1" ht="13.2">
      <c r="A744" s="86"/>
    </row>
    <row r="745" spans="1:1" ht="13.2">
      <c r="A745" s="86"/>
    </row>
    <row r="746" spans="1:1" ht="13.2">
      <c r="A746" s="86"/>
    </row>
    <row r="747" spans="1:1" ht="13.2">
      <c r="A747" s="86"/>
    </row>
    <row r="748" spans="1:1" ht="13.2">
      <c r="A748" s="86"/>
    </row>
    <row r="749" spans="1:1" ht="13.2">
      <c r="A749" s="86"/>
    </row>
    <row r="750" spans="1:1" ht="13.2">
      <c r="A750" s="86"/>
    </row>
    <row r="751" spans="1:1" ht="13.2">
      <c r="A751" s="86"/>
    </row>
    <row r="752" spans="1:1" ht="13.2">
      <c r="A752" s="86"/>
    </row>
    <row r="753" spans="1:1" ht="13.2">
      <c r="A753" s="86"/>
    </row>
    <row r="754" spans="1:1" ht="13.2">
      <c r="A754" s="86"/>
    </row>
    <row r="755" spans="1:1" ht="13.2">
      <c r="A755" s="86"/>
    </row>
    <row r="756" spans="1:1" ht="13.2">
      <c r="A756" s="86"/>
    </row>
    <row r="757" spans="1:1" ht="13.2">
      <c r="A757" s="86"/>
    </row>
    <row r="758" spans="1:1" ht="13.2">
      <c r="A758" s="86"/>
    </row>
    <row r="759" spans="1:1" ht="13.2">
      <c r="A759" s="86"/>
    </row>
    <row r="760" spans="1:1" ht="13.2">
      <c r="A760" s="86"/>
    </row>
    <row r="761" spans="1:1" ht="13.2">
      <c r="A761" s="86"/>
    </row>
    <row r="762" spans="1:1" ht="13.2">
      <c r="A762" s="86"/>
    </row>
    <row r="763" spans="1:1" ht="13.2">
      <c r="A763" s="86"/>
    </row>
    <row r="764" spans="1:1" ht="13.2">
      <c r="A764" s="86"/>
    </row>
    <row r="765" spans="1:1" ht="13.2">
      <c r="A765" s="86"/>
    </row>
    <row r="766" spans="1:1" ht="13.2">
      <c r="A766" s="86"/>
    </row>
    <row r="767" spans="1:1" ht="13.2">
      <c r="A767" s="86"/>
    </row>
    <row r="768" spans="1:1" ht="13.2">
      <c r="A768" s="86"/>
    </row>
    <row r="769" spans="1:1" ht="13.2">
      <c r="A769" s="86"/>
    </row>
    <row r="770" spans="1:1" ht="13.2">
      <c r="A770" s="86"/>
    </row>
    <row r="771" spans="1:1" ht="13.2">
      <c r="A771" s="86"/>
    </row>
    <row r="772" spans="1:1" ht="13.2">
      <c r="A772" s="86"/>
    </row>
    <row r="773" spans="1:1" ht="13.2">
      <c r="A773" s="86"/>
    </row>
    <row r="774" spans="1:1" ht="13.2">
      <c r="A774" s="86"/>
    </row>
    <row r="775" spans="1:1" ht="13.2">
      <c r="A775" s="86"/>
    </row>
    <row r="776" spans="1:1" ht="13.2">
      <c r="A776" s="86"/>
    </row>
    <row r="777" spans="1:1" ht="13.2">
      <c r="A777" s="86"/>
    </row>
    <row r="778" spans="1:1" ht="13.2">
      <c r="A778" s="86"/>
    </row>
    <row r="779" spans="1:1" ht="13.2">
      <c r="A779" s="86"/>
    </row>
    <row r="780" spans="1:1" ht="13.2">
      <c r="A780" s="86"/>
    </row>
    <row r="781" spans="1:1" ht="13.2">
      <c r="A781" s="86"/>
    </row>
    <row r="782" spans="1:1" ht="13.2">
      <c r="A782" s="86"/>
    </row>
    <row r="783" spans="1:1" ht="13.2">
      <c r="A783" s="86"/>
    </row>
    <row r="784" spans="1:1" ht="13.2">
      <c r="A784" s="86"/>
    </row>
    <row r="785" spans="1:1" ht="13.2">
      <c r="A785" s="86"/>
    </row>
    <row r="786" spans="1:1" ht="13.2">
      <c r="A786" s="86"/>
    </row>
    <row r="787" spans="1:1" ht="13.2">
      <c r="A787" s="86"/>
    </row>
    <row r="788" spans="1:1" ht="13.2">
      <c r="A788" s="86"/>
    </row>
    <row r="789" spans="1:1" ht="13.2">
      <c r="A789" s="86"/>
    </row>
    <row r="790" spans="1:1" ht="13.2">
      <c r="A790" s="86"/>
    </row>
    <row r="791" spans="1:1" ht="13.2">
      <c r="A791" s="86"/>
    </row>
    <row r="792" spans="1:1" ht="13.2">
      <c r="A792" s="86"/>
    </row>
    <row r="793" spans="1:1" ht="13.2">
      <c r="A793" s="86"/>
    </row>
    <row r="794" spans="1:1" ht="13.2">
      <c r="A794" s="86"/>
    </row>
    <row r="795" spans="1:1" ht="13.2">
      <c r="A795" s="86"/>
    </row>
    <row r="796" spans="1:1" ht="13.2">
      <c r="A796" s="86"/>
    </row>
    <row r="797" spans="1:1" ht="13.2">
      <c r="A797" s="86"/>
    </row>
    <row r="798" spans="1:1" ht="13.2">
      <c r="A798" s="86"/>
    </row>
    <row r="799" spans="1:1" ht="13.2">
      <c r="A799" s="86"/>
    </row>
    <row r="800" spans="1:1" ht="13.2">
      <c r="A800" s="86"/>
    </row>
    <row r="801" spans="1:1" ht="13.2">
      <c r="A801" s="86"/>
    </row>
    <row r="802" spans="1:1" ht="13.2">
      <c r="A802" s="86"/>
    </row>
    <row r="803" spans="1:1" ht="13.2">
      <c r="A803" s="86"/>
    </row>
    <row r="804" spans="1:1" ht="13.2">
      <c r="A804" s="86"/>
    </row>
    <row r="805" spans="1:1" ht="13.2">
      <c r="A805" s="86"/>
    </row>
    <row r="806" spans="1:1" ht="13.2">
      <c r="A806" s="86"/>
    </row>
    <row r="807" spans="1:1" ht="13.2">
      <c r="A807" s="86"/>
    </row>
    <row r="808" spans="1:1" ht="13.2">
      <c r="A808" s="86"/>
    </row>
    <row r="809" spans="1:1" ht="13.2">
      <c r="A809" s="86"/>
    </row>
    <row r="810" spans="1:1" ht="13.2">
      <c r="A810" s="86"/>
    </row>
    <row r="811" spans="1:1" ht="13.2">
      <c r="A811" s="86"/>
    </row>
    <row r="812" spans="1:1" ht="13.2">
      <c r="A812" s="86"/>
    </row>
    <row r="813" spans="1:1" ht="13.2">
      <c r="A813" s="86"/>
    </row>
    <row r="814" spans="1:1" ht="13.2">
      <c r="A814" s="86"/>
    </row>
    <row r="815" spans="1:1" ht="13.2">
      <c r="A815" s="86"/>
    </row>
    <row r="816" spans="1:1" ht="13.2">
      <c r="A816" s="86"/>
    </row>
    <row r="817" spans="1:1" ht="13.2">
      <c r="A817" s="86"/>
    </row>
    <row r="818" spans="1:1" ht="13.2">
      <c r="A818" s="86"/>
    </row>
    <row r="819" spans="1:1" ht="13.2">
      <c r="A819" s="86"/>
    </row>
    <row r="820" spans="1:1" ht="13.2">
      <c r="A820" s="86"/>
    </row>
    <row r="821" spans="1:1" ht="13.2">
      <c r="A821" s="86"/>
    </row>
    <row r="822" spans="1:1" ht="13.2">
      <c r="A822" s="86"/>
    </row>
    <row r="823" spans="1:1" ht="13.2">
      <c r="A823" s="86"/>
    </row>
    <row r="824" spans="1:1" ht="13.2">
      <c r="A824" s="86"/>
    </row>
    <row r="825" spans="1:1" ht="13.2">
      <c r="A825" s="86"/>
    </row>
    <row r="826" spans="1:1" ht="13.2">
      <c r="A826" s="86"/>
    </row>
    <row r="827" spans="1:1" ht="13.2">
      <c r="A827" s="86"/>
    </row>
    <row r="828" spans="1:1" ht="13.2">
      <c r="A828" s="86"/>
    </row>
    <row r="829" spans="1:1" ht="13.2">
      <c r="A829" s="86"/>
    </row>
    <row r="830" spans="1:1" ht="13.2">
      <c r="A830" s="86"/>
    </row>
    <row r="831" spans="1:1" ht="13.2">
      <c r="A831" s="86"/>
    </row>
    <row r="832" spans="1:1" ht="13.2">
      <c r="A832" s="86"/>
    </row>
    <row r="833" spans="1:1" ht="13.2">
      <c r="A833" s="86"/>
    </row>
    <row r="834" spans="1:1" ht="13.2">
      <c r="A834" s="86"/>
    </row>
    <row r="835" spans="1:1" ht="13.2">
      <c r="A835" s="86"/>
    </row>
    <row r="836" spans="1:1" ht="13.2">
      <c r="A836" s="86"/>
    </row>
    <row r="837" spans="1:1" ht="13.2">
      <c r="A837" s="86"/>
    </row>
    <row r="838" spans="1:1" ht="13.2">
      <c r="A838" s="86"/>
    </row>
    <row r="839" spans="1:1" ht="13.2">
      <c r="A839" s="86"/>
    </row>
    <row r="840" spans="1:1" ht="13.2">
      <c r="A840" s="86"/>
    </row>
    <row r="841" spans="1:1" ht="13.2">
      <c r="A841" s="86"/>
    </row>
    <row r="842" spans="1:1" ht="13.2">
      <c r="A842" s="86"/>
    </row>
    <row r="843" spans="1:1" ht="13.2">
      <c r="A843" s="86"/>
    </row>
    <row r="844" spans="1:1" ht="13.2">
      <c r="A844" s="86"/>
    </row>
    <row r="845" spans="1:1" ht="13.2">
      <c r="A845" s="86"/>
    </row>
    <row r="846" spans="1:1" ht="13.2">
      <c r="A846" s="86"/>
    </row>
    <row r="847" spans="1:1" ht="13.2">
      <c r="A847" s="86"/>
    </row>
    <row r="848" spans="1:1" ht="13.2">
      <c r="A848" s="86"/>
    </row>
    <row r="849" spans="1:1" ht="13.2">
      <c r="A849" s="86"/>
    </row>
    <row r="850" spans="1:1" ht="13.2">
      <c r="A850" s="86"/>
    </row>
    <row r="851" spans="1:1" ht="13.2">
      <c r="A851" s="86"/>
    </row>
    <row r="852" spans="1:1" ht="13.2">
      <c r="A852" s="86"/>
    </row>
    <row r="853" spans="1:1" ht="13.2">
      <c r="A853" s="86"/>
    </row>
    <row r="854" spans="1:1" ht="13.2">
      <c r="A854" s="86"/>
    </row>
    <row r="855" spans="1:1" ht="13.2">
      <c r="A855" s="86"/>
    </row>
    <row r="856" spans="1:1" ht="13.2">
      <c r="A856" s="86"/>
    </row>
    <row r="857" spans="1:1" ht="13.2">
      <c r="A857" s="86"/>
    </row>
    <row r="858" spans="1:1" ht="13.2">
      <c r="A858" s="86"/>
    </row>
    <row r="859" spans="1:1" ht="13.2">
      <c r="A859" s="86"/>
    </row>
    <row r="860" spans="1:1" ht="13.2">
      <c r="A860" s="86"/>
    </row>
    <row r="861" spans="1:1" ht="13.2">
      <c r="A861" s="86"/>
    </row>
    <row r="862" spans="1:1" ht="13.2">
      <c r="A862" s="86"/>
    </row>
    <row r="863" spans="1:1" ht="13.2">
      <c r="A863" s="86"/>
    </row>
    <row r="864" spans="1:1" ht="13.2">
      <c r="A864" s="86"/>
    </row>
    <row r="865" spans="1:1" ht="13.2">
      <c r="A865" s="86"/>
    </row>
    <row r="866" spans="1:1" ht="13.2">
      <c r="A866" s="86"/>
    </row>
    <row r="867" spans="1:1" ht="13.2">
      <c r="A867" s="86"/>
    </row>
    <row r="868" spans="1:1" ht="13.2">
      <c r="A868" s="86"/>
    </row>
    <row r="869" spans="1:1" ht="13.2">
      <c r="A869" s="86"/>
    </row>
    <row r="870" spans="1:1" ht="13.2">
      <c r="A870" s="86"/>
    </row>
    <row r="871" spans="1:1" ht="13.2">
      <c r="A871" s="86"/>
    </row>
    <row r="872" spans="1:1" ht="13.2">
      <c r="A872" s="86"/>
    </row>
    <row r="873" spans="1:1" ht="13.2">
      <c r="A873" s="86"/>
    </row>
    <row r="874" spans="1:1" ht="13.2">
      <c r="A874" s="86"/>
    </row>
    <row r="875" spans="1:1" ht="13.2">
      <c r="A875" s="86"/>
    </row>
    <row r="876" spans="1:1" ht="13.2">
      <c r="A876" s="86"/>
    </row>
    <row r="877" spans="1:1" ht="13.2">
      <c r="A877" s="86"/>
    </row>
    <row r="878" spans="1:1" ht="13.2">
      <c r="A878" s="86"/>
    </row>
    <row r="879" spans="1:1" ht="13.2">
      <c r="A879" s="86"/>
    </row>
    <row r="880" spans="1:1" ht="13.2">
      <c r="A880" s="86"/>
    </row>
    <row r="881" spans="1:1" ht="13.2">
      <c r="A881" s="86"/>
    </row>
    <row r="882" spans="1:1" ht="13.2">
      <c r="A882" s="86"/>
    </row>
    <row r="883" spans="1:1" ht="13.2">
      <c r="A883" s="86"/>
    </row>
    <row r="884" spans="1:1" ht="13.2">
      <c r="A884" s="86"/>
    </row>
    <row r="885" spans="1:1" ht="13.2">
      <c r="A885" s="86"/>
    </row>
    <row r="886" spans="1:1" ht="13.2">
      <c r="A886" s="86"/>
    </row>
    <row r="887" spans="1:1" ht="13.2">
      <c r="A887" s="86"/>
    </row>
    <row r="888" spans="1:1" ht="13.2">
      <c r="A888" s="86"/>
    </row>
    <row r="889" spans="1:1" ht="13.2">
      <c r="A889" s="86"/>
    </row>
    <row r="890" spans="1:1" ht="13.2">
      <c r="A890" s="86"/>
    </row>
    <row r="891" spans="1:1" ht="13.2">
      <c r="A891" s="86"/>
    </row>
    <row r="892" spans="1:1" ht="13.2">
      <c r="A892" s="86"/>
    </row>
    <row r="893" spans="1:1" ht="13.2">
      <c r="A893" s="86"/>
    </row>
    <row r="894" spans="1:1" ht="13.2">
      <c r="A894" s="86"/>
    </row>
    <row r="895" spans="1:1" ht="13.2">
      <c r="A895" s="86"/>
    </row>
    <row r="896" spans="1:1" ht="13.2">
      <c r="A896" s="86"/>
    </row>
    <row r="897" spans="1:1" ht="13.2">
      <c r="A897" s="86"/>
    </row>
    <row r="898" spans="1:1" ht="13.2">
      <c r="A898" s="86"/>
    </row>
    <row r="899" spans="1:1" ht="13.2">
      <c r="A899" s="86"/>
    </row>
    <row r="900" spans="1:1" ht="13.2">
      <c r="A900" s="86"/>
    </row>
    <row r="901" spans="1:1" ht="13.2">
      <c r="A901" s="86"/>
    </row>
    <row r="902" spans="1:1" ht="13.2">
      <c r="A902" s="86"/>
    </row>
    <row r="903" spans="1:1" ht="13.2">
      <c r="A903" s="86"/>
    </row>
    <row r="904" spans="1:1" ht="13.2">
      <c r="A904" s="86"/>
    </row>
    <row r="905" spans="1:1" ht="13.2">
      <c r="A905" s="86"/>
    </row>
    <row r="906" spans="1:1" ht="13.2">
      <c r="A906" s="86"/>
    </row>
    <row r="907" spans="1:1" ht="13.2">
      <c r="A907" s="86"/>
    </row>
    <row r="908" spans="1:1" ht="13.2">
      <c r="A908" s="86"/>
    </row>
    <row r="909" spans="1:1" ht="13.2">
      <c r="A909" s="86"/>
    </row>
    <row r="910" spans="1:1" ht="13.2">
      <c r="A910" s="86"/>
    </row>
    <row r="911" spans="1:1" ht="13.2">
      <c r="A911" s="86"/>
    </row>
    <row r="912" spans="1:1" ht="13.2">
      <c r="A912" s="86"/>
    </row>
    <row r="913" spans="1:1" ht="13.2">
      <c r="A913" s="86"/>
    </row>
    <row r="914" spans="1:1" ht="13.2">
      <c r="A914" s="86"/>
    </row>
    <row r="915" spans="1:1" ht="13.2">
      <c r="A915" s="86"/>
    </row>
    <row r="916" spans="1:1" ht="13.2">
      <c r="A916" s="86"/>
    </row>
    <row r="917" spans="1:1" ht="13.2">
      <c r="A917" s="86"/>
    </row>
    <row r="918" spans="1:1" ht="13.2">
      <c r="A918" s="86"/>
    </row>
    <row r="919" spans="1:1" ht="13.2">
      <c r="A919" s="86"/>
    </row>
    <row r="920" spans="1:1" ht="13.2">
      <c r="A920" s="86"/>
    </row>
    <row r="921" spans="1:1" ht="13.2">
      <c r="A921" s="86"/>
    </row>
    <row r="922" spans="1:1" ht="13.2">
      <c r="A922" s="86"/>
    </row>
    <row r="923" spans="1:1" ht="13.2">
      <c r="A923" s="86"/>
    </row>
    <row r="924" spans="1:1" ht="13.2">
      <c r="A924" s="86"/>
    </row>
    <row r="925" spans="1:1" ht="13.2">
      <c r="A925" s="86"/>
    </row>
    <row r="926" spans="1:1" ht="13.2">
      <c r="A926" s="86"/>
    </row>
    <row r="927" spans="1:1" ht="13.2">
      <c r="A927" s="86"/>
    </row>
    <row r="928" spans="1:1" ht="13.2">
      <c r="A928" s="86"/>
    </row>
    <row r="929" spans="1:1" ht="13.2">
      <c r="A929" s="86"/>
    </row>
    <row r="930" spans="1:1" ht="13.2">
      <c r="A930" s="86"/>
    </row>
    <row r="931" spans="1:1" ht="13.2">
      <c r="A931" s="86"/>
    </row>
    <row r="932" spans="1:1" ht="13.2">
      <c r="A932" s="86"/>
    </row>
    <row r="933" spans="1:1" ht="13.2">
      <c r="A933" s="86"/>
    </row>
    <row r="934" spans="1:1" ht="13.2">
      <c r="A934" s="86"/>
    </row>
    <row r="935" spans="1:1" ht="13.2">
      <c r="A935" s="86"/>
    </row>
    <row r="936" spans="1:1" ht="13.2">
      <c r="A936" s="86"/>
    </row>
    <row r="937" spans="1:1" ht="13.2">
      <c r="A937" s="86"/>
    </row>
    <row r="938" spans="1:1" ht="13.2">
      <c r="A938" s="86"/>
    </row>
    <row r="939" spans="1:1" ht="13.2">
      <c r="A939" s="86"/>
    </row>
    <row r="940" spans="1:1" ht="13.2">
      <c r="A940" s="86"/>
    </row>
    <row r="941" spans="1:1" ht="13.2">
      <c r="A941" s="86"/>
    </row>
    <row r="942" spans="1:1" ht="13.2">
      <c r="A942" s="86"/>
    </row>
    <row r="943" spans="1:1" ht="13.2">
      <c r="A943" s="86"/>
    </row>
    <row r="944" spans="1:1" ht="13.2">
      <c r="A944" s="86"/>
    </row>
    <row r="945" spans="1:1" ht="13.2">
      <c r="A945" s="86"/>
    </row>
    <row r="946" spans="1:1" ht="13.2">
      <c r="A946" s="86"/>
    </row>
    <row r="947" spans="1:1" ht="13.2">
      <c r="A947" s="86"/>
    </row>
    <row r="948" spans="1:1" ht="13.2">
      <c r="A948" s="86"/>
    </row>
    <row r="949" spans="1:1" ht="13.2">
      <c r="A949" s="86"/>
    </row>
    <row r="950" spans="1:1" ht="13.2">
      <c r="A950" s="86"/>
    </row>
    <row r="951" spans="1:1" ht="13.2">
      <c r="A951" s="86"/>
    </row>
    <row r="952" spans="1:1" ht="13.2">
      <c r="A952" s="86"/>
    </row>
    <row r="953" spans="1:1" ht="13.2">
      <c r="A953" s="86"/>
    </row>
    <row r="954" spans="1:1" ht="13.2">
      <c r="A954" s="86"/>
    </row>
    <row r="955" spans="1:1" ht="13.2">
      <c r="A955" s="86"/>
    </row>
    <row r="956" spans="1:1" ht="13.2">
      <c r="A956" s="86"/>
    </row>
    <row r="957" spans="1:1" ht="13.2">
      <c r="A957" s="86"/>
    </row>
    <row r="958" spans="1:1" ht="13.2">
      <c r="A958" s="86"/>
    </row>
    <row r="959" spans="1:1" ht="13.2">
      <c r="A959" s="86"/>
    </row>
    <row r="960" spans="1:1" ht="13.2">
      <c r="A960" s="86"/>
    </row>
    <row r="961" spans="1:1" ht="13.2">
      <c r="A961" s="86"/>
    </row>
    <row r="962" spans="1:1" ht="13.2">
      <c r="A962" s="86"/>
    </row>
    <row r="963" spans="1:1" ht="13.2">
      <c r="A963" s="86"/>
    </row>
    <row r="964" spans="1:1" ht="13.2">
      <c r="A964" s="86"/>
    </row>
    <row r="965" spans="1:1" ht="13.2">
      <c r="A965" s="86"/>
    </row>
    <row r="966" spans="1:1" ht="13.2">
      <c r="A966" s="86"/>
    </row>
    <row r="967" spans="1:1" ht="13.2">
      <c r="A967" s="86"/>
    </row>
    <row r="968" spans="1:1" ht="13.2">
      <c r="A968" s="86"/>
    </row>
    <row r="969" spans="1:1" ht="13.2">
      <c r="A969" s="86"/>
    </row>
    <row r="970" spans="1:1" ht="13.2">
      <c r="A970" s="86"/>
    </row>
    <row r="971" spans="1:1" ht="13.2">
      <c r="A971" s="86"/>
    </row>
    <row r="972" spans="1:1" ht="13.2">
      <c r="A972" s="86"/>
    </row>
    <row r="973" spans="1:1" ht="13.2">
      <c r="A973" s="86"/>
    </row>
    <row r="974" spans="1:1" ht="13.2">
      <c r="A974" s="86"/>
    </row>
    <row r="975" spans="1:1" ht="13.2">
      <c r="A975" s="86"/>
    </row>
    <row r="976" spans="1:1" ht="13.2">
      <c r="A976" s="86"/>
    </row>
    <row r="977" spans="1:1" ht="13.2">
      <c r="A977" s="86"/>
    </row>
    <row r="978" spans="1:1" ht="13.2">
      <c r="A978" s="86"/>
    </row>
    <row r="979" spans="1:1" ht="13.2">
      <c r="A979" s="86"/>
    </row>
    <row r="980" spans="1:1" ht="13.2">
      <c r="A980" s="86"/>
    </row>
    <row r="981" spans="1:1" ht="13.2">
      <c r="A981" s="86"/>
    </row>
    <row r="982" spans="1:1" ht="13.2">
      <c r="A982" s="86"/>
    </row>
    <row r="983" spans="1:1" ht="13.2">
      <c r="A983" s="86"/>
    </row>
    <row r="984" spans="1:1" ht="13.2">
      <c r="A984" s="86"/>
    </row>
    <row r="985" spans="1:1" ht="13.2">
      <c r="A985" s="86"/>
    </row>
    <row r="986" spans="1:1" ht="13.2">
      <c r="A986" s="86"/>
    </row>
    <row r="987" spans="1:1" ht="13.2">
      <c r="A987" s="86"/>
    </row>
    <row r="988" spans="1:1" ht="13.2">
      <c r="A988" s="86"/>
    </row>
    <row r="989" spans="1:1" ht="13.2">
      <c r="A989" s="86"/>
    </row>
    <row r="990" spans="1:1" ht="13.2">
      <c r="A990" s="86"/>
    </row>
    <row r="991" spans="1:1" ht="13.2">
      <c r="A991" s="86"/>
    </row>
    <row r="992" spans="1:1" ht="13.2">
      <c r="A992" s="86"/>
    </row>
    <row r="993" spans="1:1" ht="13.2">
      <c r="A993" s="86"/>
    </row>
    <row r="994" spans="1:1" ht="13.2">
      <c r="A994" s="86"/>
    </row>
    <row r="995" spans="1:1" ht="13.2">
      <c r="A995" s="86"/>
    </row>
    <row r="996" spans="1:1" ht="13.2">
      <c r="A996" s="86"/>
    </row>
    <row r="997" spans="1:1" ht="13.2">
      <c r="A997" s="86"/>
    </row>
    <row r="998" spans="1:1" ht="13.2">
      <c r="A998" s="86"/>
    </row>
    <row r="999" spans="1:1" ht="13.2">
      <c r="A999" s="86"/>
    </row>
    <row r="1000" spans="1:1" ht="13.2">
      <c r="A1000" s="86"/>
    </row>
    <row r="1001" spans="1:1" ht="13.2">
      <c r="A1001" s="86"/>
    </row>
    <row r="1002" spans="1:1" ht="13.2">
      <c r="A1002" s="86"/>
    </row>
    <row r="1003" spans="1:1" ht="13.2">
      <c r="A1003" s="86"/>
    </row>
  </sheetData>
  <mergeCells count="1">
    <mergeCell ref="R45:R47"/>
  </mergeCells>
  <conditionalFormatting sqref="C12:C36">
    <cfRule type="colorScale" priority="22">
      <colorScale>
        <cfvo type="min"/>
        <cfvo type="max"/>
        <color rgb="FFFFFFFF"/>
        <color rgb="FF57BB8A"/>
      </colorScale>
    </cfRule>
  </conditionalFormatting>
  <conditionalFormatting sqref="C39:D42 F39:J42 M39:M42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3:E64">
    <cfRule type="colorScale" priority="1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C45:F4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6:F4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7:F47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6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3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9:E4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2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3:F6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2">
    <cfRule type="colorScale" priority="1">
      <colorScale>
        <cfvo type="min"/>
        <cfvo type="max"/>
        <color rgb="FFFFD666"/>
        <color rgb="FFFFFFFF"/>
      </colorScale>
    </cfRule>
  </conditionalFormatting>
  <conditionalFormatting sqref="H12:H36">
    <cfRule type="colorScale" priority="17">
      <colorScale>
        <cfvo type="min"/>
        <cfvo type="max"/>
        <color rgb="FFFFFFFF"/>
        <color rgb="FF57BB8A"/>
      </colorScale>
    </cfRule>
  </conditionalFormatting>
  <conditionalFormatting sqref="H39:H43">
    <cfRule type="colorScale" priority="5">
      <colorScale>
        <cfvo type="min"/>
        <cfvo type="max"/>
        <color rgb="FFFFFFFF"/>
        <color rgb="FF57BB8A"/>
      </colorScale>
    </cfRule>
  </conditionalFormatting>
  <conditionalFormatting sqref="I12:J36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5:L45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2:L36">
    <cfRule type="colorScale" priority="2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K39:L42">
    <cfRule type="colorScale" priority="2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12:M36">
    <cfRule type="colorScale" priority="9">
      <colorScale>
        <cfvo type="min"/>
        <cfvo type="max"/>
        <color rgb="FFFFFFFF"/>
        <color rgb="FF57BB8A"/>
      </colorScale>
    </cfRule>
  </conditionalFormatting>
  <conditionalFormatting sqref="N12:O36">
    <cfRule type="colorScale" priority="2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39:O42">
    <cfRule type="colorScale" priority="2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45:Q45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7:Q47">
    <cfRule type="colorScale" priority="2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49:T52 X6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49:U54 Y60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44 AB44 E49:E60 J49:J57 O49:O60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49:Z57 E58:E60 O58 O60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49:AA57 S5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2025-08-28T07:21:33Z</dcterms:created>
  <dcterms:modified xsi:type="dcterms:W3CDTF">2025-08-28T07:33:52Z</dcterms:modified>
</cp:coreProperties>
</file>