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F964EE08-4855-43BE-A126-26E3F203200E}" xr6:coauthVersionLast="47" xr6:coauthVersionMax="47" xr10:uidLastSave="{00000000-0000-0000-0000-000000000000}"/>
  <bookViews>
    <workbookView xWindow="-108" yWindow="-108" windowWidth="23256" windowHeight="12456" xr2:uid="{6E8D158B-570B-4600-8F2F-87C7E7813F55}"/>
  </bookViews>
  <sheets>
    <sheet name="Voltas" sheetId="1" r:id="rId1"/>
    <sheet name="Household Applianc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4" i="2" l="1"/>
  <c r="G261" i="2"/>
  <c r="G260" i="2"/>
  <c r="G259" i="2"/>
  <c r="G258" i="2"/>
  <c r="G257" i="2"/>
  <c r="G256" i="2"/>
  <c r="G255" i="2"/>
  <c r="G254" i="2"/>
  <c r="G253" i="2"/>
  <c r="G252" i="2"/>
  <c r="G251" i="2"/>
  <c r="G250" i="2"/>
  <c r="AE244" i="2"/>
  <c r="AA244" i="2"/>
  <c r="Z244" i="2"/>
  <c r="X244" i="2"/>
  <c r="W244" i="2"/>
  <c r="V244" i="2"/>
  <c r="U244" i="2"/>
  <c r="T244" i="2"/>
  <c r="AL244" i="2" s="1"/>
  <c r="S244" i="2"/>
  <c r="R244" i="2"/>
  <c r="Q244" i="2"/>
  <c r="P244" i="2"/>
  <c r="O244" i="2"/>
  <c r="AG244" i="2" s="1"/>
  <c r="N244" i="2"/>
  <c r="M244" i="2"/>
  <c r="AJ244" i="2" s="1"/>
  <c r="L244" i="2"/>
  <c r="AF244" i="2" s="1"/>
  <c r="K244" i="2"/>
  <c r="J244" i="2"/>
  <c r="I244" i="2"/>
  <c r="AH244" i="2" s="1"/>
  <c r="H244" i="2"/>
  <c r="G244" i="2"/>
  <c r="F244" i="2"/>
  <c r="AI244" i="2" s="1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AL234" i="2"/>
  <c r="AK234" i="2"/>
  <c r="AJ234" i="2"/>
  <c r="AI234" i="2"/>
  <c r="AH234" i="2"/>
  <c r="AG234" i="2"/>
  <c r="AF234" i="2"/>
  <c r="AE234" i="2"/>
  <c r="AD234" i="2"/>
  <c r="Y234" i="2"/>
  <c r="E234" i="2"/>
  <c r="D234" i="2"/>
  <c r="AO234" i="2" s="1"/>
  <c r="AO233" i="2"/>
  <c r="AN233" i="2"/>
  <c r="AL233" i="2"/>
  <c r="AK233" i="2"/>
  <c r="AJ233" i="2"/>
  <c r="AI233" i="2"/>
  <c r="AH233" i="2"/>
  <c r="AG233" i="2"/>
  <c r="AF233" i="2"/>
  <c r="AE233" i="2"/>
  <c r="AD233" i="2"/>
  <c r="Y233" i="2"/>
  <c r="E233" i="2"/>
  <c r="D233" i="2"/>
  <c r="AM232" i="2"/>
  <c r="AL232" i="2"/>
  <c r="AK232" i="2"/>
  <c r="AJ232" i="2"/>
  <c r="AI232" i="2"/>
  <c r="AH232" i="2"/>
  <c r="AG232" i="2"/>
  <c r="AF232" i="2"/>
  <c r="AE232" i="2"/>
  <c r="AD232" i="2"/>
  <c r="Y232" i="2"/>
  <c r="E232" i="2"/>
  <c r="D232" i="2"/>
  <c r="AO232" i="2" s="1"/>
  <c r="AN231" i="2"/>
  <c r="AL231" i="2"/>
  <c r="AK231" i="2"/>
  <c r="AJ231" i="2"/>
  <c r="AI231" i="2"/>
  <c r="AH231" i="2"/>
  <c r="AG231" i="2"/>
  <c r="AF231" i="2"/>
  <c r="AE231" i="2"/>
  <c r="AD231" i="2"/>
  <c r="Y231" i="2"/>
  <c r="AO231" i="2" s="1"/>
  <c r="E231" i="2"/>
  <c r="D231" i="2"/>
  <c r="AL230" i="2"/>
  <c r="AK230" i="2"/>
  <c r="AJ230" i="2"/>
  <c r="AI230" i="2"/>
  <c r="AH230" i="2"/>
  <c r="AG230" i="2"/>
  <c r="AF230" i="2"/>
  <c r="AE230" i="2"/>
  <c r="AD230" i="2"/>
  <c r="Y230" i="2"/>
  <c r="AO230" i="2" s="1"/>
  <c r="E230" i="2"/>
  <c r="D230" i="2"/>
  <c r="AN230" i="2" s="1"/>
  <c r="AL229" i="2"/>
  <c r="AK229" i="2"/>
  <c r="AJ229" i="2"/>
  <c r="AI229" i="2"/>
  <c r="AH229" i="2"/>
  <c r="AG229" i="2"/>
  <c r="AF229" i="2"/>
  <c r="AE229" i="2"/>
  <c r="AD229" i="2"/>
  <c r="Y229" i="2"/>
  <c r="E229" i="2"/>
  <c r="D229" i="2"/>
  <c r="AN229" i="2" s="1"/>
  <c r="AL228" i="2"/>
  <c r="AK228" i="2"/>
  <c r="AJ228" i="2"/>
  <c r="AI228" i="2"/>
  <c r="AH228" i="2"/>
  <c r="AG228" i="2"/>
  <c r="AF228" i="2"/>
  <c r="AE228" i="2"/>
  <c r="AD228" i="2"/>
  <c r="Y228" i="2"/>
  <c r="E228" i="2"/>
  <c r="D228" i="2"/>
  <c r="AN228" i="2" s="1"/>
  <c r="AL227" i="2"/>
  <c r="AK227" i="2"/>
  <c r="AJ227" i="2"/>
  <c r="AI227" i="2"/>
  <c r="AH227" i="2"/>
  <c r="AG227" i="2"/>
  <c r="AF227" i="2"/>
  <c r="AE227" i="2"/>
  <c r="AD227" i="2"/>
  <c r="Y227" i="2"/>
  <c r="E227" i="2"/>
  <c r="D227" i="2"/>
  <c r="AN227" i="2" s="1"/>
  <c r="AL226" i="2"/>
  <c r="AK226" i="2"/>
  <c r="AJ226" i="2"/>
  <c r="AI226" i="2"/>
  <c r="AH226" i="2"/>
  <c r="AG226" i="2"/>
  <c r="AF226" i="2"/>
  <c r="AE226" i="2"/>
  <c r="AD226" i="2"/>
  <c r="Y226" i="2"/>
  <c r="E226" i="2"/>
  <c r="D226" i="2"/>
  <c r="AL225" i="2"/>
  <c r="AK225" i="2"/>
  <c r="AJ225" i="2"/>
  <c r="AI225" i="2"/>
  <c r="AH225" i="2"/>
  <c r="AG225" i="2"/>
  <c r="AF225" i="2"/>
  <c r="AE225" i="2"/>
  <c r="AD225" i="2"/>
  <c r="Y225" i="2"/>
  <c r="E225" i="2"/>
  <c r="D225" i="2"/>
  <c r="AL224" i="2"/>
  <c r="AK224" i="2"/>
  <c r="AJ224" i="2"/>
  <c r="AI224" i="2"/>
  <c r="AH224" i="2"/>
  <c r="AG224" i="2"/>
  <c r="AF224" i="2"/>
  <c r="AE224" i="2"/>
  <c r="AD224" i="2"/>
  <c r="Y224" i="2"/>
  <c r="AO224" i="2" s="1"/>
  <c r="E224" i="2"/>
  <c r="D224" i="2"/>
  <c r="AM224" i="2" s="1"/>
  <c r="AL223" i="2"/>
  <c r="AK223" i="2"/>
  <c r="AJ223" i="2"/>
  <c r="AI223" i="2"/>
  <c r="AH223" i="2"/>
  <c r="AG223" i="2"/>
  <c r="AF223" i="2"/>
  <c r="AE223" i="2"/>
  <c r="AD223" i="2"/>
  <c r="Y223" i="2"/>
  <c r="AM223" i="2" s="1"/>
  <c r="E223" i="2"/>
  <c r="D223" i="2"/>
  <c r="AN223" i="2" s="1"/>
  <c r="K53" i="2"/>
  <c r="G53" i="2"/>
  <c r="C48" i="2"/>
  <c r="R79" i="1"/>
  <c r="Q79" i="1"/>
  <c r="P79" i="1"/>
  <c r="R77" i="1"/>
  <c r="R76" i="1"/>
  <c r="R75" i="1"/>
  <c r="R74" i="1"/>
  <c r="R73" i="1"/>
  <c r="S66" i="1"/>
  <c r="Q66" i="1"/>
  <c r="P66" i="1"/>
  <c r="R66" i="1" s="1"/>
  <c r="S64" i="1"/>
  <c r="S63" i="1"/>
  <c r="R63" i="1"/>
  <c r="S62" i="1"/>
  <c r="S61" i="1"/>
  <c r="R61" i="1"/>
  <c r="S60" i="1"/>
  <c r="S59" i="1"/>
  <c r="R59" i="1"/>
  <c r="Y58" i="1"/>
  <c r="W58" i="1"/>
  <c r="V58" i="1"/>
  <c r="X58" i="1" s="1"/>
  <c r="S58" i="1"/>
  <c r="Y56" i="1"/>
  <c r="X56" i="1"/>
  <c r="Y55" i="1"/>
  <c r="Y54" i="1"/>
  <c r="X54" i="1"/>
  <c r="R54" i="1"/>
  <c r="Q54" i="1"/>
  <c r="P54" i="1"/>
  <c r="I54" i="1"/>
  <c r="Q53" i="1"/>
  <c r="P53" i="1"/>
  <c r="R53" i="1" s="1"/>
  <c r="V51" i="1"/>
  <c r="U51" i="1"/>
  <c r="W51" i="1" s="1"/>
  <c r="R51" i="1"/>
  <c r="AA50" i="1"/>
  <c r="Z50" i="1"/>
  <c r="AB50" i="1" s="1"/>
  <c r="W50" i="1"/>
  <c r="V50" i="1"/>
  <c r="U50" i="1"/>
  <c r="R50" i="1"/>
  <c r="AB49" i="1"/>
  <c r="AA49" i="1"/>
  <c r="Z49" i="1"/>
  <c r="V49" i="1"/>
  <c r="W49" i="1" s="1"/>
  <c r="U49" i="1"/>
  <c r="Q49" i="1"/>
  <c r="M49" i="1"/>
  <c r="AB48" i="1"/>
  <c r="W48" i="1"/>
  <c r="Q48" i="1"/>
  <c r="Q52" i="1" s="1"/>
  <c r="C48" i="1"/>
  <c r="C49" i="1" s="1"/>
  <c r="AB47" i="1"/>
  <c r="W47" i="1"/>
  <c r="R47" i="1"/>
  <c r="AB46" i="1"/>
  <c r="W46" i="1"/>
  <c r="R46" i="1"/>
  <c r="Q46" i="1"/>
  <c r="P46" i="1"/>
  <c r="P48" i="1" s="1"/>
  <c r="AB45" i="1"/>
  <c r="W45" i="1"/>
  <c r="R45" i="1"/>
  <c r="AB44" i="1"/>
  <c r="W44" i="1"/>
  <c r="R44" i="1"/>
  <c r="N41" i="1"/>
  <c r="L41" i="1"/>
  <c r="K41" i="1"/>
  <c r="J41" i="1"/>
  <c r="I41" i="1"/>
  <c r="H41" i="1"/>
  <c r="G41" i="1"/>
  <c r="F41" i="1"/>
  <c r="E41" i="1"/>
  <c r="D41" i="1"/>
  <c r="C41" i="1"/>
  <c r="N40" i="1"/>
  <c r="K40" i="1"/>
  <c r="J40" i="1"/>
  <c r="H40" i="1"/>
  <c r="G40" i="1"/>
  <c r="F40" i="1"/>
  <c r="E40" i="1"/>
  <c r="D40" i="1"/>
  <c r="C40" i="1"/>
  <c r="N39" i="1"/>
  <c r="K39" i="1"/>
  <c r="J39" i="1"/>
  <c r="H39" i="1"/>
  <c r="G39" i="1"/>
  <c r="F39" i="1"/>
  <c r="E39" i="1"/>
  <c r="D39" i="1"/>
  <c r="C39" i="1"/>
  <c r="N38" i="1"/>
  <c r="K38" i="1"/>
  <c r="J38" i="1"/>
  <c r="H38" i="1"/>
  <c r="G38" i="1"/>
  <c r="F38" i="1"/>
  <c r="E38" i="1"/>
  <c r="D38" i="1"/>
  <c r="C38" i="1"/>
  <c r="K36" i="1"/>
  <c r="J36" i="1"/>
  <c r="P35" i="1"/>
  <c r="O35" i="1"/>
  <c r="L35" i="1"/>
  <c r="L36" i="1" s="1"/>
  <c r="I35" i="1"/>
  <c r="H35" i="1"/>
  <c r="H36" i="1" s="1"/>
  <c r="F35" i="1"/>
  <c r="E35" i="1"/>
  <c r="D35" i="1"/>
  <c r="C35" i="1"/>
  <c r="O34" i="1"/>
  <c r="P34" i="1" s="1"/>
  <c r="M34" i="1"/>
  <c r="M41" i="1" s="1"/>
  <c r="L34" i="1"/>
  <c r="I34" i="1"/>
  <c r="O33" i="1"/>
  <c r="P33" i="1" s="1"/>
  <c r="M33" i="1"/>
  <c r="L33" i="1"/>
  <c r="I33" i="1"/>
  <c r="P32" i="1"/>
  <c r="P41" i="1" s="1"/>
  <c r="O32" i="1"/>
  <c r="M32" i="1"/>
  <c r="L32" i="1"/>
  <c r="I32" i="1"/>
  <c r="P31" i="1"/>
  <c r="O31" i="1"/>
  <c r="M31" i="1"/>
  <c r="M39" i="1" s="1"/>
  <c r="L31" i="1"/>
  <c r="I31" i="1"/>
  <c r="O30" i="1"/>
  <c r="P30" i="1" s="1"/>
  <c r="M30" i="1"/>
  <c r="L30" i="1"/>
  <c r="I30" i="1"/>
  <c r="P29" i="1"/>
  <c r="O29" i="1"/>
  <c r="M29" i="1"/>
  <c r="M40" i="1" s="1"/>
  <c r="L29" i="1"/>
  <c r="L40" i="1" s="1"/>
  <c r="I29" i="1"/>
  <c r="I40" i="1" s="1"/>
  <c r="P28" i="1"/>
  <c r="O28" i="1"/>
  <c r="M28" i="1"/>
  <c r="L28" i="1"/>
  <c r="I28" i="1"/>
  <c r="P27" i="1"/>
  <c r="O27" i="1"/>
  <c r="M27" i="1"/>
  <c r="L27" i="1"/>
  <c r="L39" i="1" s="1"/>
  <c r="I27" i="1"/>
  <c r="O26" i="1"/>
  <c r="P26" i="1" s="1"/>
  <c r="M26" i="1"/>
  <c r="L26" i="1"/>
  <c r="I26" i="1"/>
  <c r="O25" i="1"/>
  <c r="P25" i="1" s="1"/>
  <c r="M25" i="1"/>
  <c r="L25" i="1"/>
  <c r="I25" i="1"/>
  <c r="P24" i="1"/>
  <c r="O24" i="1"/>
  <c r="M24" i="1"/>
  <c r="L24" i="1"/>
  <c r="I24" i="1"/>
  <c r="I39" i="1" s="1"/>
  <c r="P23" i="1"/>
  <c r="O23" i="1"/>
  <c r="M23" i="1"/>
  <c r="L23" i="1"/>
  <c r="I23" i="1"/>
  <c r="O22" i="1"/>
  <c r="P22" i="1" s="1"/>
  <c r="M22" i="1"/>
  <c r="L22" i="1"/>
  <c r="I22" i="1"/>
  <c r="P21" i="1"/>
  <c r="O21" i="1"/>
  <c r="M21" i="1"/>
  <c r="L21" i="1"/>
  <c r="I21" i="1"/>
  <c r="P20" i="1"/>
  <c r="O20" i="1"/>
  <c r="M20" i="1"/>
  <c r="L20" i="1"/>
  <c r="I20" i="1"/>
  <c r="P19" i="1"/>
  <c r="O19" i="1"/>
  <c r="M19" i="1"/>
  <c r="L19" i="1"/>
  <c r="I19" i="1"/>
  <c r="O18" i="1"/>
  <c r="P18" i="1" s="1"/>
  <c r="M18" i="1"/>
  <c r="L18" i="1"/>
  <c r="I18" i="1"/>
  <c r="O17" i="1"/>
  <c r="P17" i="1" s="1"/>
  <c r="M17" i="1"/>
  <c r="L17" i="1"/>
  <c r="I17" i="1"/>
  <c r="P16" i="1"/>
  <c r="O16" i="1"/>
  <c r="M16" i="1"/>
  <c r="L16" i="1"/>
  <c r="I16" i="1"/>
  <c r="P15" i="1"/>
  <c r="O15" i="1"/>
  <c r="M15" i="1"/>
  <c r="L15" i="1"/>
  <c r="I15" i="1"/>
  <c r="O14" i="1"/>
  <c r="P14" i="1" s="1"/>
  <c r="M14" i="1"/>
  <c r="M38" i="1" s="1"/>
  <c r="L14" i="1"/>
  <c r="L38" i="1" s="1"/>
  <c r="I14" i="1"/>
  <c r="I38" i="1" s="1"/>
  <c r="P13" i="1"/>
  <c r="P38" i="1" s="1"/>
  <c r="O13" i="1"/>
  <c r="M13" i="1"/>
  <c r="L13" i="1"/>
  <c r="I13" i="1"/>
  <c r="P12" i="1"/>
  <c r="O12" i="1"/>
  <c r="M12" i="1"/>
  <c r="L12" i="1"/>
  <c r="I12" i="1"/>
  <c r="T9" i="1"/>
  <c r="S9" i="1"/>
  <c r="R9" i="1"/>
  <c r="O9" i="1"/>
  <c r="I9" i="1"/>
  <c r="H9" i="1"/>
  <c r="G9" i="1"/>
  <c r="E9" i="1"/>
  <c r="D9" i="1"/>
  <c r="C9" i="1"/>
  <c r="B9" i="1"/>
  <c r="S5" i="1"/>
  <c r="R5" i="1"/>
  <c r="Q5" i="1"/>
  <c r="P5" i="1"/>
  <c r="O5" i="1"/>
  <c r="N5" i="1"/>
  <c r="M5" i="1"/>
  <c r="L5" i="1"/>
  <c r="K5" i="1"/>
  <c r="I5" i="1"/>
  <c r="H5" i="1"/>
  <c r="V4" i="1"/>
  <c r="J4" i="1"/>
  <c r="J5" i="1" s="1"/>
  <c r="G4" i="1"/>
  <c r="F4" i="1"/>
  <c r="E4" i="1"/>
  <c r="V3" i="1"/>
  <c r="V5" i="1" s="1"/>
  <c r="G3" i="1"/>
  <c r="G5" i="1" s="1"/>
  <c r="F3" i="1"/>
  <c r="L9" i="1" s="1"/>
  <c r="E3" i="1"/>
  <c r="F9" i="1" s="1"/>
  <c r="D3" i="1"/>
  <c r="D4" i="1" s="1"/>
  <c r="C3" i="1"/>
  <c r="J54" i="1" s="1"/>
  <c r="AN232" i="2" l="1"/>
  <c r="D244" i="2"/>
  <c r="AM233" i="2"/>
  <c r="AN224" i="2"/>
  <c r="AM225" i="2"/>
  <c r="AM231" i="2"/>
  <c r="AM230" i="2"/>
  <c r="AO228" i="2"/>
  <c r="E244" i="2"/>
  <c r="AN225" i="2"/>
  <c r="AO227" i="2"/>
  <c r="AO229" i="2"/>
  <c r="Y244" i="2"/>
  <c r="AM244" i="2" s="1"/>
  <c r="AO225" i="2"/>
  <c r="AO223" i="2"/>
  <c r="AM229" i="2"/>
  <c r="AM228" i="2"/>
  <c r="AM227" i="2"/>
  <c r="AM226" i="2"/>
  <c r="AM234" i="2"/>
  <c r="AN226" i="2"/>
  <c r="AN234" i="2"/>
  <c r="AO226" i="2"/>
  <c r="AK244" i="2"/>
  <c r="AD244" i="2"/>
  <c r="M9" i="1"/>
  <c r="N9" i="1"/>
  <c r="K54" i="1"/>
  <c r="L52" i="1" s="1"/>
  <c r="Q9" i="1" s="1"/>
  <c r="P49" i="1"/>
  <c r="R49" i="1" s="1"/>
  <c r="R48" i="1"/>
  <c r="P52" i="1"/>
  <c r="R52" i="1" s="1"/>
  <c r="F44" i="1"/>
  <c r="O38" i="1"/>
  <c r="D49" i="1"/>
  <c r="C50" i="1"/>
  <c r="P39" i="1"/>
  <c r="O39" i="1"/>
  <c r="P40" i="1"/>
  <c r="O40" i="1"/>
  <c r="M35" i="1"/>
  <c r="C5" i="1"/>
  <c r="P9" i="1"/>
  <c r="D48" i="1"/>
  <c r="D45" i="1" s="1"/>
  <c r="E45" i="1" s="1"/>
  <c r="E48" i="1" s="1"/>
  <c r="F48" i="1" s="1"/>
  <c r="R58" i="1"/>
  <c r="R60" i="1"/>
  <c r="R64" i="1"/>
  <c r="D5" i="1"/>
  <c r="E5" i="1"/>
  <c r="J9" i="1"/>
  <c r="F5" i="1"/>
  <c r="K9" i="1"/>
  <c r="X55" i="1"/>
  <c r="R62" i="1"/>
  <c r="AN244" i="2" l="1"/>
  <c r="AO244" i="2"/>
  <c r="O41" i="1"/>
  <c r="E49" i="1"/>
  <c r="D50" i="1"/>
  <c r="F49" i="1" l="1"/>
  <c r="E50" i="1"/>
  <c r="F50" i="1" s="1"/>
</calcChain>
</file>

<file path=xl/sharedStrings.xml><?xml version="1.0" encoding="utf-8"?>
<sst xmlns="http://schemas.openxmlformats.org/spreadsheetml/2006/main" count="714" uniqueCount="229">
  <si>
    <t>INC. STATE</t>
  </si>
  <si>
    <t>BAL. SHEET</t>
  </si>
  <si>
    <t>CASHFLOW</t>
  </si>
  <si>
    <t>COMPANY</t>
  </si>
  <si>
    <t>PRICE</t>
  </si>
  <si>
    <t>MCAP</t>
  </si>
  <si>
    <t>SALES</t>
  </si>
  <si>
    <t>PROFIT</t>
  </si>
  <si>
    <t xml:space="preserve"> EPS</t>
  </si>
  <si>
    <t>EQUITY</t>
  </si>
  <si>
    <t>TOTAL EQUITY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</si>
  <si>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</si>
  <si>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</si>
  <si>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</si>
  <si>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</si>
  <si>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</si>
  <si>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</si>
  <si>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</si>
  <si>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</si>
  <si>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PPE_CF</t>
  </si>
  <si>
    <t>CFO</t>
  </si>
  <si>
    <t>CFI</t>
  </si>
  <si>
    <t>CFF</t>
  </si>
  <si>
    <t>NETCASHFLOW</t>
  </si>
  <si>
    <t>VOLTAS</t>
  </si>
  <si>
    <t>PREVIOUS YEAR</t>
  </si>
  <si>
    <t>GROWTH</t>
  </si>
  <si>
    <t>LIQUIDITY</t>
  </si>
  <si>
    <t>SOLVENCY</t>
  </si>
  <si>
    <t>PROFITABILITY</t>
  </si>
  <si>
    <t>VALUATIONS</t>
  </si>
  <si>
    <t>CFR</t>
  </si>
  <si>
    <t>SALES GROWTH</t>
  </si>
  <si>
    <t>PROFIT GROWTH</t>
  </si>
  <si>
    <t>P-MARGIN</t>
  </si>
  <si>
    <t>CUR.RATIO</t>
  </si>
  <si>
    <t>TR. REC. DAYS</t>
  </si>
  <si>
    <t>DEBT2EQUITY</t>
  </si>
  <si>
    <t>DEBTRATIO</t>
  </si>
  <si>
    <t>ICR</t>
  </si>
  <si>
    <t>ROE</t>
  </si>
  <si>
    <t>ROPE</t>
  </si>
  <si>
    <t>ROA</t>
  </si>
  <si>
    <t>TRAIL_PE</t>
  </si>
  <si>
    <t>YIELD</t>
  </si>
  <si>
    <t>BOOKVALUE</t>
  </si>
  <si>
    <t>PBV</t>
  </si>
  <si>
    <t>PEG</t>
  </si>
  <si>
    <t>OCFR</t>
  </si>
  <si>
    <t>CFD</t>
  </si>
  <si>
    <t>FCF IN CR</t>
  </si>
  <si>
    <t>M.SHARE</t>
  </si>
  <si>
    <t>No. Of Year</t>
  </si>
  <si>
    <t>REVENUE</t>
  </si>
  <si>
    <t>COST</t>
  </si>
  <si>
    <t>Interest</t>
  </si>
  <si>
    <t>Equity</t>
  </si>
  <si>
    <t>EPS</t>
  </si>
  <si>
    <t>NPM%</t>
  </si>
  <si>
    <t>HIGH PRICE</t>
  </si>
  <si>
    <t>LOW PRICE</t>
  </si>
  <si>
    <t>HIGHPE</t>
  </si>
  <si>
    <t>LOWPE</t>
  </si>
  <si>
    <t>Reserve</t>
  </si>
  <si>
    <t>fy_2002</t>
  </si>
  <si>
    <t>fy_2003</t>
  </si>
  <si>
    <t>fy_2004</t>
  </si>
  <si>
    <t>fy_2005</t>
  </si>
  <si>
    <t>fy_2006</t>
  </si>
  <si>
    <t>2007(SPLIT)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</si>
  <si>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</si>
  <si>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</si>
  <si>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</si>
  <si>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</si>
  <si>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</si>
  <si>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</si>
  <si>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</si>
  <si>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</si>
  <si>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</si>
  <si>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</si>
  <si>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</si>
  <si>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fy_2019</t>
  </si>
  <si>
    <t>fy_2020</t>
  </si>
  <si>
    <t>fy_2021</t>
  </si>
  <si>
    <t>fy_2022</t>
  </si>
  <si>
    <t>fy_2023</t>
  </si>
  <si>
    <t>fy_2024</t>
  </si>
  <si>
    <t>fy_2025</t>
  </si>
  <si>
    <t>TIME</t>
  </si>
  <si>
    <t>Reserve.</t>
  </si>
  <si>
    <t>FAIRPE</t>
  </si>
  <si>
    <t>PRECOVID_20y</t>
  </si>
  <si>
    <t>PRECOVID_10y</t>
  </si>
  <si>
    <t>PRECOVID_5y</t>
  </si>
  <si>
    <t>Last year</t>
  </si>
  <si>
    <t>ESTIMATE</t>
  </si>
  <si>
    <t>MARGIN</t>
  </si>
  <si>
    <t>YEAR</t>
  </si>
  <si>
    <t>H1_FY_24</t>
  </si>
  <si>
    <t>9M_FY_24</t>
  </si>
  <si>
    <t>FY_24</t>
  </si>
  <si>
    <t>Q1_FY_25</t>
  </si>
  <si>
    <t>EST_FY_25</t>
  </si>
  <si>
    <t>RESULT</t>
  </si>
  <si>
    <t>Q1_FY_24</t>
  </si>
  <si>
    <t>Cy Growth</t>
  </si>
  <si>
    <t>Q4_FY_24</t>
  </si>
  <si>
    <t>Q4_FY_23</t>
  </si>
  <si>
    <t>FY_23</t>
  </si>
  <si>
    <t>LONGTERM</t>
  </si>
  <si>
    <t>CYEAR</t>
  </si>
  <si>
    <t>Expenditure</t>
  </si>
  <si>
    <t>N.A.</t>
  </si>
  <si>
    <t>EBITDA</t>
  </si>
  <si>
    <t>Year</t>
  </si>
  <si>
    <t>Net Profit</t>
  </si>
  <si>
    <t>Fairvalue</t>
  </si>
  <si>
    <t>EST_2025</t>
  </si>
  <si>
    <t>Q2_FY_24</t>
  </si>
  <si>
    <t>Q3_FY_24</t>
  </si>
  <si>
    <t>FY_25</t>
  </si>
  <si>
    <t>EBTDA</t>
  </si>
  <si>
    <t>EST_2030</t>
  </si>
  <si>
    <t>PBT</t>
  </si>
  <si>
    <t>EST_2035</t>
  </si>
  <si>
    <t>EPS_24</t>
  </si>
  <si>
    <t>T_EPS_25</t>
  </si>
  <si>
    <t>F_EPS_25</t>
  </si>
  <si>
    <t>F_PEG</t>
  </si>
  <si>
    <t>EBITDA%</t>
  </si>
  <si>
    <t>PE</t>
  </si>
  <si>
    <t>F_PE_25</t>
  </si>
  <si>
    <t>SEGMENT_FY_24</t>
  </si>
  <si>
    <t>SHARE</t>
  </si>
  <si>
    <t>UNITARY COOLING</t>
  </si>
  <si>
    <t>ELECTRO MECHANICAL</t>
  </si>
  <si>
    <t>ENGINEERING</t>
  </si>
  <si>
    <t>MAJOR COST</t>
  </si>
  <si>
    <t>Material, Jobs &amp; Services</t>
  </si>
  <si>
    <t>TOTAL</t>
  </si>
  <si>
    <t>STOCKINTRADE</t>
  </si>
  <si>
    <t>INVENTORIES</t>
  </si>
  <si>
    <t>EMPLOYEE</t>
  </si>
  <si>
    <t>FINANCE</t>
  </si>
  <si>
    <t>D&amp;A</t>
  </si>
  <si>
    <t>OTHERCOST</t>
  </si>
  <si>
    <t>SHP</t>
  </si>
  <si>
    <t>2002 %</t>
  </si>
  <si>
    <t>2023 %</t>
  </si>
  <si>
    <t>PROMOTER</t>
  </si>
  <si>
    <t>MUTUAL FUNDS</t>
  </si>
  <si>
    <t>FPI</t>
  </si>
  <si>
    <t>RETAIL</t>
  </si>
  <si>
    <t>OTHERS</t>
  </si>
  <si>
    <t>WWW.PROFITFROMIT.IN</t>
  </si>
  <si>
    <r>
      <rPr>
        <b/>
        <sz val="20"/>
        <color rgb="FFF3F3F3"/>
        <rFont val="Calibri"/>
        <scheme val="minor"/>
      </rPr>
      <t>Household Appliances</t>
    </r>
  </si>
  <si>
    <t>Total Electronics Market, Value in INR Billion, India, FY18-FY26E</t>
  </si>
  <si>
    <t>Overview of Electronics Industry - Domestic Consumption Vs Production, Value in INR Billion, India, FY21 and FY26E</t>
  </si>
  <si>
    <t>industry</t>
  </si>
  <si>
    <t>MARKETCAP</t>
  </si>
  <si>
    <t>SALES 2024</t>
  </si>
  <si>
    <t>PROFIT_24</t>
  </si>
  <si>
    <t>BLUESTARCO</t>
  </si>
  <si>
    <t>CROMPTON</t>
  </si>
  <si>
    <t>WHIRLPOOL</t>
  </si>
  <si>
    <t>VGUARD</t>
  </si>
  <si>
    <t>AMBER</t>
  </si>
  <si>
    <t>TTKPRESTIG</t>
  </si>
  <si>
    <t>BAJAJELEC</t>
  </si>
  <si>
    <t>EUREKAFORBE</t>
  </si>
  <si>
    <t>Others_11</t>
  </si>
  <si>
    <t>IFBIND</t>
  </si>
  <si>
    <t>JCHAC</t>
  </si>
  <si>
    <t>ORIENTELEC</t>
  </si>
  <si>
    <t>INDUSTRY</t>
  </si>
  <si>
    <t>SALES_15Y_GR</t>
  </si>
  <si>
    <t>SALES_10Y_GR</t>
  </si>
  <si>
    <t>SALES_5Y_GR</t>
  </si>
  <si>
    <t>SALES_LY_GR</t>
  </si>
  <si>
    <t>SALES_Q1_GR</t>
  </si>
  <si>
    <t>Q1_FY25_MARGIN</t>
  </si>
  <si>
    <t>Q1_FY24_MARGIN</t>
  </si>
  <si>
    <t>MARGIN_24</t>
  </si>
  <si>
    <t>MARGIN_23</t>
  </si>
  <si>
    <t>MARGIN_19</t>
  </si>
  <si>
    <t>MARGIN_14</t>
  </si>
  <si>
    <t>MARGIN_09</t>
  </si>
  <si>
    <t>LEVERAGE</t>
  </si>
  <si>
    <t>CARYSIL</t>
  </si>
  <si>
    <t>LIUIDITY</t>
  </si>
  <si>
    <t>CUR. RATIO</t>
  </si>
  <si>
    <t>TR.DAYS</t>
  </si>
  <si>
    <t>RETURN</t>
  </si>
  <si>
    <t>LISTED SPACE</t>
  </si>
  <si>
    <t>BALANCE_SHEET_ITEMS</t>
  </si>
  <si>
    <t>INCOME_STATEMENT</t>
  </si>
  <si>
    <t>Security Code</t>
  </si>
  <si>
    <t>CMP</t>
  </si>
  <si>
    <t>CUR ASSET</t>
  </si>
  <si>
    <t>CUR LIABILITY</t>
  </si>
  <si>
    <t>TOT. ASSET</t>
  </si>
  <si>
    <t>TOT. LIABILITY</t>
  </si>
  <si>
    <t>OTH_EQUITY</t>
  </si>
  <si>
    <t xml:space="preserve">TRADE REC. </t>
  </si>
  <si>
    <t>SALES_23</t>
  </si>
  <si>
    <t>SALES 2019</t>
  </si>
  <si>
    <t>SALES 2014</t>
  </si>
  <si>
    <t>SALES 2009</t>
  </si>
  <si>
    <t>PROFIT_23</t>
  </si>
  <si>
    <t>PROFIT_19</t>
  </si>
  <si>
    <t>PROFIT_14</t>
  </si>
  <si>
    <t>PROFIT_09</t>
  </si>
  <si>
    <t>TRAIL_EPS</t>
  </si>
  <si>
    <t>EXPENSE</t>
  </si>
  <si>
    <t>MARGIN_Q1_FY25</t>
  </si>
  <si>
    <t>MARGIN_Q1_FY24</t>
  </si>
  <si>
    <t>MARGIN_FY24</t>
  </si>
  <si>
    <t>MARGIN_FY14</t>
  </si>
  <si>
    <t>CURRENT RATIO</t>
  </si>
  <si>
    <t>TRADE PAY. DAYS</t>
  </si>
  <si>
    <t>STOVEKRAFT</t>
  </si>
  <si>
    <t>WEL</t>
  </si>
  <si>
    <t>BUTTERFLY</t>
  </si>
  <si>
    <t>ELIN</t>
  </si>
  <si>
    <t>FORBESCO</t>
  </si>
  <si>
    <t>SINGER</t>
  </si>
  <si>
    <t>JAIPAN</t>
  </si>
  <si>
    <t>FIN_RATIO'S</t>
  </si>
  <si>
    <t>LEVERAGAE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</si>
</sst>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.0%"/>
    <numFmt numFmtId="166" formatCode="_ * #,##0_ ;_ * \-#,##0_ ;_ * &quot;-&quot;??_ ;_ @_ "/>
    <numFmt numFmtId="167" formatCode="#,##0.0"/>
  </numFmts>
  <fonts count="35">
    <font>
      <sz val="10"/>
      <color rgb="FF000000"/>
      <name val="Calibri"/>
      <scheme val="minor"/>
    </font>
    <font>
      <sz val="11"/>
      <color rgb="FF000000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sz val="11"/>
      <color theme="1"/>
      <name val="Calibri"/>
    </font>
    <font>
      <sz val="11"/>
      <color theme="1"/>
      <name val="Arial"/>
    </font>
    <font>
      <b/>
      <i/>
      <sz val="11"/>
      <color theme="1"/>
      <name val="Calibri"/>
    </font>
    <font>
      <sz val="11"/>
      <color rgb="FFFFFFFF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Calibri"/>
      <scheme val="minor"/>
    </font>
    <font>
      <i/>
      <sz val="11"/>
      <color theme="1"/>
      <name val="Calibri"/>
    </font>
    <font>
      <sz val="11"/>
      <color rgb="FF000000"/>
      <name val="&quot;Times New Roman&quot;"/>
    </font>
    <font>
      <i/>
      <sz val="11"/>
      <color rgb="FF000000"/>
      <name val="Calibri"/>
    </font>
    <font>
      <i/>
      <sz val="11"/>
      <color rgb="FF7F7F7F"/>
      <name val="Calibri"/>
    </font>
    <font>
      <sz val="11"/>
      <color theme="0"/>
      <name val="Calibri"/>
    </font>
    <font>
      <b/>
      <sz val="11"/>
      <color rgb="FF3F3F3F"/>
      <name val="Calibri"/>
    </font>
    <font>
      <sz val="11"/>
      <color rgb="FF0D0D0D"/>
      <name val="Calibri"/>
    </font>
    <font>
      <b/>
      <sz val="11"/>
      <color rgb="FF0D0D0D"/>
      <name val="Calibri"/>
    </font>
    <font>
      <b/>
      <sz val="11"/>
      <color theme="1"/>
      <name val="Calibri"/>
    </font>
    <font>
      <b/>
      <sz val="32"/>
      <color theme="1"/>
      <name val="Calibri"/>
      <scheme val="minor"/>
    </font>
    <font>
      <sz val="10"/>
      <name val="Arial"/>
    </font>
    <font>
      <b/>
      <i/>
      <sz val="10"/>
      <color theme="1"/>
      <name val="Calibri"/>
      <scheme val="minor"/>
    </font>
    <font>
      <sz val="10"/>
      <color theme="1"/>
      <name val="Verdana"/>
    </font>
    <font>
      <sz val="10"/>
      <color theme="1"/>
      <name val="&quot;Comic Sans MS&quot;"/>
    </font>
    <font>
      <b/>
      <i/>
      <u/>
      <sz val="10"/>
      <color theme="1"/>
      <name val="Calibri"/>
      <scheme val="minor"/>
    </font>
    <font>
      <u/>
      <sz val="11"/>
      <color rgb="FF0000FF"/>
      <name val="Calibri"/>
    </font>
    <font>
      <sz val="20"/>
      <color rgb="FFF3F3F3"/>
      <name val="Calibri"/>
      <scheme val="minor"/>
    </font>
    <font>
      <b/>
      <sz val="20"/>
      <color rgb="FFF3F3F3"/>
      <name val="Calibri"/>
      <scheme val="minor"/>
    </font>
    <font>
      <b/>
      <sz val="10"/>
      <color rgb="FFFFFFFF"/>
      <name val="Arial"/>
    </font>
    <font>
      <sz val="10"/>
      <color rgb="FFFFFFFF"/>
      <name val="Arial"/>
    </font>
    <font>
      <sz val="10"/>
      <color theme="1"/>
      <name val="Arial"/>
    </font>
    <font>
      <i/>
      <sz val="10"/>
      <color theme="1"/>
      <name val="Arial"/>
    </font>
    <font>
      <sz val="10"/>
      <color rgb="FFFFFFFF"/>
      <name val="Calibri"/>
      <scheme val="minor"/>
    </font>
    <font>
      <b/>
      <sz val="10"/>
      <color theme="1"/>
      <name val="Calibri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0486B"/>
        <bgColor rgb="FF10486B"/>
      </patternFill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4F81BD"/>
        <bgColor rgb="FF4F81BD"/>
      </patternFill>
    </fill>
    <fill>
      <patternFill patternType="solid">
        <fgColor rgb="FFB7B7B7"/>
        <bgColor rgb="FFB7B7B7"/>
      </patternFill>
    </fill>
    <fill>
      <patternFill patternType="solid">
        <fgColor rgb="FFC4D79B"/>
        <bgColor rgb="FFC4D79B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F3A86C"/>
        <bgColor rgb="FFF3A86C"/>
      </patternFill>
    </fill>
    <fill>
      <patternFill patternType="solid">
        <fgColor rgb="FFFBD567"/>
        <bgColor rgb="FFFBD567"/>
      </patternFill>
    </fill>
    <fill>
      <patternFill patternType="solid">
        <fgColor rgb="FFFCF1F0"/>
        <bgColor rgb="FFFCF1F0"/>
      </patternFill>
    </fill>
    <fill>
      <patternFill patternType="solid">
        <fgColor rgb="FFF4D469"/>
        <bgColor rgb="FFF4D469"/>
      </patternFill>
    </fill>
    <fill>
      <patternFill patternType="solid">
        <fgColor rgb="FFE67C73"/>
        <bgColor rgb="FFE67C73"/>
      </patternFill>
    </fill>
    <fill>
      <patternFill patternType="solid">
        <fgColor rgb="FF9AD7B9"/>
        <bgColor rgb="FF9AD7B9"/>
      </patternFill>
    </fill>
    <fill>
      <patternFill patternType="solid">
        <fgColor rgb="FFE3D16C"/>
        <bgColor rgb="FFE3D16C"/>
      </patternFill>
    </fill>
    <fill>
      <patternFill patternType="solid">
        <fgColor rgb="FFE4D16C"/>
        <bgColor rgb="FFE4D16C"/>
      </patternFill>
    </fill>
    <fill>
      <patternFill patternType="solid">
        <fgColor rgb="FF5DBE8E"/>
        <bgColor rgb="FF5DBE8E"/>
      </patternFill>
    </fill>
    <fill>
      <patternFill patternType="solid">
        <fgColor rgb="FFFBC768"/>
        <bgColor rgb="FFFBC768"/>
      </patternFill>
    </fill>
    <fill>
      <patternFill patternType="solid">
        <fgColor rgb="FFA9C879"/>
        <bgColor rgb="FFA9C879"/>
      </patternFill>
    </fill>
    <fill>
      <patternFill patternType="solid">
        <fgColor rgb="FFFEFCFC"/>
        <bgColor rgb="FFFEFCFC"/>
      </patternFill>
    </fill>
    <fill>
      <patternFill patternType="solid">
        <fgColor rgb="FFFFD666"/>
        <bgColor rgb="FFFFD666"/>
      </patternFill>
    </fill>
    <fill>
      <patternFill patternType="solid">
        <fgColor rgb="FFF8BB6A"/>
        <bgColor rgb="FFF8BB6A"/>
      </patternFill>
    </fill>
    <fill>
      <patternFill patternType="solid">
        <fgColor rgb="FFB8E3CE"/>
        <bgColor rgb="FFB8E3CE"/>
      </patternFill>
    </fill>
    <fill>
      <patternFill patternType="solid">
        <fgColor rgb="FFF9C069"/>
        <bgColor rgb="FFF9C069"/>
      </patternFill>
    </fill>
    <fill>
      <patternFill patternType="solid">
        <fgColor rgb="FFFDF9F8"/>
        <bgColor rgb="FFFDF9F8"/>
      </patternFill>
    </fill>
    <fill>
      <patternFill patternType="solid">
        <fgColor rgb="FFFCCB67"/>
        <bgColor rgb="FFFCCB67"/>
      </patternFill>
    </fill>
    <fill>
      <patternFill patternType="solid">
        <fgColor rgb="FFF4AC6C"/>
        <bgColor rgb="FFF4AC6C"/>
      </patternFill>
    </fill>
    <fill>
      <patternFill patternType="solid">
        <fgColor rgb="FFE5D16C"/>
        <bgColor rgb="FFE5D16C"/>
      </patternFill>
    </fill>
    <fill>
      <patternFill patternType="solid">
        <fgColor rgb="FFC8CD72"/>
        <bgColor rgb="FFC8CD72"/>
      </patternFill>
    </fill>
    <fill>
      <patternFill patternType="solid">
        <fgColor rgb="FF65C194"/>
        <bgColor rgb="FF65C194"/>
      </patternFill>
    </fill>
    <fill>
      <patternFill patternType="solid">
        <fgColor rgb="FFF8BD69"/>
        <bgColor rgb="FFF8BD69"/>
      </patternFill>
    </fill>
    <fill>
      <patternFill patternType="solid">
        <fgColor rgb="FF57BB8A"/>
        <bgColor rgb="FF57BB8A"/>
      </patternFill>
    </fill>
    <fill>
      <patternFill patternType="solid">
        <fgColor rgb="FFFDF7F7"/>
        <bgColor rgb="FFFDF7F7"/>
      </patternFill>
    </fill>
    <fill>
      <patternFill patternType="solid">
        <fgColor rgb="FFF8BA6A"/>
        <bgColor rgb="FFF8BA6A"/>
      </patternFill>
    </fill>
    <fill>
      <patternFill patternType="solid">
        <fgColor rgb="FFFBEBE9"/>
        <bgColor rgb="FFFBEBE9"/>
      </patternFill>
    </fill>
    <fill>
      <patternFill patternType="solid">
        <fgColor rgb="FFF1D369"/>
        <bgColor rgb="FFF1D369"/>
      </patternFill>
    </fill>
    <fill>
      <patternFill patternType="solid">
        <fgColor rgb="FFFCC967"/>
        <bgColor rgb="FFFCC967"/>
      </patternFill>
    </fill>
    <fill>
      <patternFill patternType="solid">
        <fgColor rgb="FF92D3B3"/>
        <bgColor rgb="FF92D3B3"/>
      </patternFill>
    </fill>
    <fill>
      <patternFill patternType="solid">
        <fgColor rgb="FFDDD06E"/>
        <bgColor rgb="FFDDD06E"/>
      </patternFill>
    </fill>
    <fill>
      <patternFill patternType="solid">
        <fgColor rgb="FFE2D16D"/>
        <bgColor rgb="FFE2D16D"/>
      </patternFill>
    </fill>
    <fill>
      <patternFill patternType="solid">
        <fgColor rgb="FFF9BF69"/>
        <bgColor rgb="FFF9BF69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left"/>
    </xf>
    <xf numFmtId="0" fontId="2" fillId="4" borderId="2" xfId="0" applyFont="1" applyFill="1" applyBorder="1"/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4" borderId="3" xfId="0" applyFont="1" applyFill="1" applyBorder="1"/>
    <xf numFmtId="0" fontId="2" fillId="4" borderId="4" xfId="0" applyFont="1" applyFill="1" applyBorder="1"/>
    <xf numFmtId="1" fontId="4" fillId="0" borderId="5" xfId="0" applyNumberFormat="1" applyFont="1" applyBorder="1" applyAlignment="1">
      <alignment horizontal="right"/>
    </xf>
    <xf numFmtId="1" fontId="4" fillId="5" borderId="5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0" fontId="6" fillId="6" borderId="2" xfId="0" applyFont="1" applyFill="1" applyBorder="1"/>
    <xf numFmtId="9" fontId="6" fillId="6" borderId="2" xfId="0" applyNumberFormat="1" applyFont="1" applyFill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7" fillId="7" borderId="6" xfId="0" applyFont="1" applyFill="1" applyBorder="1"/>
    <xf numFmtId="0" fontId="4" fillId="0" borderId="6" xfId="0" applyFont="1" applyBorder="1"/>
    <xf numFmtId="9" fontId="4" fillId="0" borderId="6" xfId="0" applyNumberFormat="1" applyFont="1" applyBorder="1"/>
    <xf numFmtId="0" fontId="1" fillId="5" borderId="5" xfId="0" applyFont="1" applyFill="1" applyBorder="1"/>
    <xf numFmtId="0" fontId="2" fillId="4" borderId="0" xfId="0" applyFont="1" applyFill="1" applyAlignment="1">
      <alignment horizontal="left"/>
    </xf>
    <xf numFmtId="0" fontId="1" fillId="5" borderId="0" xfId="0" applyFont="1" applyFill="1"/>
    <xf numFmtId="0" fontId="2" fillId="4" borderId="6" xfId="0" applyFont="1" applyFill="1" applyBorder="1"/>
    <xf numFmtId="9" fontId="5" fillId="8" borderId="3" xfId="0" applyNumberFormat="1" applyFont="1" applyFill="1" applyBorder="1" applyAlignment="1">
      <alignment horizontal="right"/>
    </xf>
    <xf numFmtId="9" fontId="5" fillId="8" borderId="5" xfId="0" applyNumberFormat="1" applyFont="1" applyFill="1" applyBorder="1" applyAlignment="1">
      <alignment horizontal="right"/>
    </xf>
    <xf numFmtId="165" fontId="5" fillId="8" borderId="5" xfId="0" applyNumberFormat="1" applyFont="1" applyFill="1" applyBorder="1" applyAlignment="1">
      <alignment horizontal="right"/>
    </xf>
    <xf numFmtId="164" fontId="5" fillId="8" borderId="5" xfId="0" applyNumberFormat="1" applyFont="1" applyFill="1" applyBorder="1" applyAlignment="1">
      <alignment horizontal="right"/>
    </xf>
    <xf numFmtId="3" fontId="5" fillId="8" borderId="5" xfId="0" applyNumberFormat="1" applyFont="1" applyFill="1" applyBorder="1" applyAlignment="1">
      <alignment horizontal="right"/>
    </xf>
    <xf numFmtId="1" fontId="5" fillId="8" borderId="5" xfId="0" applyNumberFormat="1" applyFont="1" applyFill="1" applyBorder="1" applyAlignment="1">
      <alignment horizontal="right"/>
    </xf>
    <xf numFmtId="164" fontId="8" fillId="8" borderId="5" xfId="0" applyNumberFormat="1" applyFont="1" applyFill="1" applyBorder="1" applyAlignment="1">
      <alignment horizontal="right"/>
    </xf>
    <xf numFmtId="0" fontId="8" fillId="8" borderId="5" xfId="0" applyFont="1" applyFill="1" applyBorder="1" applyAlignment="1">
      <alignment horizontal="right"/>
    </xf>
    <xf numFmtId="3" fontId="8" fillId="8" borderId="5" xfId="0" applyNumberFormat="1" applyFont="1" applyFill="1" applyBorder="1" applyAlignment="1">
      <alignment horizontal="right"/>
    </xf>
    <xf numFmtId="9" fontId="8" fillId="8" borderId="5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0" fillId="0" borderId="0" xfId="0" applyFont="1"/>
    <xf numFmtId="0" fontId="2" fillId="3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9" fontId="11" fillId="0" borderId="5" xfId="0" applyNumberFormat="1" applyFont="1" applyBorder="1" applyAlignment="1">
      <alignment horizontal="right"/>
    </xf>
    <xf numFmtId="1" fontId="11" fillId="0" borderId="5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" fontId="10" fillId="0" borderId="2" xfId="0" applyNumberFormat="1" applyFont="1" applyBorder="1"/>
    <xf numFmtId="164" fontId="10" fillId="0" borderId="2" xfId="0" applyNumberFormat="1" applyFont="1" applyBorder="1"/>
    <xf numFmtId="166" fontId="12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164" fontId="4" fillId="9" borderId="5" xfId="0" applyNumberFormat="1" applyFont="1" applyFill="1" applyBorder="1" applyAlignment="1">
      <alignment horizontal="right"/>
    </xf>
    <xf numFmtId="0" fontId="4" fillId="10" borderId="5" xfId="0" applyFont="1" applyFill="1" applyBorder="1" applyAlignment="1">
      <alignment horizontal="right"/>
    </xf>
    <xf numFmtId="0" fontId="4" fillId="11" borderId="5" xfId="0" applyFont="1" applyFill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1" fillId="10" borderId="5" xfId="0" applyFont="1" applyFill="1" applyBorder="1" applyAlignment="1">
      <alignment horizontal="right"/>
    </xf>
    <xf numFmtId="164" fontId="11" fillId="0" borderId="5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" fontId="14" fillId="0" borderId="2" xfId="0" applyNumberFormat="1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164" fontId="14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2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7" fillId="3" borderId="3" xfId="0" applyFont="1" applyFill="1" applyBorder="1" applyAlignment="1">
      <alignment horizontal="left"/>
    </xf>
    <xf numFmtId="9" fontId="16" fillId="12" borderId="2" xfId="0" applyNumberFormat="1" applyFont="1" applyFill="1" applyBorder="1" applyAlignment="1">
      <alignment horizontal="right"/>
    </xf>
    <xf numFmtId="3" fontId="16" fillId="12" borderId="2" xfId="0" applyNumberFormat="1" applyFont="1" applyFill="1" applyBorder="1" applyAlignment="1">
      <alignment horizontal="right"/>
    </xf>
    <xf numFmtId="3" fontId="1" fillId="12" borderId="2" xfId="0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horizontal="left"/>
    </xf>
    <xf numFmtId="9" fontId="10" fillId="12" borderId="2" xfId="0" applyNumberFormat="1" applyFont="1" applyFill="1" applyBorder="1"/>
    <xf numFmtId="3" fontId="10" fillId="12" borderId="2" xfId="0" applyNumberFormat="1" applyFont="1" applyFill="1" applyBorder="1"/>
    <xf numFmtId="0" fontId="17" fillId="2" borderId="0" xfId="0" applyFont="1" applyFill="1" applyAlignment="1">
      <alignment horizontal="center"/>
    </xf>
    <xf numFmtId="0" fontId="10" fillId="2" borderId="0" xfId="0" applyFont="1" applyFill="1"/>
    <xf numFmtId="9" fontId="1" fillId="12" borderId="2" xfId="0" applyNumberFormat="1" applyFont="1" applyFill="1" applyBorder="1" applyAlignment="1">
      <alignment horizontal="right"/>
    </xf>
    <xf numFmtId="165" fontId="1" fillId="12" borderId="2" xfId="0" applyNumberFormat="1" applyFont="1" applyFill="1" applyBorder="1" applyAlignment="1">
      <alignment horizontal="right"/>
    </xf>
    <xf numFmtId="9" fontId="10" fillId="0" borderId="2" xfId="0" applyNumberFormat="1" applyFont="1" applyBorder="1"/>
    <xf numFmtId="9" fontId="4" fillId="12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9" fontId="16" fillId="13" borderId="2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/>
    </xf>
    <xf numFmtId="9" fontId="10" fillId="12" borderId="2" xfId="0" applyNumberFormat="1" applyFont="1" applyFill="1" applyBorder="1" applyAlignment="1">
      <alignment horizontal="right"/>
    </xf>
    <xf numFmtId="165" fontId="10" fillId="12" borderId="2" xfId="0" applyNumberFormat="1" applyFont="1" applyFill="1" applyBorder="1" applyAlignment="1">
      <alignment horizontal="right"/>
    </xf>
    <xf numFmtId="165" fontId="10" fillId="0" borderId="2" xfId="0" applyNumberFormat="1" applyFont="1" applyBorder="1"/>
    <xf numFmtId="165" fontId="11" fillId="12" borderId="2" xfId="0" applyNumberFormat="1" applyFont="1" applyFill="1" applyBorder="1" applyAlignment="1">
      <alignment horizontal="right"/>
    </xf>
    <xf numFmtId="10" fontId="10" fillId="0" borderId="0" xfId="0" applyNumberFormat="1" applyFont="1"/>
    <xf numFmtId="0" fontId="10" fillId="0" borderId="2" xfId="0" applyFont="1" applyBorder="1"/>
    <xf numFmtId="9" fontId="19" fillId="12" borderId="2" xfId="0" applyNumberFormat="1" applyFont="1" applyFill="1" applyBorder="1" applyAlignment="1">
      <alignment horizontal="right"/>
    </xf>
    <xf numFmtId="0" fontId="16" fillId="13" borderId="0" xfId="0" applyFont="1" applyFill="1" applyAlignment="1">
      <alignment horizontal="center"/>
    </xf>
    <xf numFmtId="3" fontId="13" fillId="14" borderId="5" xfId="0" applyNumberFormat="1" applyFont="1" applyFill="1" applyBorder="1" applyAlignment="1">
      <alignment horizontal="right"/>
    </xf>
    <xf numFmtId="1" fontId="10" fillId="0" borderId="0" xfId="0" applyNumberFormat="1" applyFont="1"/>
    <xf numFmtId="0" fontId="7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164" fontId="10" fillId="12" borderId="2" xfId="0" applyNumberFormat="1" applyFont="1" applyFill="1" applyBorder="1"/>
    <xf numFmtId="165" fontId="14" fillId="0" borderId="2" xfId="0" applyNumberFormat="1" applyFont="1" applyBorder="1" applyAlignment="1">
      <alignment horizontal="right"/>
    </xf>
    <xf numFmtId="165" fontId="16" fillId="13" borderId="2" xfId="0" applyNumberFormat="1" applyFont="1" applyFill="1" applyBorder="1" applyAlignment="1">
      <alignment horizontal="right"/>
    </xf>
    <xf numFmtId="3" fontId="13" fillId="14" borderId="2" xfId="0" applyNumberFormat="1" applyFont="1" applyFill="1" applyBorder="1" applyAlignment="1">
      <alignment horizontal="right"/>
    </xf>
    <xf numFmtId="167" fontId="16" fillId="13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0" fillId="12" borderId="2" xfId="0" applyFont="1" applyFill="1" applyBorder="1" applyAlignment="1">
      <alignment horizontal="center"/>
    </xf>
    <xf numFmtId="164" fontId="10" fillId="12" borderId="2" xfId="0" applyNumberFormat="1" applyFont="1" applyFill="1" applyBorder="1" applyAlignment="1">
      <alignment horizontal="center"/>
    </xf>
    <xf numFmtId="164" fontId="20" fillId="6" borderId="8" xfId="0" applyNumberFormat="1" applyFont="1" applyFill="1" applyBorder="1" applyAlignment="1">
      <alignment horizontal="center" vertical="center"/>
    </xf>
    <xf numFmtId="0" fontId="21" fillId="0" borderId="8" xfId="0" applyFont="1" applyBorder="1"/>
    <xf numFmtId="0" fontId="15" fillId="3" borderId="2" xfId="0" applyFont="1" applyFill="1" applyBorder="1" applyAlignment="1">
      <alignment horizontal="left"/>
    </xf>
    <xf numFmtId="9" fontId="10" fillId="0" borderId="0" xfId="0" applyNumberFormat="1" applyFont="1"/>
    <xf numFmtId="1" fontId="10" fillId="12" borderId="2" xfId="0" applyNumberFormat="1" applyFont="1" applyFill="1" applyBorder="1" applyAlignment="1">
      <alignment horizontal="center"/>
    </xf>
    <xf numFmtId="0" fontId="21" fillId="0" borderId="3" xfId="0" applyFont="1" applyBorder="1"/>
    <xf numFmtId="0" fontId="4" fillId="12" borderId="2" xfId="0" applyFont="1" applyFill="1" applyBorder="1" applyAlignment="1">
      <alignment horizontal="right"/>
    </xf>
    <xf numFmtId="3" fontId="10" fillId="0" borderId="0" xfId="0" applyNumberFormat="1" applyFont="1"/>
    <xf numFmtId="165" fontId="10" fillId="0" borderId="0" xfId="0" applyNumberFormat="1" applyFont="1"/>
    <xf numFmtId="0" fontId="11" fillId="12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22" fillId="12" borderId="2" xfId="0" applyFont="1" applyFill="1" applyBorder="1"/>
    <xf numFmtId="9" fontId="6" fillId="12" borderId="2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center"/>
    </xf>
    <xf numFmtId="164" fontId="11" fillId="12" borderId="2" xfId="0" applyNumberFormat="1" applyFont="1" applyFill="1" applyBorder="1" applyAlignment="1">
      <alignment horizontal="right"/>
    </xf>
    <xf numFmtId="0" fontId="10" fillId="12" borderId="2" xfId="0" applyFont="1" applyFill="1" applyBorder="1"/>
    <xf numFmtId="9" fontId="22" fillId="12" borderId="2" xfId="0" applyNumberFormat="1" applyFont="1" applyFill="1" applyBorder="1"/>
    <xf numFmtId="3" fontId="23" fillId="0" borderId="2" xfId="0" applyNumberFormat="1" applyFont="1" applyBorder="1"/>
    <xf numFmtId="164" fontId="24" fillId="0" borderId="2" xfId="0" applyNumberFormat="1" applyFont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5" fillId="0" borderId="9" xfId="0" applyFont="1" applyBorder="1"/>
    <xf numFmtId="1" fontId="25" fillId="0" borderId="9" xfId="0" applyNumberFormat="1" applyFont="1" applyBorder="1"/>
    <xf numFmtId="9" fontId="25" fillId="0" borderId="2" xfId="0" applyNumberFormat="1" applyFont="1" applyBorder="1"/>
    <xf numFmtId="0" fontId="26" fillId="15" borderId="10" xfId="0" applyFont="1" applyFill="1" applyBorder="1" applyAlignment="1">
      <alignment horizontal="center" vertical="center"/>
    </xf>
    <xf numFmtId="0" fontId="0" fillId="0" borderId="0" xfId="0"/>
    <xf numFmtId="0" fontId="21" fillId="0" borderId="11" xfId="0" applyFont="1" applyBorder="1"/>
    <xf numFmtId="0" fontId="21" fillId="0" borderId="10" xfId="0" applyFont="1" applyBorder="1"/>
    <xf numFmtId="0" fontId="21" fillId="0" borderId="12" xfId="0" applyFont="1" applyBorder="1"/>
    <xf numFmtId="0" fontId="21" fillId="0" borderId="6" xfId="0" applyFont="1" applyBorder="1"/>
    <xf numFmtId="0" fontId="21" fillId="0" borderId="5" xfId="0" applyFont="1" applyBorder="1"/>
    <xf numFmtId="0" fontId="27" fillId="4" borderId="0" xfId="0" applyFont="1" applyFill="1" applyAlignment="1">
      <alignment horizontal="center" vertical="center"/>
    </xf>
    <xf numFmtId="0" fontId="29" fillId="4" borderId="1" xfId="0" applyFont="1" applyFill="1" applyBorder="1"/>
    <xf numFmtId="0" fontId="29" fillId="4" borderId="11" xfId="0" applyFont="1" applyFill="1" applyBorder="1"/>
    <xf numFmtId="0" fontId="29" fillId="4" borderId="10" xfId="0" applyFont="1" applyFill="1" applyBorder="1"/>
    <xf numFmtId="0" fontId="30" fillId="4" borderId="0" xfId="0" applyFont="1" applyFill="1"/>
    <xf numFmtId="0" fontId="4" fillId="0" borderId="11" xfId="0" applyFont="1" applyBorder="1"/>
    <xf numFmtId="1" fontId="31" fillId="0" borderId="10" xfId="0" applyNumberFormat="1" applyFont="1" applyBorder="1" applyAlignment="1">
      <alignment horizontal="right"/>
    </xf>
    <xf numFmtId="0" fontId="31" fillId="0" borderId="0" xfId="0" applyFont="1" applyAlignment="1">
      <alignment horizontal="right"/>
    </xf>
    <xf numFmtId="0" fontId="4" fillId="0" borderId="5" xfId="0" applyFont="1" applyBorder="1"/>
    <xf numFmtId="1" fontId="31" fillId="0" borderId="12" xfId="0" applyNumberFormat="1" applyFont="1" applyBorder="1" applyAlignment="1">
      <alignment horizontal="right"/>
    </xf>
    <xf numFmtId="1" fontId="31" fillId="0" borderId="0" xfId="0" applyNumberFormat="1" applyFont="1" applyAlignment="1">
      <alignment horizontal="right"/>
    </xf>
    <xf numFmtId="0" fontId="31" fillId="0" borderId="6" xfId="0" applyFont="1" applyBorder="1" applyAlignment="1">
      <alignment horizontal="right"/>
    </xf>
    <xf numFmtId="0" fontId="32" fillId="8" borderId="9" xfId="0" applyFont="1" applyFill="1" applyBorder="1"/>
    <xf numFmtId="1" fontId="32" fillId="8" borderId="9" xfId="0" applyNumberFormat="1" applyFont="1" applyFill="1" applyBorder="1" applyAlignment="1">
      <alignment horizontal="right"/>
    </xf>
    <xf numFmtId="0" fontId="31" fillId="0" borderId="0" xfId="0" applyFont="1"/>
    <xf numFmtId="0" fontId="30" fillId="4" borderId="1" xfId="0" applyFont="1" applyFill="1" applyBorder="1"/>
    <xf numFmtId="0" fontId="33" fillId="4" borderId="2" xfId="0" applyFont="1" applyFill="1" applyBorder="1"/>
    <xf numFmtId="0" fontId="9" fillId="0" borderId="2" xfId="0" applyFont="1" applyBorder="1"/>
    <xf numFmtId="0" fontId="1" fillId="0" borderId="2" xfId="0" applyFont="1" applyBorder="1"/>
    <xf numFmtId="0" fontId="1" fillId="0" borderId="13" xfId="0" applyFont="1" applyBorder="1"/>
    <xf numFmtId="10" fontId="10" fillId="0" borderId="14" xfId="0" applyNumberFormat="1" applyFont="1" applyBorder="1"/>
    <xf numFmtId="0" fontId="34" fillId="0" borderId="15" xfId="0" applyFont="1" applyBorder="1"/>
    <xf numFmtId="10" fontId="10" fillId="0" borderId="16" xfId="0" applyNumberFormat="1" applyFont="1" applyBorder="1"/>
    <xf numFmtId="0" fontId="33" fillId="4" borderId="17" xfId="0" applyFont="1" applyFill="1" applyBorder="1"/>
    <xf numFmtId="0" fontId="33" fillId="4" borderId="0" xfId="0" applyFont="1" applyFill="1"/>
    <xf numFmtId="0" fontId="1" fillId="0" borderId="14" xfId="0" applyFont="1" applyBorder="1"/>
    <xf numFmtId="165" fontId="10" fillId="0" borderId="14" xfId="0" applyNumberFormat="1" applyFont="1" applyBorder="1"/>
    <xf numFmtId="165" fontId="10" fillId="0" borderId="16" xfId="0" applyNumberFormat="1" applyFont="1" applyBorder="1"/>
    <xf numFmtId="0" fontId="30" fillId="4" borderId="2" xfId="0" applyFont="1" applyFill="1" applyBorder="1"/>
    <xf numFmtId="0" fontId="4" fillId="0" borderId="3" xfId="0" applyFont="1" applyBorder="1"/>
    <xf numFmtId="2" fontId="31" fillId="0" borderId="5" xfId="0" applyNumberFormat="1" applyFont="1" applyBorder="1" applyAlignment="1">
      <alignment horizontal="right"/>
    </xf>
    <xf numFmtId="164" fontId="31" fillId="0" borderId="5" xfId="0" applyNumberFormat="1" applyFont="1" applyBorder="1" applyAlignment="1">
      <alignment horizontal="right"/>
    </xf>
    <xf numFmtId="0" fontId="31" fillId="0" borderId="5" xfId="0" applyFont="1" applyBorder="1" applyAlignment="1">
      <alignment horizontal="right"/>
    </xf>
    <xf numFmtId="1" fontId="31" fillId="0" borderId="5" xfId="0" applyNumberFormat="1" applyFont="1" applyBorder="1" applyAlignment="1">
      <alignment horizontal="right"/>
    </xf>
    <xf numFmtId="2" fontId="32" fillId="8" borderId="9" xfId="0" applyNumberFormat="1" applyFont="1" applyFill="1" applyBorder="1"/>
    <xf numFmtId="164" fontId="10" fillId="0" borderId="0" xfId="0" applyNumberFormat="1" applyFont="1"/>
    <xf numFmtId="164" fontId="32" fillId="8" borderId="9" xfId="0" applyNumberFormat="1" applyFont="1" applyFill="1" applyBorder="1"/>
    <xf numFmtId="10" fontId="31" fillId="0" borderId="5" xfId="0" applyNumberFormat="1" applyFont="1" applyBorder="1" applyAlignment="1">
      <alignment horizontal="right"/>
    </xf>
    <xf numFmtId="165" fontId="31" fillId="0" borderId="0" xfId="0" applyNumberFormat="1" applyFont="1" applyAlignment="1">
      <alignment horizontal="right"/>
    </xf>
    <xf numFmtId="1" fontId="31" fillId="0" borderId="6" xfId="0" applyNumberFormat="1" applyFont="1" applyBorder="1" applyAlignment="1">
      <alignment horizontal="right"/>
    </xf>
    <xf numFmtId="165" fontId="31" fillId="0" borderId="6" xfId="0" applyNumberFormat="1" applyFont="1" applyBorder="1" applyAlignment="1">
      <alignment horizontal="right"/>
    </xf>
    <xf numFmtId="165" fontId="32" fillId="8" borderId="9" xfId="0" applyNumberFormat="1" applyFont="1" applyFill="1" applyBorder="1" applyAlignment="1">
      <alignment horizontal="right"/>
    </xf>
    <xf numFmtId="165" fontId="32" fillId="8" borderId="9" xfId="0" applyNumberFormat="1" applyFont="1" applyFill="1" applyBorder="1"/>
    <xf numFmtId="1" fontId="31" fillId="16" borderId="0" xfId="0" applyNumberFormat="1" applyFont="1" applyFill="1" applyAlignment="1">
      <alignment horizontal="right"/>
    </xf>
    <xf numFmtId="1" fontId="31" fillId="17" borderId="0" xfId="0" applyNumberFormat="1" applyFont="1" applyFill="1" applyAlignment="1">
      <alignment horizontal="right"/>
    </xf>
    <xf numFmtId="165" fontId="31" fillId="18" borderId="0" xfId="0" applyNumberFormat="1" applyFont="1" applyFill="1" applyAlignment="1">
      <alignment horizontal="right"/>
    </xf>
    <xf numFmtId="1" fontId="31" fillId="19" borderId="0" xfId="0" applyNumberFormat="1" applyFont="1" applyFill="1" applyAlignment="1">
      <alignment horizontal="right"/>
    </xf>
    <xf numFmtId="1" fontId="31" fillId="20" borderId="0" xfId="0" applyNumberFormat="1" applyFont="1" applyFill="1" applyAlignment="1">
      <alignment horizontal="right"/>
    </xf>
    <xf numFmtId="165" fontId="31" fillId="21" borderId="0" xfId="0" applyNumberFormat="1" applyFont="1" applyFill="1" applyAlignment="1">
      <alignment horizontal="right"/>
    </xf>
    <xf numFmtId="1" fontId="31" fillId="22" borderId="0" xfId="0" applyNumberFormat="1" applyFont="1" applyFill="1" applyAlignment="1">
      <alignment horizontal="right"/>
    </xf>
    <xf numFmtId="1" fontId="31" fillId="23" borderId="0" xfId="0" applyNumberFormat="1" applyFont="1" applyFill="1" applyAlignment="1">
      <alignment horizontal="right"/>
    </xf>
    <xf numFmtId="165" fontId="31" fillId="24" borderId="0" xfId="0" applyNumberFormat="1" applyFont="1" applyFill="1" applyAlignment="1">
      <alignment horizontal="right"/>
    </xf>
    <xf numFmtId="1" fontId="31" fillId="25" borderId="0" xfId="0" applyNumberFormat="1" applyFont="1" applyFill="1" applyAlignment="1">
      <alignment horizontal="right"/>
    </xf>
    <xf numFmtId="1" fontId="31" fillId="26" borderId="0" xfId="0" applyNumberFormat="1" applyFont="1" applyFill="1" applyAlignment="1">
      <alignment horizontal="right"/>
    </xf>
    <xf numFmtId="165" fontId="31" fillId="27" borderId="0" xfId="0" applyNumberFormat="1" applyFont="1" applyFill="1" applyAlignment="1">
      <alignment horizontal="right"/>
    </xf>
    <xf numFmtId="1" fontId="31" fillId="28" borderId="0" xfId="0" applyNumberFormat="1" applyFont="1" applyFill="1" applyAlignment="1">
      <alignment horizontal="right"/>
    </xf>
    <xf numFmtId="1" fontId="31" fillId="29" borderId="0" xfId="0" applyNumberFormat="1" applyFont="1" applyFill="1" applyAlignment="1">
      <alignment horizontal="right"/>
    </xf>
    <xf numFmtId="165" fontId="31" fillId="30" borderId="0" xfId="0" applyNumberFormat="1" applyFont="1" applyFill="1" applyAlignment="1">
      <alignment horizontal="right"/>
    </xf>
    <xf numFmtId="1" fontId="31" fillId="31" borderId="0" xfId="0" applyNumberFormat="1" applyFont="1" applyFill="1" applyAlignment="1">
      <alignment horizontal="right"/>
    </xf>
    <xf numFmtId="165" fontId="31" fillId="32" borderId="0" xfId="0" applyNumberFormat="1" applyFont="1" applyFill="1" applyAlignment="1">
      <alignment horizontal="right"/>
    </xf>
    <xf numFmtId="1" fontId="31" fillId="33" borderId="0" xfId="0" applyNumberFormat="1" applyFont="1" applyFill="1" applyAlignment="1">
      <alignment horizontal="right"/>
    </xf>
    <xf numFmtId="1" fontId="31" fillId="34" borderId="0" xfId="0" applyNumberFormat="1" applyFont="1" applyFill="1" applyAlignment="1">
      <alignment horizontal="right"/>
    </xf>
    <xf numFmtId="165" fontId="31" fillId="5" borderId="0" xfId="0" applyNumberFormat="1" applyFont="1" applyFill="1" applyAlignment="1">
      <alignment horizontal="right"/>
    </xf>
    <xf numFmtId="1" fontId="31" fillId="35" borderId="0" xfId="0" applyNumberFormat="1" applyFont="1" applyFill="1" applyAlignment="1">
      <alignment horizontal="right"/>
    </xf>
    <xf numFmtId="1" fontId="31" fillId="36" borderId="0" xfId="0" applyNumberFormat="1" applyFont="1" applyFill="1" applyAlignment="1">
      <alignment horizontal="right"/>
    </xf>
    <xf numFmtId="165" fontId="31" fillId="37" borderId="0" xfId="0" applyNumberFormat="1" applyFont="1" applyFill="1" applyAlignment="1">
      <alignment horizontal="right"/>
    </xf>
    <xf numFmtId="1" fontId="31" fillId="38" borderId="0" xfId="0" applyNumberFormat="1" applyFont="1" applyFill="1" applyAlignment="1">
      <alignment horizontal="right"/>
    </xf>
    <xf numFmtId="1" fontId="31" fillId="39" borderId="0" xfId="0" applyNumberFormat="1" applyFont="1" applyFill="1" applyAlignment="1">
      <alignment horizontal="right"/>
    </xf>
    <xf numFmtId="165" fontId="31" fillId="40" borderId="0" xfId="0" applyNumberFormat="1" applyFont="1" applyFill="1" applyAlignment="1">
      <alignment horizontal="right"/>
    </xf>
    <xf numFmtId="1" fontId="31" fillId="41" borderId="0" xfId="0" applyNumberFormat="1" applyFont="1" applyFill="1" applyAlignment="1">
      <alignment horizontal="right"/>
    </xf>
    <xf numFmtId="165" fontId="31" fillId="42" borderId="0" xfId="0" applyNumberFormat="1" applyFont="1" applyFill="1" applyAlignment="1">
      <alignment horizontal="right"/>
    </xf>
    <xf numFmtId="1" fontId="31" fillId="43" borderId="0" xfId="0" applyNumberFormat="1" applyFont="1" applyFill="1" applyAlignment="1">
      <alignment horizontal="right"/>
    </xf>
    <xf numFmtId="1" fontId="31" fillId="44" borderId="0" xfId="0" applyNumberFormat="1" applyFont="1" applyFill="1" applyAlignment="1">
      <alignment horizontal="right"/>
    </xf>
    <xf numFmtId="165" fontId="31" fillId="45" borderId="0" xfId="0" applyNumberFormat="1" applyFont="1" applyFill="1" applyAlignment="1">
      <alignment horizontal="right"/>
    </xf>
    <xf numFmtId="1" fontId="31" fillId="46" borderId="0" xfId="0" applyNumberFormat="1" applyFont="1" applyFill="1" applyAlignment="1">
      <alignment horizontal="right"/>
    </xf>
    <xf numFmtId="165" fontId="31" fillId="20" borderId="0" xfId="0" applyNumberFormat="1" applyFont="1" applyFill="1" applyAlignment="1">
      <alignment horizontal="right"/>
    </xf>
    <xf numFmtId="1" fontId="31" fillId="47" borderId="6" xfId="0" applyNumberFormat="1" applyFont="1" applyFill="1" applyBorder="1" applyAlignment="1">
      <alignment horizontal="right"/>
    </xf>
    <xf numFmtId="1" fontId="31" fillId="48" borderId="6" xfId="0" applyNumberFormat="1" applyFont="1" applyFill="1" applyBorder="1" applyAlignment="1">
      <alignment horizontal="right"/>
    </xf>
    <xf numFmtId="165" fontId="31" fillId="39" borderId="6" xfId="0" applyNumberFormat="1" applyFont="1" applyFill="1" applyBorder="1" applyAlignment="1">
      <alignment horizontal="right"/>
    </xf>
    <xf numFmtId="165" fontId="31" fillId="0" borderId="0" xfId="0" applyNumberFormat="1" applyFont="1"/>
    <xf numFmtId="0" fontId="32" fillId="8" borderId="9" xfId="0" applyFont="1" applyFill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10" fontId="10" fillId="0" borderId="2" xfId="0" applyNumberFormat="1" applyFont="1" applyBorder="1"/>
    <xf numFmtId="2" fontId="10" fillId="0" borderId="2" xfId="0" applyNumberFormat="1" applyFont="1" applyBorder="1"/>
    <xf numFmtId="2" fontId="10" fillId="0" borderId="0" xfId="0" applyNumberFormat="1" applyFont="1"/>
    <xf numFmtId="0" fontId="34" fillId="0" borderId="2" xfId="0" applyFont="1" applyBorder="1"/>
    <xf numFmtId="1" fontId="34" fillId="0" borderId="2" xfId="0" applyNumberFormat="1" applyFont="1" applyBorder="1"/>
    <xf numFmtId="164" fontId="34" fillId="0" borderId="2" xfId="0" applyNumberFormat="1" applyFont="1" applyBorder="1"/>
    <xf numFmtId="0" fontId="10" fillId="0" borderId="14" xfId="0" applyFont="1" applyBorder="1"/>
    <xf numFmtId="2" fontId="10" fillId="0" borderId="14" xfId="0" applyNumberFormat="1" applyFont="1" applyBorder="1"/>
    <xf numFmtId="164" fontId="10" fillId="0" borderId="14" xfId="0" applyNumberFormat="1" applyFont="1" applyBorder="1"/>
    <xf numFmtId="1" fontId="10" fillId="0" borderId="14" xfId="0" applyNumberFormat="1" applyFont="1" applyBorder="1"/>
    <xf numFmtId="2" fontId="10" fillId="0" borderId="16" xfId="0" applyNumberFormat="1" applyFont="1" applyBorder="1"/>
    <xf numFmtId="0" fontId="10" fillId="0" borderId="16" xfId="0" applyFont="1" applyBorder="1"/>
  </cellXfs>
  <cellStyles count="1">
    <cellStyle name="Normal" xfId="0" builtinId="0"/>
  </cellStyles>
  <dxfs count="1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4" defaultTableStyle="TableStyleMedium2" defaultPivotStyle="PivotStyleLight16">
    <tableStyle name="Household Appliances-style" pivot="0" count="3" xr9:uid="{0253A9E7-78C1-4430-A775-99CD42BA8635}">
      <tableStyleElement type="headerRow" dxfId="8"/>
      <tableStyleElement type="firstRowStripe" dxfId="7"/>
      <tableStyleElement type="secondRowStripe" dxfId="6"/>
    </tableStyle>
    <tableStyle name="Household Appliances-style 2" pivot="0" count="3" xr9:uid="{F09204EE-FEF6-4F8F-A23C-CF5B6F2418F4}">
      <tableStyleElement type="headerRow" dxfId="5"/>
      <tableStyleElement type="firstRowStripe" dxfId="4"/>
      <tableStyleElement type="secondRowStripe" dxfId="3"/>
    </tableStyle>
    <tableStyle name="Household Appliances-style 3" pivot="0" count="3" xr9:uid="{94AF5383-5046-4C90-A1B0-54B4D68FAC59}">
      <tableStyleElement type="headerRow" dxfId="2"/>
      <tableStyleElement type="firstRowStripe" dxfId="1"/>
      <tableStyleElement type="secondRowStripe" dxfId="0"/>
    </tableStyle>
    <tableStyle name="Voltas-style" pivot="0" count="3" xr9:uid="{C0A82065-C5A1-4BFA-A937-FCF5875330CB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'Household Appliances'!$C$38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A1BA-4A3F-B103-C907EFFB45C1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A1BA-4A3F-B103-C907EFFB45C1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A1BA-4A3F-B103-C907EFFB45C1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A1BA-4A3F-B103-C907EFFB45C1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A1BA-4A3F-B103-C907EFFB45C1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A1BA-4A3F-B103-C907EFFB45C1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A1BA-4A3F-B103-C907EFFB45C1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A1BA-4A3F-B103-C907EFFB45C1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A1BA-4A3F-B103-C907EFFB45C1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A1BA-4A3F-B103-C907EFFB45C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'Household Appliances'!$B$39:$B$48</c:f>
              <c:strCache>
                <c:ptCount val="10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  <c:pt idx="7">
                  <c:v>BAJAJELEC</c:v>
                </c:pt>
                <c:pt idx="8">
                  <c:v>EUREKAFORBE</c:v>
                </c:pt>
                <c:pt idx="9">
                  <c:v>Others_11</c:v>
                </c:pt>
              </c:strCache>
            </c:strRef>
          </c:cat>
          <c:val>
            <c:numRef>
              <c:f>'Household Appliances'!$C$39:$C$48</c:f>
              <c:numCache>
                <c:formatCode>0</c:formatCode>
                <c:ptCount val="10"/>
                <c:pt idx="0">
                  <c:v>59829.623480299997</c:v>
                </c:pt>
                <c:pt idx="1">
                  <c:v>34543.2696</c:v>
                </c:pt>
                <c:pt idx="2">
                  <c:v>30196.157727500002</c:v>
                </c:pt>
                <c:pt idx="3">
                  <c:v>27931.711110799999</c:v>
                </c:pt>
                <c:pt idx="4">
                  <c:v>20229.606449999999</c:v>
                </c:pt>
                <c:pt idx="5">
                  <c:v>15091.71998</c:v>
                </c:pt>
                <c:pt idx="6">
                  <c:v>13031.0978</c:v>
                </c:pt>
                <c:pt idx="7">
                  <c:v>11301.466667500001</c:v>
                </c:pt>
                <c:pt idx="8">
                  <c:v>9628.4922698999999</c:v>
                </c:pt>
                <c:pt idx="9">
                  <c:v>30872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BA-4A3F-B103-C907EFFB4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HOUSEHOLD APPLIANCES 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D774-4D2D-A39F-42170AB66343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D774-4D2D-A39F-42170AB66343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D774-4D2D-A39F-42170AB66343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D774-4D2D-A39F-42170AB66343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D774-4D2D-A39F-42170AB66343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D774-4D2D-A39F-42170AB66343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D774-4D2D-A39F-42170AB66343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D774-4D2D-A39F-42170AB66343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D774-4D2D-A39F-42170AB66343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D774-4D2D-A39F-42170AB66343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D774-4D2D-A39F-42170AB66343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D774-4D2D-A39F-42170AB663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8-D774-4D2D-A39F-42170AB6634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'Household Appliances'!$F$38:$F$51</c:f>
              <c:strCache>
                <c:ptCount val="13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TTKPRESTIG</c:v>
                </c:pt>
                <c:pt idx="8">
                  <c:v>BAJAJELEC</c:v>
                </c:pt>
                <c:pt idx="9">
                  <c:v>EUREKAFORBE</c:v>
                </c:pt>
                <c:pt idx="10">
                  <c:v>IFBIND</c:v>
                </c:pt>
                <c:pt idx="11">
                  <c:v>JCHAC</c:v>
                </c:pt>
                <c:pt idx="12">
                  <c:v>ORIENTELEC</c:v>
                </c:pt>
              </c:strCache>
            </c:strRef>
          </c:cat>
          <c:val>
            <c:numRef>
              <c:f>'Household Appliances'!$G$38:$G$51</c:f>
              <c:numCache>
                <c:formatCode>General</c:formatCode>
                <c:ptCount val="14"/>
                <c:pt idx="0">
                  <c:v>0</c:v>
                </c:pt>
                <c:pt idx="1">
                  <c:v>12481</c:v>
                </c:pt>
                <c:pt idx="2">
                  <c:v>9685</c:v>
                </c:pt>
                <c:pt idx="3">
                  <c:v>7313</c:v>
                </c:pt>
                <c:pt idx="4">
                  <c:v>6830</c:v>
                </c:pt>
                <c:pt idx="5">
                  <c:v>4857</c:v>
                </c:pt>
                <c:pt idx="6">
                  <c:v>6730</c:v>
                </c:pt>
                <c:pt idx="7">
                  <c:v>2678</c:v>
                </c:pt>
                <c:pt idx="8">
                  <c:v>4639</c:v>
                </c:pt>
                <c:pt idx="9">
                  <c:v>2189</c:v>
                </c:pt>
                <c:pt idx="10">
                  <c:v>4437</c:v>
                </c:pt>
                <c:pt idx="11">
                  <c:v>1918</c:v>
                </c:pt>
                <c:pt idx="12">
                  <c:v>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774-4D2D-A39F-42170AB6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Appliances'!$K$38</c:f>
              <c:strCache>
                <c:ptCount val="1"/>
                <c:pt idx="0">
                  <c:v>PROFIT_24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Appliances'!$J$39:$J$51</c:f>
              <c:strCache>
                <c:ptCount val="12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</c:strCache>
            </c:strRef>
          </c:cat>
          <c:val>
            <c:numRef>
              <c:f>'Household Appliances'!$K$39:$K$51</c:f>
              <c:numCache>
                <c:formatCode>General</c:formatCode>
                <c:ptCount val="13"/>
                <c:pt idx="0">
                  <c:v>248</c:v>
                </c:pt>
                <c:pt idx="1">
                  <c:v>414</c:v>
                </c:pt>
                <c:pt idx="2">
                  <c:v>442</c:v>
                </c:pt>
                <c:pt idx="3">
                  <c:v>224</c:v>
                </c:pt>
                <c:pt idx="4">
                  <c:v>258</c:v>
                </c:pt>
                <c:pt idx="5">
                  <c:v>140</c:v>
                </c:pt>
                <c:pt idx="6">
                  <c:v>225</c:v>
                </c:pt>
                <c:pt idx="7">
                  <c:v>132</c:v>
                </c:pt>
                <c:pt idx="8">
                  <c:v>92</c:v>
                </c:pt>
                <c:pt idx="9">
                  <c:v>50</c:v>
                </c:pt>
                <c:pt idx="10">
                  <c:v>-75</c:v>
                </c:pt>
                <c:pt idx="11">
                  <c:v>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2D5-4A02-BC30-FDA05FE8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26661"/>
        <c:axId val="288289690"/>
      </c:barChart>
      <c:catAx>
        <c:axId val="7144266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8289690"/>
        <c:crosses val="autoZero"/>
        <c:auto val="1"/>
        <c:lblAlgn val="ctr"/>
        <c:lblOffset val="100"/>
        <c:noMultiLvlLbl val="1"/>
      </c:catAx>
      <c:valAx>
        <c:axId val="2882896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44266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Appliances'!$G$71</c:f>
              <c:strCache>
                <c:ptCount val="1"/>
                <c:pt idx="0">
                  <c:v>SALES_Q1_GR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'Household Appliances'!$F$72:$F$85</c:f>
              <c:numCache>
                <c:formatCode>0.00%</c:formatCode>
                <c:ptCount val="14"/>
                <c:pt idx="0">
                  <c:v>0.32790722417278428</c:v>
                </c:pt>
                <c:pt idx="1">
                  <c:v>0.21411558229910987</c:v>
                </c:pt>
                <c:pt idx="2">
                  <c:v>0.25890859011878131</c:v>
                </c:pt>
                <c:pt idx="3">
                  <c:v>5.1508462104488117E-3</c:v>
                </c:pt>
                <c:pt idx="4">
                  <c:v>0.17688393506178812</c:v>
                </c:pt>
                <c:pt idx="5">
                  <c:v>-2.8439439872960826E-2</c:v>
                </c:pt>
                <c:pt idx="6">
                  <c:v>-3.5649981994958613E-2</c:v>
                </c:pt>
                <c:pt idx="7">
                  <c:v>-0.14551482777675451</c:v>
                </c:pt>
                <c:pt idx="8">
                  <c:v>5.0383877159309032E-2</c:v>
                </c:pt>
                <c:pt idx="9">
                  <c:v>5.7939914163090078E-2</c:v>
                </c:pt>
                <c:pt idx="10">
                  <c:v>-0.19546979865771807</c:v>
                </c:pt>
                <c:pt idx="11">
                  <c:v>0.11190193752471322</c:v>
                </c:pt>
                <c:pt idx="13">
                  <c:v>0.10157038606013469</c:v>
                </c:pt>
              </c:numCache>
            </c:numRef>
          </c:cat>
          <c:val>
            <c:numRef>
              <c:f>'Household Appliances'!$G$72:$G$85</c:f>
              <c:numCache>
                <c:formatCode>0.00%</c:formatCode>
                <c:ptCount val="14"/>
                <c:pt idx="0">
                  <c:v>0.46500000000000002</c:v>
                </c:pt>
                <c:pt idx="1">
                  <c:v>0.28710000000000002</c:v>
                </c:pt>
                <c:pt idx="2">
                  <c:v>0.1391</c:v>
                </c:pt>
                <c:pt idx="3">
                  <c:v>0.2397</c:v>
                </c:pt>
                <c:pt idx="4">
                  <c:v>0.21659999999999999</c:v>
                </c:pt>
                <c:pt idx="5">
                  <c:v>0.41410000000000002</c:v>
                </c:pt>
                <c:pt idx="6">
                  <c:v>1.8E-3</c:v>
                </c:pt>
                <c:pt idx="7">
                  <c:v>3.8600000000000002E-2</c:v>
                </c:pt>
                <c:pt idx="8">
                  <c:v>9.4E-2</c:v>
                </c:pt>
                <c:pt idx="9">
                  <c:v>0.17299999999999999</c:v>
                </c:pt>
                <c:pt idx="11">
                  <c:v>6.9800000000000001E-2</c:v>
                </c:pt>
                <c:pt idx="13">
                  <c:v>0.3029313428193765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DA3-45E7-A90E-91B10BC2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901834"/>
        <c:axId val="851867485"/>
      </c:barChart>
      <c:catAx>
        <c:axId val="12569018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51867485"/>
        <c:crosses val="autoZero"/>
        <c:auto val="1"/>
        <c:lblAlgn val="ctr"/>
        <c:lblOffset val="100"/>
        <c:noMultiLvlLbl val="1"/>
      </c:catAx>
      <c:valAx>
        <c:axId val="8518674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69018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Appliances'!$C$138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Appliances'!$B$139:$B$151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Appliances'!$C$139:$C$151</c:f>
              <c:numCache>
                <c:formatCode>0.0</c:formatCode>
                <c:ptCount val="13"/>
                <c:pt idx="0">
                  <c:v>1.4595278473836246</c:v>
                </c:pt>
                <c:pt idx="1">
                  <c:v>1.3615064810873532</c:v>
                </c:pt>
                <c:pt idx="2">
                  <c:v>1.1496140262238699</c:v>
                </c:pt>
                <c:pt idx="3">
                  <c:v>2.5179224579370887</c:v>
                </c:pt>
                <c:pt idx="4">
                  <c:v>1.7624555895232588</c:v>
                </c:pt>
                <c:pt idx="5">
                  <c:v>1.0830248545742993</c:v>
                </c:pt>
                <c:pt idx="6">
                  <c:v>1.1361161524500907</c:v>
                </c:pt>
                <c:pt idx="7">
                  <c:v>3.2142857142857144</c:v>
                </c:pt>
                <c:pt idx="8">
                  <c:v>0.58273381294964033</c:v>
                </c:pt>
                <c:pt idx="9">
                  <c:v>1.0998005436793259</c:v>
                </c:pt>
                <c:pt idx="10">
                  <c:v>1.4731115758989624</c:v>
                </c:pt>
                <c:pt idx="11">
                  <c:v>1.3228962818003913</c:v>
                </c:pt>
                <c:pt idx="12">
                  <c:v>1.1489361702127661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F2B-433B-A5B8-38B1C9221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335623"/>
        <c:axId val="1478345871"/>
      </c:barChart>
      <c:catAx>
        <c:axId val="1795335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8345871"/>
        <c:crosses val="autoZero"/>
        <c:auto val="1"/>
        <c:lblAlgn val="ctr"/>
        <c:lblOffset val="100"/>
        <c:noMultiLvlLbl val="1"/>
      </c:catAx>
      <c:valAx>
        <c:axId val="14783458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53356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Appliances'!$F$138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Appliances'!$E$139:$E$151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Appliances'!$F$139:$F$151</c:f>
              <c:numCache>
                <c:formatCode>0</c:formatCode>
                <c:ptCount val="13"/>
                <c:pt idx="0">
                  <c:v>58.738631769337161</c:v>
                </c:pt>
                <c:pt idx="1">
                  <c:v>56.952262755421842</c:v>
                </c:pt>
                <c:pt idx="2">
                  <c:v>42.623127904975043</c:v>
                </c:pt>
                <c:pt idx="3">
                  <c:v>10.796909492273731</c:v>
                </c:pt>
                <c:pt idx="4">
                  <c:v>40.306542282529684</c:v>
                </c:pt>
                <c:pt idx="5">
                  <c:v>36.937346614696118</c:v>
                </c:pt>
                <c:pt idx="6">
                  <c:v>1.4790937557561246</c:v>
                </c:pt>
                <c:pt idx="7">
                  <c:v>45.871444004321205</c:v>
                </c:pt>
                <c:pt idx="8">
                  <c:v>28.548464491362765</c:v>
                </c:pt>
                <c:pt idx="9">
                  <c:v>36.333774439675729</c:v>
                </c:pt>
                <c:pt idx="10">
                  <c:v>44.573586397785682</c:v>
                </c:pt>
                <c:pt idx="11">
                  <c:v>23.884228187919465</c:v>
                </c:pt>
                <c:pt idx="12">
                  <c:v>77.554806070826302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28F-4EDC-91C9-A846C2754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583857"/>
        <c:axId val="1123471665"/>
      </c:barChart>
      <c:catAx>
        <c:axId val="2545838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3471665"/>
        <c:crosses val="autoZero"/>
        <c:auto val="1"/>
        <c:lblAlgn val="ctr"/>
        <c:lblOffset val="100"/>
        <c:noMultiLvlLbl val="1"/>
      </c:catAx>
      <c:valAx>
        <c:axId val="11234716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45838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Appliances'!$C$106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Appliances'!$B$107:$B$119</c:f>
              <c:strCache>
                <c:ptCount val="12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</c:strCache>
            </c:strRef>
          </c:cat>
          <c:val>
            <c:numRef>
              <c:f>'Household Appliances'!$C$107:$C$119</c:f>
              <c:numCache>
                <c:formatCode>0.00</c:formatCode>
                <c:ptCount val="13"/>
                <c:pt idx="0">
                  <c:v>0.12250859106529209</c:v>
                </c:pt>
                <c:pt idx="1">
                  <c:v>6.4033742331288349E-2</c:v>
                </c:pt>
                <c:pt idx="2">
                  <c:v>0.19966666666666666</c:v>
                </c:pt>
                <c:pt idx="3">
                  <c:v>0</c:v>
                </c:pt>
                <c:pt idx="4">
                  <c:v>0.16041896361631752</c:v>
                </c:pt>
                <c:pt idx="5">
                  <c:v>0.69443099273607745</c:v>
                </c:pt>
                <c:pt idx="6">
                  <c:v>2.2509578544061302E-2</c:v>
                </c:pt>
                <c:pt idx="7">
                  <c:v>0.15949554896142434</c:v>
                </c:pt>
                <c:pt idx="8">
                  <c:v>1.4692378328741965E-2</c:v>
                </c:pt>
                <c:pt idx="9">
                  <c:v>9.7629009762900981E-2</c:v>
                </c:pt>
                <c:pt idx="10">
                  <c:v>0.08</c:v>
                </c:pt>
                <c:pt idx="11">
                  <c:v>3.1347962382445138E-2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C3F-465E-B1C6-C8F12044D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342280"/>
        <c:axId val="909257027"/>
      </c:barChart>
      <c:catAx>
        <c:axId val="2109342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9257027"/>
        <c:crosses val="autoZero"/>
        <c:auto val="1"/>
        <c:lblAlgn val="ctr"/>
        <c:lblOffset val="100"/>
        <c:noMultiLvlLbl val="1"/>
      </c:catAx>
      <c:valAx>
        <c:axId val="9092570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093422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Appliances'!$F$106:$F$119</c:f>
              <c:strCache>
                <c:ptCount val="13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BAJAJELEC</c:v>
                </c:pt>
                <c:pt idx="8">
                  <c:v>TTKPRESTIG</c:v>
                </c:pt>
                <c:pt idx="9">
                  <c:v>EUREKAFORBE</c:v>
                </c:pt>
                <c:pt idx="10">
                  <c:v>IFBIND</c:v>
                </c:pt>
                <c:pt idx="11">
                  <c:v>ORIENTELEC</c:v>
                </c:pt>
                <c:pt idx="12">
                  <c:v>JCHAC</c:v>
                </c:pt>
              </c:strCache>
            </c:strRef>
          </c:cat>
          <c:val>
            <c:numRef>
              <c:f>'Household Appliances'!$G$106:$G$119</c:f>
              <c:numCache>
                <c:formatCode>0.0</c:formatCode>
                <c:ptCount val="14"/>
                <c:pt idx="0" formatCode="General">
                  <c:v>0</c:v>
                </c:pt>
                <c:pt idx="1">
                  <c:v>1.4762516046213094</c:v>
                </c:pt>
                <c:pt idx="2">
                  <c:v>9.7758620689655178</c:v>
                </c:pt>
                <c:pt idx="3">
                  <c:v>7.4050632911392409</c:v>
                </c:pt>
                <c:pt idx="4">
                  <c:v>6.4</c:v>
                </c:pt>
                <c:pt idx="5">
                  <c:v>8.6750000000000007</c:v>
                </c:pt>
                <c:pt idx="6">
                  <c:v>1.8323353293413174</c:v>
                </c:pt>
                <c:pt idx="7">
                  <c:v>18.384615384615383</c:v>
                </c:pt>
                <c:pt idx="8">
                  <c:v>5.1269841269841274</c:v>
                </c:pt>
                <c:pt idx="9">
                  <c:v>20.2</c:v>
                </c:pt>
                <c:pt idx="10">
                  <c:v>3.2857142857142856</c:v>
                </c:pt>
                <c:pt idx="11">
                  <c:v>-4.125</c:v>
                </c:pt>
                <c:pt idx="12">
                  <c:v>3.6956521739130435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14B-4E5B-8ADC-C033302DF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668843"/>
        <c:axId val="144729910"/>
      </c:barChart>
      <c:catAx>
        <c:axId val="6896688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729910"/>
        <c:crosses val="autoZero"/>
        <c:auto val="1"/>
        <c:lblAlgn val="ctr"/>
        <c:lblOffset val="100"/>
        <c:noMultiLvlLbl val="1"/>
      </c:catAx>
      <c:valAx>
        <c:axId val="1447299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96688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Appliances'!$K$106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Appliances'!$J$107:$J$119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Appliances'!$K$107:$K$119</c:f>
              <c:numCache>
                <c:formatCode>0.0</c:formatCode>
                <c:ptCount val="13"/>
                <c:pt idx="0">
                  <c:v>1.0621993127147766</c:v>
                </c:pt>
                <c:pt idx="1">
                  <c:v>1.5356595092024541</c:v>
                </c:pt>
                <c:pt idx="2">
                  <c:v>0.87766666666666671</c:v>
                </c:pt>
                <c:pt idx="3">
                  <c:v>0.62239089184060725</c:v>
                </c:pt>
                <c:pt idx="4">
                  <c:v>0.74255788313120175</c:v>
                </c:pt>
                <c:pt idx="5">
                  <c:v>2.168038740920097</c:v>
                </c:pt>
                <c:pt idx="6">
                  <c:v>0.31369731800766282</c:v>
                </c:pt>
                <c:pt idx="7">
                  <c:v>1.8093471810089021</c:v>
                </c:pt>
                <c:pt idx="8">
                  <c:v>0.4428374655647383</c:v>
                </c:pt>
                <c:pt idx="9">
                  <c:v>2.0390516039051603</c:v>
                </c:pt>
                <c:pt idx="10">
                  <c:v>1.8453608247422681</c:v>
                </c:pt>
                <c:pt idx="11">
                  <c:v>1.2727272727272727</c:v>
                </c:pt>
                <c:pt idx="12" formatCode="0.00">
                  <c:v>0.55838926174496639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1A6-43D3-9DCF-5FC9A354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814926"/>
        <c:axId val="57528320"/>
      </c:barChart>
      <c:catAx>
        <c:axId val="10218149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7528320"/>
        <c:crosses val="autoZero"/>
        <c:auto val="1"/>
        <c:lblAlgn val="ctr"/>
        <c:lblOffset val="100"/>
        <c:noMultiLvlLbl val="1"/>
      </c:catAx>
      <c:valAx>
        <c:axId val="575283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18149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Appliances'!$P$156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Appliances'!$O$157:$O$169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Appliances'!$P$157:$P$169</c:f>
              <c:numCache>
                <c:formatCode>0.0%</c:formatCode>
                <c:ptCount val="13"/>
                <c:pt idx="0">
                  <c:v>7.7127659574468084E-3</c:v>
                </c:pt>
                <c:pt idx="1">
                  <c:v>1.8920169687620517E-2</c:v>
                </c:pt>
                <c:pt idx="2">
                  <c:v>2.2404092071611256E-2</c:v>
                </c:pt>
                <c:pt idx="3">
                  <c:v>1.223320778405524E-2</c:v>
                </c:pt>
                <c:pt idx="4">
                  <c:v>1.7256922086284609E-2</c:v>
                </c:pt>
                <c:pt idx="5">
                  <c:v>1.0826488706365503E-2</c:v>
                </c:pt>
                <c:pt idx="6">
                  <c:v>1.3232664414861912E-2</c:v>
                </c:pt>
                <c:pt idx="7">
                  <c:v>2.1934884954578609E-2</c:v>
                </c:pt>
                <c:pt idx="8">
                  <c:v>1.0243751928417156E-2</c:v>
                </c:pt>
                <c:pt idx="9">
                  <c:v>5.0759219088937092E-3</c:v>
                </c:pt>
                <c:pt idx="10">
                  <c:v>1.9414703783012133E-2</c:v>
                </c:pt>
                <c:pt idx="11">
                  <c:v>-4.0368816640447468E-2</c:v>
                </c:pt>
                <c:pt idx="12">
                  <c:v>2.2685827552031714E-2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19B-4AC4-A1C6-37573AEB8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895460"/>
        <c:axId val="801816923"/>
      </c:barChart>
      <c:catAx>
        <c:axId val="8018954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1816923"/>
        <c:crosses val="autoZero"/>
        <c:auto val="1"/>
        <c:lblAlgn val="ctr"/>
        <c:lblOffset val="100"/>
        <c:noMultiLvlLbl val="1"/>
      </c:catAx>
      <c:valAx>
        <c:axId val="8018169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18954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and SALES_LY_GR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Appliances'!$E$71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Appliances'!$B$72:$B$85</c:f>
              <c:strCache>
                <c:ptCount val="14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  <c:pt idx="7">
                  <c:v>BAJAJELEC</c:v>
                </c:pt>
                <c:pt idx="8">
                  <c:v>EUREKAFORBE</c:v>
                </c:pt>
                <c:pt idx="9">
                  <c:v>IFBIND</c:v>
                </c:pt>
                <c:pt idx="10">
                  <c:v>JCHAC</c:v>
                </c:pt>
                <c:pt idx="11">
                  <c:v>ORIENTELEC</c:v>
                </c:pt>
                <c:pt idx="13">
                  <c:v>INDUSTRY</c:v>
                </c:pt>
              </c:strCache>
            </c:strRef>
          </c:cat>
          <c:val>
            <c:numRef>
              <c:f>'Household Appliances'!$E$72:$E$85</c:f>
              <c:numCache>
                <c:formatCode>0.00%</c:formatCode>
                <c:ptCount val="14"/>
                <c:pt idx="0">
                  <c:v>0.13272819726262419</c:v>
                </c:pt>
                <c:pt idx="1">
                  <c:v>0.13097545916799369</c:v>
                </c:pt>
                <c:pt idx="2">
                  <c:v>0.10301876830180134</c:v>
                </c:pt>
                <c:pt idx="3">
                  <c:v>4.8222933402863877E-2</c:v>
                </c:pt>
                <c:pt idx="4">
                  <c:v>0.13365165490728304</c:v>
                </c:pt>
                <c:pt idx="5">
                  <c:v>0.25196892467078458</c:v>
                </c:pt>
                <c:pt idx="6">
                  <c:v>4.9229375598962788E-2</c:v>
                </c:pt>
                <c:pt idx="7">
                  <c:v>-6.9658890383399452E-2</c:v>
                </c:pt>
                <c:pt idx="9">
                  <c:v>0.10783279735903029</c:v>
                </c:pt>
                <c:pt idx="10">
                  <c:v>-3.0648360318455192E-2</c:v>
                </c:pt>
                <c:pt idx="11">
                  <c:v>8.5710109305209947E-2</c:v>
                </c:pt>
                <c:pt idx="13">
                  <c:v>9.5775747701204672E-2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0A-4A57-BA10-0F7BFA7FC6E8}"/>
            </c:ext>
          </c:extLst>
        </c:ser>
        <c:ser>
          <c:idx val="1"/>
          <c:order val="1"/>
          <c:tx>
            <c:strRef>
              <c:f>'Household Appliances'!$F$71</c:f>
              <c:strCache>
                <c:ptCount val="1"/>
                <c:pt idx="0">
                  <c:v>SALES_LY_GR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Appliances'!$B$72:$B$85</c:f>
              <c:strCache>
                <c:ptCount val="14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  <c:pt idx="7">
                  <c:v>BAJAJELEC</c:v>
                </c:pt>
                <c:pt idx="8">
                  <c:v>EUREKAFORBE</c:v>
                </c:pt>
                <c:pt idx="9">
                  <c:v>IFBIND</c:v>
                </c:pt>
                <c:pt idx="10">
                  <c:v>JCHAC</c:v>
                </c:pt>
                <c:pt idx="11">
                  <c:v>ORIENTELEC</c:v>
                </c:pt>
                <c:pt idx="13">
                  <c:v>INDUSTRY</c:v>
                </c:pt>
              </c:strCache>
            </c:strRef>
          </c:cat>
          <c:val>
            <c:numRef>
              <c:f>'Household Appliances'!$F$72:$F$85</c:f>
              <c:numCache>
                <c:formatCode>0.00%</c:formatCode>
                <c:ptCount val="14"/>
                <c:pt idx="0">
                  <c:v>0.32790722417278428</c:v>
                </c:pt>
                <c:pt idx="1">
                  <c:v>0.21411558229910987</c:v>
                </c:pt>
                <c:pt idx="2">
                  <c:v>0.25890859011878131</c:v>
                </c:pt>
                <c:pt idx="3">
                  <c:v>5.1508462104488117E-3</c:v>
                </c:pt>
                <c:pt idx="4">
                  <c:v>0.17688393506178812</c:v>
                </c:pt>
                <c:pt idx="5">
                  <c:v>-2.8439439872960826E-2</c:v>
                </c:pt>
                <c:pt idx="6">
                  <c:v>-3.5649981994958613E-2</c:v>
                </c:pt>
                <c:pt idx="7">
                  <c:v>-0.14551482777675451</c:v>
                </c:pt>
                <c:pt idx="8">
                  <c:v>5.0383877159309032E-2</c:v>
                </c:pt>
                <c:pt idx="9">
                  <c:v>5.7939914163090078E-2</c:v>
                </c:pt>
                <c:pt idx="10">
                  <c:v>-0.19546979865771807</c:v>
                </c:pt>
                <c:pt idx="11">
                  <c:v>0.11190193752471322</c:v>
                </c:pt>
                <c:pt idx="13">
                  <c:v>0.10157038606013469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0A-4A57-BA10-0F7BFA7FC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827791"/>
        <c:axId val="1572519057"/>
      </c:barChart>
      <c:catAx>
        <c:axId val="1995827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72519057"/>
        <c:crosses val="autoZero"/>
        <c:auto val="1"/>
        <c:lblAlgn val="ctr"/>
        <c:lblOffset val="100"/>
        <c:noMultiLvlLbl val="1"/>
      </c:catAx>
      <c:valAx>
        <c:axId val="15725190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582779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Q1_FY25_MARGIN and Q1_FY24_MARGIN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Appliances'!$C$88:$C$89</c:f>
              <c:strCache>
                <c:ptCount val="2"/>
                <c:pt idx="0">
                  <c:v>PROFITABILITY</c:v>
                </c:pt>
                <c:pt idx="1">
                  <c:v>Q1_FY25_MARGIN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Appliances'!$C$90:$C$96</c:f>
              <c:numCache>
                <c:formatCode>0.0%</c:formatCode>
                <c:ptCount val="7"/>
                <c:pt idx="0">
                  <c:v>6.8099999999999994E-2</c:v>
                </c:pt>
                <c:pt idx="1">
                  <c:v>5.8999999999999997E-2</c:v>
                </c:pt>
                <c:pt idx="2">
                  <c:v>7.1099999999999997E-2</c:v>
                </c:pt>
                <c:pt idx="3">
                  <c:v>5.62E-2</c:v>
                </c:pt>
                <c:pt idx="4">
                  <c:v>6.7000000000000004E-2</c:v>
                </c:pt>
                <c:pt idx="5">
                  <c:v>4.0899999999999999E-2</c:v>
                </c:pt>
                <c:pt idx="6">
                  <c:v>8.5099999999999995E-2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C35-4C26-AF28-20156212859F}"/>
            </c:ext>
          </c:extLst>
        </c:ser>
        <c:ser>
          <c:idx val="1"/>
          <c:order val="1"/>
          <c:tx>
            <c:strRef>
              <c:f>'Household Appliances'!$D$88:$D$89</c:f>
              <c:strCache>
                <c:ptCount val="2"/>
                <c:pt idx="0">
                  <c:v>PROFITABILITY</c:v>
                </c:pt>
                <c:pt idx="1">
                  <c:v>Q1_FY24_MARGIN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Appliances'!$D$90:$D$96</c:f>
              <c:numCache>
                <c:formatCode>0.0%</c:formatCode>
                <c:ptCount val="7"/>
                <c:pt idx="0">
                  <c:v>3.8399999999999997E-2</c:v>
                </c:pt>
                <c:pt idx="1">
                  <c:v>3.73E-2</c:v>
                </c:pt>
                <c:pt idx="2">
                  <c:v>6.5000000000000002E-2</c:v>
                </c:pt>
                <c:pt idx="3">
                  <c:v>3.2199999999999999E-2</c:v>
                </c:pt>
                <c:pt idx="4">
                  <c:v>5.2699999999999997E-2</c:v>
                </c:pt>
                <c:pt idx="5">
                  <c:v>2.75E-2</c:v>
                </c:pt>
                <c:pt idx="6">
                  <c:v>9.1800000000000007E-2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C35-4C26-AF28-201562128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17449"/>
        <c:axId val="807153021"/>
      </c:barChart>
      <c:catAx>
        <c:axId val="1012174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7153021"/>
        <c:crosses val="autoZero"/>
        <c:auto val="1"/>
        <c:lblAlgn val="ctr"/>
        <c:lblOffset val="100"/>
        <c:noMultiLvlLbl val="1"/>
      </c:catAx>
      <c:valAx>
        <c:axId val="8071530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121744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MARGIN_24, MARGIN_23, MARGIN_19, MARGIN_14 and MARGIN_09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Appliances'!$E$88:$E$89</c:f>
              <c:strCache>
                <c:ptCount val="2"/>
                <c:pt idx="0">
                  <c:v>PROFITABILITY</c:v>
                </c:pt>
                <c:pt idx="1">
                  <c:v>MARGIN_24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Appliances'!$E$90:$E$96</c:f>
              <c:numCache>
                <c:formatCode>0.0%</c:formatCode>
                <c:ptCount val="7"/>
                <c:pt idx="0">
                  <c:v>1.9870202708116336E-2</c:v>
                </c:pt>
                <c:pt idx="1">
                  <c:v>4.2746515229736708E-2</c:v>
                </c:pt>
                <c:pt idx="2">
                  <c:v>6.0440311773553947E-2</c:v>
                </c:pt>
                <c:pt idx="3">
                  <c:v>3.2796486090775991E-2</c:v>
                </c:pt>
                <c:pt idx="4">
                  <c:v>5.3119209388511425E-2</c:v>
                </c:pt>
                <c:pt idx="5">
                  <c:v>2.0802377414561663E-2</c:v>
                </c:pt>
                <c:pt idx="6">
                  <c:v>8.4017923823749063E-2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405-4A45-A135-8582452196B1}"/>
            </c:ext>
          </c:extLst>
        </c:ser>
        <c:ser>
          <c:idx val="1"/>
          <c:order val="1"/>
          <c:tx>
            <c:strRef>
              <c:f>'Household Appliances'!$F$88:$F$89</c:f>
              <c:strCache>
                <c:ptCount val="2"/>
                <c:pt idx="0">
                  <c:v>PROFITABILITY</c:v>
                </c:pt>
                <c:pt idx="1">
                  <c:v>MARGIN_23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Appliances'!$F$90:$F$96</c:f>
              <c:numCache>
                <c:formatCode>0.0%</c:formatCode>
                <c:ptCount val="7"/>
                <c:pt idx="0">
                  <c:v>1.4469624428130653E-2</c:v>
                </c:pt>
                <c:pt idx="1">
                  <c:v>5.0144164472859472E-2</c:v>
                </c:pt>
                <c:pt idx="2">
                  <c:v>8.1769667756928899E-2</c:v>
                </c:pt>
                <c:pt idx="3">
                  <c:v>3.2818248712288445E-2</c:v>
                </c:pt>
                <c:pt idx="4">
                  <c:v>4.5795977707778046E-2</c:v>
                </c:pt>
                <c:pt idx="5">
                  <c:v>2.3531110148693517E-2</c:v>
                </c:pt>
                <c:pt idx="6">
                  <c:v>9.1825711199135754E-2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405-4A45-A135-8582452196B1}"/>
            </c:ext>
          </c:extLst>
        </c:ser>
        <c:ser>
          <c:idx val="2"/>
          <c:order val="2"/>
          <c:tx>
            <c:strRef>
              <c:f>'Household Appliances'!$G$88:$G$89</c:f>
              <c:strCache>
                <c:ptCount val="2"/>
                <c:pt idx="0">
                  <c:v>PROFITABILITY</c:v>
                </c:pt>
                <c:pt idx="1">
                  <c:v>MARGIN_19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Appliances'!$G$90:$G$96</c:f>
              <c:numCache>
                <c:formatCode>0.0%</c:formatCode>
                <c:ptCount val="7"/>
                <c:pt idx="0">
                  <c:v>6.9326161661437319E-2</c:v>
                </c:pt>
                <c:pt idx="1">
                  <c:v>3.6301108139090564E-2</c:v>
                </c:pt>
                <c:pt idx="2">
                  <c:v>8.9528912703728508E-2</c:v>
                </c:pt>
                <c:pt idx="3">
                  <c:v>7.5782842319807295E-2</c:v>
                </c:pt>
                <c:pt idx="4">
                  <c:v>6.4764841942945253E-2</c:v>
                </c:pt>
                <c:pt idx="5">
                  <c:v>4.2047531992687383E-2</c:v>
                </c:pt>
                <c:pt idx="6">
                  <c:v>9.1168091168091173E-2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405-4A45-A135-8582452196B1}"/>
            </c:ext>
          </c:extLst>
        </c:ser>
        <c:ser>
          <c:idx val="3"/>
          <c:order val="3"/>
          <c:tx>
            <c:strRef>
              <c:f>'Household Appliances'!$H$88:$H$89</c:f>
              <c:strCache>
                <c:ptCount val="2"/>
                <c:pt idx="0">
                  <c:v>PROFITABILITY</c:v>
                </c:pt>
                <c:pt idx="1">
                  <c:v>MARGIN_14</c:v>
                </c:pt>
              </c:strCache>
            </c:strRef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Appliances'!$H$90:$H$96</c:f>
              <c:numCache>
                <c:formatCode>0.0%</c:formatCode>
                <c:ptCount val="7"/>
                <c:pt idx="0">
                  <c:v>4.6524876566654008E-2</c:v>
                </c:pt>
                <c:pt idx="1">
                  <c:v>2.6424159231297185E-2</c:v>
                </c:pt>
                <c:pt idx="3">
                  <c:v>4.3048694424841216E-2</c:v>
                </c:pt>
                <c:pt idx="4">
                  <c:v>4.6143704680290047E-2</c:v>
                </c:pt>
                <c:pt idx="6">
                  <c:v>8.5106382978723402E-2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405-4A45-A135-8582452196B1}"/>
            </c:ext>
          </c:extLst>
        </c:ser>
        <c:ser>
          <c:idx val="4"/>
          <c:order val="4"/>
          <c:tx>
            <c:strRef>
              <c:f>'Household Appliances'!$I$88:$I$89</c:f>
              <c:strCache>
                <c:ptCount val="2"/>
                <c:pt idx="0">
                  <c:v>PROFITABILITY</c:v>
                </c:pt>
                <c:pt idx="1">
                  <c:v>MARGIN_09</c:v>
                </c:pt>
              </c:strCache>
            </c:strRef>
          </c:tx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Appliances'!$B$90:$B$96</c:f>
              <c:strCache>
                <c:ptCount val="7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TTKPRESTIG</c:v>
                </c:pt>
              </c:strCache>
            </c:strRef>
          </c:cat>
          <c:val>
            <c:numRef>
              <c:f>'Household Appliances'!$I$90:$I$96</c:f>
              <c:numCache>
                <c:formatCode>0.0%</c:formatCode>
                <c:ptCount val="7"/>
                <c:pt idx="0">
                  <c:v>5.8728323699421964E-2</c:v>
                </c:pt>
                <c:pt idx="1">
                  <c:v>7.1343638525564801E-2</c:v>
                </c:pt>
                <c:pt idx="3">
                  <c:v>9.113001215066828E-3</c:v>
                </c:pt>
                <c:pt idx="4">
                  <c:v>5.3797468354430382E-2</c:v>
                </c:pt>
                <c:pt idx="6">
                  <c:v>5.4862842892768077E-2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405-4A45-A135-858245219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074155"/>
        <c:axId val="1755816312"/>
      </c:barChart>
      <c:catAx>
        <c:axId val="7640741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5816312"/>
        <c:crosses val="autoZero"/>
        <c:auto val="1"/>
        <c:lblAlgn val="ctr"/>
        <c:lblOffset val="100"/>
        <c:noMultiLvlLbl val="1"/>
      </c:catAx>
      <c:valAx>
        <c:axId val="1755816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40741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Appliances'!$C$155</c:f>
              <c:strCache>
                <c:ptCount val="1"/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Appliances'!$B$156:$B$169</c:f>
              <c:strCache>
                <c:ptCount val="14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BAJAJELEC</c:v>
                </c:pt>
                <c:pt idx="8">
                  <c:v>TTKPRESTIG</c:v>
                </c:pt>
                <c:pt idx="9">
                  <c:v>EUREKAFORBE</c:v>
                </c:pt>
                <c:pt idx="10">
                  <c:v>IFBIND</c:v>
                </c:pt>
                <c:pt idx="11">
                  <c:v>ORIENTELEC</c:v>
                </c:pt>
                <c:pt idx="12">
                  <c:v>JCHAC</c:v>
                </c:pt>
                <c:pt idx="13">
                  <c:v>CARYSIL</c:v>
                </c:pt>
              </c:strCache>
            </c:strRef>
          </c:cat>
          <c:val>
            <c:numRef>
              <c:f>'Household Appliances'!$C$156:$C$169</c:f>
              <c:numCache>
                <c:formatCode>0.00%</c:formatCode>
                <c:ptCount val="14"/>
                <c:pt idx="0" formatCode="General">
                  <c:v>0</c:v>
                </c:pt>
                <c:pt idx="1">
                  <c:v>4.2611683848797252E-2</c:v>
                </c:pt>
                <c:pt idx="2">
                  <c:v>0.15874233128834356</c:v>
                </c:pt>
                <c:pt idx="3">
                  <c:v>0.14733333333333334</c:v>
                </c:pt>
                <c:pt idx="4">
                  <c:v>6.0721062618595827E-2</c:v>
                </c:pt>
                <c:pt idx="5">
                  <c:v>0.14222712238147739</c:v>
                </c:pt>
                <c:pt idx="6">
                  <c:v>6.7796610169491525E-2</c:v>
                </c:pt>
                <c:pt idx="7">
                  <c:v>0.10775862068965517</c:v>
                </c:pt>
                <c:pt idx="8">
                  <c:v>9.7922848664688422E-2</c:v>
                </c:pt>
                <c:pt idx="9">
                  <c:v>2.1120293847566574E-2</c:v>
                </c:pt>
                <c:pt idx="10">
                  <c:v>6.9735006973500699E-2</c:v>
                </c:pt>
                <c:pt idx="11">
                  <c:v>-0.12886597938144329</c:v>
                </c:pt>
                <c:pt idx="12">
                  <c:v>0.11755485893416928</c:v>
                </c:pt>
                <c:pt idx="13">
                  <c:v>0.1580547112462006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E07-43EF-AC97-D56180286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16059"/>
        <c:axId val="1167555165"/>
      </c:barChart>
      <c:catAx>
        <c:axId val="2769160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7555165"/>
        <c:crosses val="autoZero"/>
        <c:auto val="1"/>
        <c:lblAlgn val="ctr"/>
        <c:lblOffset val="100"/>
        <c:noMultiLvlLbl val="1"/>
      </c:catAx>
      <c:valAx>
        <c:axId val="11675551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69160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ROA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Appliances'!$E$156:$E$169</c:f>
              <c:strCache>
                <c:ptCount val="14"/>
                <c:pt idx="0">
                  <c:v>COMPANY</c:v>
                </c:pt>
                <c:pt idx="1">
                  <c:v>VOLTAS</c:v>
                </c:pt>
                <c:pt idx="2">
                  <c:v>BLUESTARCO</c:v>
                </c:pt>
                <c:pt idx="3">
                  <c:v>CROMPTON</c:v>
                </c:pt>
                <c:pt idx="4">
                  <c:v>WHIRLPOOL</c:v>
                </c:pt>
                <c:pt idx="5">
                  <c:v>VGUARD</c:v>
                </c:pt>
                <c:pt idx="6">
                  <c:v>AMBER</c:v>
                </c:pt>
                <c:pt idx="7">
                  <c:v>BAJAJELEC</c:v>
                </c:pt>
                <c:pt idx="8">
                  <c:v>TTKPRESTIG</c:v>
                </c:pt>
                <c:pt idx="9">
                  <c:v>EUREKAFORBE</c:v>
                </c:pt>
                <c:pt idx="10">
                  <c:v>IFBIND</c:v>
                </c:pt>
                <c:pt idx="11">
                  <c:v>ORIENTELEC</c:v>
                </c:pt>
                <c:pt idx="12">
                  <c:v>JCHAC</c:v>
                </c:pt>
                <c:pt idx="13">
                  <c:v>CARYSIL</c:v>
                </c:pt>
              </c:strCache>
            </c:strRef>
          </c:cat>
          <c:val>
            <c:numRef>
              <c:f>'Household Appliances'!$F$156:$F$169</c:f>
              <c:numCache>
                <c:formatCode>0.00%</c:formatCode>
                <c:ptCount val="14"/>
                <c:pt idx="0" formatCode="General">
                  <c:v>0</c:v>
                </c:pt>
                <c:pt idx="1">
                  <c:v>2.0604852110335661E-2</c:v>
                </c:pt>
                <c:pt idx="2">
                  <c:v>6.2556663644605617E-2</c:v>
                </c:pt>
                <c:pt idx="3">
                  <c:v>7.2673462676751066E-2</c:v>
                </c:pt>
                <c:pt idx="4">
                  <c:v>3.6482084690553744E-2</c:v>
                </c:pt>
                <c:pt idx="5">
                  <c:v>8.1619740588421391E-2</c:v>
                </c:pt>
                <c:pt idx="6">
                  <c:v>2.1234642802972849E-2</c:v>
                </c:pt>
                <c:pt idx="7">
                  <c:v>8.2026977761574915E-2</c:v>
                </c:pt>
                <c:pt idx="8">
                  <c:v>3.4856086612094009E-2</c:v>
                </c:pt>
                <c:pt idx="9">
                  <c:v>1.5101772816808929E-2</c:v>
                </c:pt>
                <c:pt idx="10">
                  <c:v>2.2946305644791189E-2</c:v>
                </c:pt>
                <c:pt idx="11">
                  <c:v>-4.5262522631261314E-2</c:v>
                </c:pt>
                <c:pt idx="12">
                  <c:v>5.1688490696071676E-2</c:v>
                </c:pt>
                <c:pt idx="13">
                  <c:v>6.9798657718120799E-2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D1B-4519-9F8D-C2930C516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749304"/>
        <c:axId val="402177743"/>
      </c:barChart>
      <c:catAx>
        <c:axId val="1078749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2177743"/>
        <c:crosses val="autoZero"/>
        <c:auto val="1"/>
        <c:lblAlgn val="ctr"/>
        <c:lblOffset val="100"/>
        <c:noMultiLvlLbl val="1"/>
      </c:catAx>
      <c:valAx>
        <c:axId val="4021777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787493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Appliances'!$C$190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'Household Appliances'!$B$191:$B$203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Appliances'!$C$191:$C$203</c:f>
              <c:numCache>
                <c:formatCode>0</c:formatCode>
                <c:ptCount val="13"/>
                <c:pt idx="0">
                  <c:v>129.10507246376812</c:v>
                </c:pt>
                <c:pt idx="1">
                  <c:v>69.824775876120626</c:v>
                </c:pt>
                <c:pt idx="2">
                  <c:v>63.462059620596207</c:v>
                </c:pt>
                <c:pt idx="3">
                  <c:v>97.65735815602838</c:v>
                </c:pt>
                <c:pt idx="4">
                  <c:v>70.24024024024024</c:v>
                </c:pt>
                <c:pt idx="5">
                  <c:v>94.914213090446935</c:v>
                </c:pt>
                <c:pt idx="6">
                  <c:v>58.041172800998126</c:v>
                </c:pt>
                <c:pt idx="7">
                  <c:v>92.273156899810957</c:v>
                </c:pt>
                <c:pt idx="8">
                  <c:v>92.362428842504755</c:v>
                </c:pt>
                <c:pt idx="9">
                  <c:v>88.34020146520146</c:v>
                </c:pt>
                <c:pt idx="10">
                  <c:v>3891</c:v>
                </c:pt>
                <c:pt idx="11">
                  <c:v>79.695121951219505</c:v>
                </c:pt>
                <c:pt idx="12">
                  <c:v>44.08038444735692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CE2-4D61-907F-CE62C2508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906265"/>
        <c:axId val="264957890"/>
      </c:barChart>
      <c:catAx>
        <c:axId val="8819062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4957890"/>
        <c:crosses val="autoZero"/>
        <c:auto val="1"/>
        <c:lblAlgn val="ctr"/>
        <c:lblOffset val="100"/>
        <c:noMultiLvlLbl val="1"/>
      </c:catAx>
      <c:valAx>
        <c:axId val="2649578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TRAIL_PE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819062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PBV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'Household Appliances'!$F$190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'Household Appliances'!$E$191:$E$203</c:f>
              <c:strCache>
                <c:ptCount val="13"/>
                <c:pt idx="0">
                  <c:v>VOLTAS</c:v>
                </c:pt>
                <c:pt idx="1">
                  <c:v>BLUESTARCO</c:v>
                </c:pt>
                <c:pt idx="2">
                  <c:v>CROMPTON</c:v>
                </c:pt>
                <c:pt idx="3">
                  <c:v>WHIRLPOOL</c:v>
                </c:pt>
                <c:pt idx="4">
                  <c:v>VGUARD</c:v>
                </c:pt>
                <c:pt idx="5">
                  <c:v>AMBER</c:v>
                </c:pt>
                <c:pt idx="6">
                  <c:v>BAJAJELEC</c:v>
                </c:pt>
                <c:pt idx="7">
                  <c:v>TTKPRESTIG</c:v>
                </c:pt>
                <c:pt idx="8">
                  <c:v>EUREKAFORBE</c:v>
                </c:pt>
                <c:pt idx="9">
                  <c:v>IFBIND</c:v>
                </c:pt>
                <c:pt idx="10">
                  <c:v>ORIENTELEC</c:v>
                </c:pt>
                <c:pt idx="11">
                  <c:v>JCHAC</c:v>
                </c:pt>
                <c:pt idx="12">
                  <c:v>CARYSIL</c:v>
                </c:pt>
              </c:strCache>
            </c:strRef>
          </c:cat>
          <c:val>
            <c:numRef>
              <c:f>'Household Appliances'!$F$191:$F$203</c:f>
              <c:numCache>
                <c:formatCode>0</c:formatCode>
                <c:ptCount val="13"/>
                <c:pt idx="0">
                  <c:v>10.102139175257731</c:v>
                </c:pt>
                <c:pt idx="1">
                  <c:v>13.468845858895705</c:v>
                </c:pt>
                <c:pt idx="2">
                  <c:v>10.069525000000001</c:v>
                </c:pt>
                <c:pt idx="3">
                  <c:v>7.5847126592572511</c:v>
                </c:pt>
                <c:pt idx="4">
                  <c:v>11.088974641675854</c:v>
                </c:pt>
                <c:pt idx="5">
                  <c:v>7.377753026634382</c:v>
                </c:pt>
                <c:pt idx="6">
                  <c:v>6.2383141762452103</c:v>
                </c:pt>
                <c:pt idx="7">
                  <c:v>8.3285422848664687</c:v>
                </c:pt>
                <c:pt idx="8">
                  <c:v>2.156628787878788</c:v>
                </c:pt>
                <c:pt idx="9">
                  <c:v>11.03254532775453</c:v>
                </c:pt>
                <c:pt idx="10">
                  <c:v>9.9280670103092792</c:v>
                </c:pt>
                <c:pt idx="11">
                  <c:v>8.6040752351097183</c:v>
                </c:pt>
                <c:pt idx="12">
                  <c:v>7.5523952095808387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528-496E-84EC-FFDD884C5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80221"/>
        <c:axId val="1807360762"/>
      </c:barChart>
      <c:catAx>
        <c:axId val="7325802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07360762"/>
        <c:crosses val="autoZero"/>
        <c:auto val="1"/>
        <c:lblAlgn val="ctr"/>
        <c:lblOffset val="100"/>
        <c:noMultiLvlLbl val="1"/>
      </c:catAx>
      <c:valAx>
        <c:axId val="18073607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PBV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3258022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png"/><Relationship Id="rId3" Type="http://schemas.openxmlformats.org/officeDocument/2006/relationships/chart" Target="../charts/chart3.xml"/><Relationship Id="rId21" Type="http://schemas.openxmlformats.org/officeDocument/2006/relationships/image" Target="../media/image5.pn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51</xdr:row>
      <xdr:rowOff>-114300</xdr:rowOff>
    </xdr:from>
    <xdr:ext cx="6515100" cy="6515100"/>
    <xdr:pic>
      <xdr:nvPicPr>
        <xdr:cNvPr id="2" name="image7.png" title="Image">
          <a:extLst>
            <a:ext uri="{FF2B5EF4-FFF2-40B4-BE49-F238E27FC236}">
              <a16:creationId xmlns:a16="http://schemas.microsoft.com/office/drawing/2014/main" id="{96F7AF0E-24A6-430F-B471-06BC133DFA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9593580"/>
          <a:ext cx="6515100" cy="6515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53</xdr:row>
      <xdr:rowOff>66675</xdr:rowOff>
    </xdr:from>
    <xdr:ext cx="4200525" cy="29051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1545B302-86CE-42E7-ABB9-96D577293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19050</xdr:colOff>
      <xdr:row>53</xdr:row>
      <xdr:rowOff>66675</xdr:rowOff>
    </xdr:from>
    <xdr:ext cx="4638675" cy="28575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DC86BA00-8F28-4182-9D3E-03554262D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819150</xdr:colOff>
      <xdr:row>53</xdr:row>
      <xdr:rowOff>66675</xdr:rowOff>
    </xdr:from>
    <xdr:ext cx="4600575" cy="28575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5A4C8FCD-1EA9-4F1D-B43C-3A901FE84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12</xdr:col>
      <xdr:colOff>266700</xdr:colOff>
      <xdr:row>69</xdr:row>
      <xdr:rowOff>180975</xdr:rowOff>
    </xdr:from>
    <xdr:ext cx="4772025" cy="29813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B85319B0-519D-4178-AA3F-8B0BE1189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152400</xdr:colOff>
      <xdr:row>136</xdr:row>
      <xdr:rowOff>190500</xdr:rowOff>
    </xdr:from>
    <xdr:ext cx="4810125" cy="29813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EB1AFF6D-A06E-4494-B6D8-EABB9F7FC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11</xdr:col>
      <xdr:colOff>209550</xdr:colOff>
      <xdr:row>136</xdr:row>
      <xdr:rowOff>190500</xdr:rowOff>
    </xdr:from>
    <xdr:ext cx="4810125" cy="29813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8F262EC5-2F9A-43D6-AE45-9CACA9C82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133350</xdr:colOff>
      <xdr:row>121</xdr:row>
      <xdr:rowOff>95250</xdr:rowOff>
    </xdr:from>
    <xdr:ext cx="4200525" cy="257175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AC365110-6A4C-4A17-B38C-6B2325978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4</xdr:col>
      <xdr:colOff>885825</xdr:colOff>
      <xdr:row>121</xdr:row>
      <xdr:rowOff>95250</xdr:rowOff>
    </xdr:from>
    <xdr:ext cx="4124325" cy="257175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51C4D49E-860F-4822-B241-C897A4CE0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9</xdr:col>
      <xdr:colOff>209550</xdr:colOff>
      <xdr:row>121</xdr:row>
      <xdr:rowOff>95250</xdr:rowOff>
    </xdr:from>
    <xdr:ext cx="4124325" cy="257175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2986BE20-7931-4BF2-8E79-FAAE76FAD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9</xdr:col>
      <xdr:colOff>285750</xdr:colOff>
      <xdr:row>205</xdr:row>
      <xdr:rowOff>95250</xdr:rowOff>
    </xdr:from>
    <xdr:ext cx="4248150" cy="26193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4B3E392A-505F-4AF3-A9A5-D82763DF3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7</xdr:col>
      <xdr:colOff>123825</xdr:colOff>
      <xdr:row>69</xdr:row>
      <xdr:rowOff>180975</xdr:rowOff>
    </xdr:from>
    <xdr:ext cx="4867275" cy="298132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F672246A-9240-4200-B0BB-9CA080E86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9</xdr:col>
      <xdr:colOff>47625</xdr:colOff>
      <xdr:row>87</xdr:row>
      <xdr:rowOff>190500</xdr:rowOff>
    </xdr:from>
    <xdr:ext cx="5219700" cy="323850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FCF0EC88-D5C3-499E-90E9-6D8903F0D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14</xdr:col>
      <xdr:colOff>466725</xdr:colOff>
      <xdr:row>87</xdr:row>
      <xdr:rowOff>190500</xdr:rowOff>
    </xdr:from>
    <xdr:ext cx="5219700" cy="3238500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13820835-3F6A-4826-8145-5F676259C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0</xdr:col>
      <xdr:colOff>180975</xdr:colOff>
      <xdr:row>171</xdr:row>
      <xdr:rowOff>142875</xdr:rowOff>
    </xdr:from>
    <xdr:ext cx="4867275" cy="3028950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3E42D6B8-8095-4C19-AEF5-C8B913E22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5</xdr:col>
      <xdr:colOff>638175</xdr:colOff>
      <xdr:row>171</xdr:row>
      <xdr:rowOff>142875</xdr:rowOff>
    </xdr:from>
    <xdr:ext cx="5000625" cy="3028950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6D715915-F5E7-4C85-96BB-21D77214F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0</xdr:col>
      <xdr:colOff>38100</xdr:colOff>
      <xdr:row>205</xdr:row>
      <xdr:rowOff>95250</xdr:rowOff>
    </xdr:from>
    <xdr:ext cx="4248150" cy="2619375"/>
    <xdr:graphicFrame macro="">
      <xdr:nvGraphicFramePr>
        <xdr:cNvPr id="17" name="Chart 16" title="Chart">
          <a:extLst>
            <a:ext uri="{FF2B5EF4-FFF2-40B4-BE49-F238E27FC236}">
              <a16:creationId xmlns:a16="http://schemas.microsoft.com/office/drawing/2014/main" id="{EF06D393-2E32-4048-AFF0-F92473875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4</xdr:col>
      <xdr:colOff>838200</xdr:colOff>
      <xdr:row>205</xdr:row>
      <xdr:rowOff>95250</xdr:rowOff>
    </xdr:from>
    <xdr:ext cx="4248150" cy="2619375"/>
    <xdr:graphicFrame macro="">
      <xdr:nvGraphicFramePr>
        <xdr:cNvPr id="18" name="Chart 17" title="Chart">
          <a:extLst>
            <a:ext uri="{FF2B5EF4-FFF2-40B4-BE49-F238E27FC236}">
              <a16:creationId xmlns:a16="http://schemas.microsoft.com/office/drawing/2014/main" id="{225923AE-5F3D-46D5-905F-30B24275D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0</xdr:col>
      <xdr:colOff>295275</xdr:colOff>
      <xdr:row>4</xdr:row>
      <xdr:rowOff>114300</xdr:rowOff>
    </xdr:from>
    <xdr:ext cx="5219700" cy="2781300"/>
    <xdr:pic>
      <xdr:nvPicPr>
        <xdr:cNvPr id="19" name="image4.png" title="Image">
          <a:extLst>
            <a:ext uri="{FF2B5EF4-FFF2-40B4-BE49-F238E27FC236}">
              <a16:creationId xmlns:a16="http://schemas.microsoft.com/office/drawing/2014/main" id="{B72BAFC5-E041-4658-B49E-B503AC6DC45D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95275" y="906780"/>
          <a:ext cx="5219700" cy="27813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714375</xdr:colOff>
      <xdr:row>4</xdr:row>
      <xdr:rowOff>114300</xdr:rowOff>
    </xdr:from>
    <xdr:ext cx="4391025" cy="2781300"/>
    <xdr:pic>
      <xdr:nvPicPr>
        <xdr:cNvPr id="20" name="image1.png" title="Image">
          <a:extLst>
            <a:ext uri="{FF2B5EF4-FFF2-40B4-BE49-F238E27FC236}">
              <a16:creationId xmlns:a16="http://schemas.microsoft.com/office/drawing/2014/main" id="{A06DBEB0-02CF-4EB3-A891-9C9D7105B67F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692015" y="906780"/>
          <a:ext cx="4391025" cy="27813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304800</xdr:colOff>
      <xdr:row>5</xdr:row>
      <xdr:rowOff>190500</xdr:rowOff>
    </xdr:from>
    <xdr:ext cx="4638675" cy="2514600"/>
    <xdr:pic>
      <xdr:nvPicPr>
        <xdr:cNvPr id="21" name="image2.png" title="Image">
          <a:extLst>
            <a:ext uri="{FF2B5EF4-FFF2-40B4-BE49-F238E27FC236}">
              <a16:creationId xmlns:a16="http://schemas.microsoft.com/office/drawing/2014/main" id="{742AFD8A-FBFD-4FEB-83FA-C92B7BAE1B69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625840" y="1181100"/>
          <a:ext cx="4638675" cy="2514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21</xdr:row>
      <xdr:rowOff>57150</xdr:rowOff>
    </xdr:from>
    <xdr:ext cx="5572125" cy="2781300"/>
    <xdr:pic>
      <xdr:nvPicPr>
        <xdr:cNvPr id="22" name="image3.png" title="Image">
          <a:extLst>
            <a:ext uri="{FF2B5EF4-FFF2-40B4-BE49-F238E27FC236}">
              <a16:creationId xmlns:a16="http://schemas.microsoft.com/office/drawing/2014/main" id="{5C9354E4-B2E2-4E8E-9BEC-54D2E6C547B6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80975" y="4217670"/>
          <a:ext cx="5572125" cy="27813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HouseholdAppliances%20(11).xlsx" TargetMode="External"/><Relationship Id="rId1" Type="http://schemas.openxmlformats.org/officeDocument/2006/relationships/externalLinkPath" Target="/Users/profi/Downloads/HouseholdAppliances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usehold Appliances"/>
      <sheetName val="TTKPRE"/>
      <sheetName val="HouseHold INDUSTRY"/>
      <sheetName val="Voltas"/>
    </sheetNames>
    <sheetDataSet>
      <sheetData sheetId="0">
        <row r="38">
          <cell r="C38" t="str">
            <v>MARKETCAP</v>
          </cell>
          <cell r="F38" t="str">
            <v>COMPANY</v>
          </cell>
          <cell r="G38" t="str">
            <v>SALES 2024</v>
          </cell>
          <cell r="K38" t="str">
            <v>PROFIT_24</v>
          </cell>
        </row>
        <row r="39">
          <cell r="B39" t="str">
            <v>VOLTAS</v>
          </cell>
          <cell r="C39">
            <v>59829.623480299997</v>
          </cell>
          <cell r="F39" t="str">
            <v>VOLTAS</v>
          </cell>
          <cell r="G39">
            <v>12481</v>
          </cell>
          <cell r="J39" t="str">
            <v>VOLTAS</v>
          </cell>
          <cell r="K39">
            <v>248</v>
          </cell>
        </row>
        <row r="40">
          <cell r="B40" t="str">
            <v>BLUESTARCO</v>
          </cell>
          <cell r="C40">
            <v>34543.2696</v>
          </cell>
          <cell r="F40" t="str">
            <v>BLUESTARCO</v>
          </cell>
          <cell r="G40">
            <v>9685</v>
          </cell>
          <cell r="J40" t="str">
            <v>BLUESTARCO</v>
          </cell>
          <cell r="K40">
            <v>414</v>
          </cell>
        </row>
        <row r="41">
          <cell r="B41" t="str">
            <v>CROMPTON</v>
          </cell>
          <cell r="C41">
            <v>30196.157727500002</v>
          </cell>
          <cell r="F41" t="str">
            <v>CROMPTON</v>
          </cell>
          <cell r="G41">
            <v>7313</v>
          </cell>
          <cell r="J41" t="str">
            <v>CROMPTON</v>
          </cell>
          <cell r="K41">
            <v>442</v>
          </cell>
        </row>
        <row r="42">
          <cell r="B42" t="str">
            <v>WHIRLPOOL</v>
          </cell>
          <cell r="C42">
            <v>27931.711110799999</v>
          </cell>
          <cell r="F42" t="str">
            <v>WHIRLPOOL</v>
          </cell>
          <cell r="G42">
            <v>6830</v>
          </cell>
          <cell r="J42" t="str">
            <v>WHIRLPOOL</v>
          </cell>
          <cell r="K42">
            <v>224</v>
          </cell>
        </row>
        <row r="43">
          <cell r="B43" t="str">
            <v>VGUARD</v>
          </cell>
          <cell r="C43">
            <v>20229.606449999999</v>
          </cell>
          <cell r="F43" t="str">
            <v>VGUARD</v>
          </cell>
          <cell r="G43">
            <v>4857</v>
          </cell>
          <cell r="J43" t="str">
            <v>VGUARD</v>
          </cell>
          <cell r="K43">
            <v>258</v>
          </cell>
        </row>
        <row r="44">
          <cell r="B44" t="str">
            <v>AMBER</v>
          </cell>
          <cell r="C44">
            <v>15091.71998</v>
          </cell>
          <cell r="F44" t="str">
            <v>AMBER</v>
          </cell>
          <cell r="G44">
            <v>6730</v>
          </cell>
          <cell r="J44" t="str">
            <v>AMBER</v>
          </cell>
          <cell r="K44">
            <v>140</v>
          </cell>
        </row>
        <row r="45">
          <cell r="B45" t="str">
            <v>TTKPRESTIG</v>
          </cell>
          <cell r="C45">
            <v>13031.0978</v>
          </cell>
          <cell r="F45" t="str">
            <v>TTKPRESTIG</v>
          </cell>
          <cell r="G45">
            <v>2678</v>
          </cell>
          <cell r="J45" t="str">
            <v>BAJAJELEC</v>
          </cell>
          <cell r="K45">
            <v>225</v>
          </cell>
        </row>
        <row r="46">
          <cell r="B46" t="str">
            <v>BAJAJELEC</v>
          </cell>
          <cell r="C46">
            <v>11301.466667500001</v>
          </cell>
          <cell r="F46" t="str">
            <v>BAJAJELEC</v>
          </cell>
          <cell r="G46">
            <v>4639</v>
          </cell>
          <cell r="J46" t="str">
            <v>TTKPRESTIG</v>
          </cell>
          <cell r="K46">
            <v>132</v>
          </cell>
        </row>
        <row r="47">
          <cell r="B47" t="str">
            <v>EUREKAFORBE</v>
          </cell>
          <cell r="C47">
            <v>9628.4922698999999</v>
          </cell>
          <cell r="F47" t="str">
            <v>EUREKAFORBE</v>
          </cell>
          <cell r="G47">
            <v>2189</v>
          </cell>
          <cell r="J47" t="str">
            <v>EUREKAFORBE</v>
          </cell>
          <cell r="K47">
            <v>92</v>
          </cell>
        </row>
        <row r="48">
          <cell r="B48" t="str">
            <v>Others_11</v>
          </cell>
          <cell r="C48">
            <v>30872</v>
          </cell>
          <cell r="F48" t="str">
            <v>IFBIND</v>
          </cell>
          <cell r="G48">
            <v>4437</v>
          </cell>
          <cell r="J48" t="str">
            <v>IFBIND</v>
          </cell>
          <cell r="K48">
            <v>50</v>
          </cell>
        </row>
        <row r="49">
          <cell r="F49" t="str">
            <v>JCHAC</v>
          </cell>
          <cell r="G49">
            <v>1918</v>
          </cell>
          <cell r="J49" t="str">
            <v>ORIENTELEC</v>
          </cell>
          <cell r="K49">
            <v>-75</v>
          </cell>
        </row>
        <row r="50">
          <cell r="F50" t="str">
            <v>ORIENTELEC</v>
          </cell>
          <cell r="G50">
            <v>2812</v>
          </cell>
          <cell r="J50" t="str">
            <v>JCHAC</v>
          </cell>
          <cell r="K50">
            <v>75</v>
          </cell>
        </row>
        <row r="71">
          <cell r="E71" t="str">
            <v>SALES_5Y_GR</v>
          </cell>
          <cell r="F71" t="str">
            <v>SALES_LY_GR</v>
          </cell>
          <cell r="G71" t="str">
            <v>SALES_Q1_GR</v>
          </cell>
        </row>
        <row r="72">
          <cell r="B72" t="str">
            <v>VOLTAS</v>
          </cell>
          <cell r="E72">
            <v>0.13272819726262419</v>
          </cell>
          <cell r="F72">
            <v>0.32790722417278428</v>
          </cell>
          <cell r="G72">
            <v>0.46500000000000002</v>
          </cell>
        </row>
        <row r="73">
          <cell r="B73" t="str">
            <v>BLUESTARCO</v>
          </cell>
          <cell r="E73">
            <v>0.13097545916799369</v>
          </cell>
          <cell r="F73">
            <v>0.21411558229910987</v>
          </cell>
          <cell r="G73">
            <v>0.28710000000000002</v>
          </cell>
        </row>
        <row r="74">
          <cell r="B74" t="str">
            <v>CROMPTON</v>
          </cell>
          <cell r="E74">
            <v>0.10301876830180134</v>
          </cell>
          <cell r="F74">
            <v>0.25890859011878131</v>
          </cell>
          <cell r="G74">
            <v>0.1391</v>
          </cell>
        </row>
        <row r="75">
          <cell r="B75" t="str">
            <v>WHIRLPOOL</v>
          </cell>
          <cell r="E75">
            <v>4.8222933402863877E-2</v>
          </cell>
          <cell r="F75">
            <v>5.1508462104488117E-3</v>
          </cell>
          <cell r="G75">
            <v>0.2397</v>
          </cell>
        </row>
        <row r="76">
          <cell r="B76" t="str">
            <v>VGUARD</v>
          </cell>
          <cell r="E76">
            <v>0.13365165490728304</v>
          </cell>
          <cell r="F76">
            <v>0.17688393506178812</v>
          </cell>
          <cell r="G76">
            <v>0.21659999999999999</v>
          </cell>
        </row>
        <row r="77">
          <cell r="B77" t="str">
            <v>AMBER</v>
          </cell>
          <cell r="E77">
            <v>0.25196892467078458</v>
          </cell>
          <cell r="F77">
            <v>-2.8439439872960826E-2</v>
          </cell>
          <cell r="G77">
            <v>0.41410000000000002</v>
          </cell>
        </row>
        <row r="78">
          <cell r="B78" t="str">
            <v>TTKPRESTIG</v>
          </cell>
          <cell r="E78">
            <v>4.9229375598962788E-2</v>
          </cell>
          <cell r="F78">
            <v>-3.5649981994958613E-2</v>
          </cell>
          <cell r="G78">
            <v>1.8E-3</v>
          </cell>
        </row>
        <row r="79">
          <cell r="B79" t="str">
            <v>BAJAJELEC</v>
          </cell>
          <cell r="E79">
            <v>-6.9658890383399452E-2</v>
          </cell>
          <cell r="F79">
            <v>-0.14551482777675451</v>
          </cell>
          <cell r="G79">
            <v>3.8600000000000002E-2</v>
          </cell>
        </row>
        <row r="80">
          <cell r="B80" t="str">
            <v>EUREKAFORBE</v>
          </cell>
          <cell r="F80">
            <v>5.0383877159309032E-2</v>
          </cell>
          <cell r="G80">
            <v>9.4E-2</v>
          </cell>
        </row>
        <row r="81">
          <cell r="B81" t="str">
            <v>IFBIND</v>
          </cell>
          <cell r="E81">
            <v>0.10783279735903029</v>
          </cell>
          <cell r="F81">
            <v>5.7939914163090078E-2</v>
          </cell>
          <cell r="G81">
            <v>0.17299999999999999</v>
          </cell>
        </row>
        <row r="82">
          <cell r="B82" t="str">
            <v>JCHAC</v>
          </cell>
          <cell r="E82">
            <v>-3.0648360318455192E-2</v>
          </cell>
          <cell r="F82">
            <v>-0.19546979865771807</v>
          </cell>
        </row>
        <row r="83">
          <cell r="B83" t="str">
            <v>ORIENTELEC</v>
          </cell>
          <cell r="E83">
            <v>8.5710109305209947E-2</v>
          </cell>
          <cell r="F83">
            <v>0.11190193752471322</v>
          </cell>
          <cell r="G83">
            <v>6.9800000000000001E-2</v>
          </cell>
        </row>
        <row r="85">
          <cell r="B85" t="str">
            <v>INDUSTRY</v>
          </cell>
          <cell r="E85">
            <v>9.5775747701204672E-2</v>
          </cell>
          <cell r="F85">
            <v>0.10157038606013469</v>
          </cell>
          <cell r="G85">
            <v>0.3029313428193765</v>
          </cell>
        </row>
        <row r="89">
          <cell r="C89" t="str">
            <v>Q1_FY25_MARGIN</v>
          </cell>
          <cell r="D89" t="str">
            <v>Q1_FY24_MARGIN</v>
          </cell>
          <cell r="E89" t="str">
            <v>MARGIN_24</v>
          </cell>
          <cell r="F89" t="str">
            <v>MARGIN_23</v>
          </cell>
          <cell r="G89" t="str">
            <v>MARGIN_19</v>
          </cell>
          <cell r="H89" t="str">
            <v>MARGIN_14</v>
          </cell>
          <cell r="I89" t="str">
            <v>MARGIN_09</v>
          </cell>
        </row>
        <row r="90">
          <cell r="B90" t="str">
            <v>VOLTAS</v>
          </cell>
          <cell r="C90">
            <v>6.8099999999999994E-2</v>
          </cell>
          <cell r="D90">
            <v>3.8399999999999997E-2</v>
          </cell>
          <cell r="E90">
            <v>1.9870202708116336E-2</v>
          </cell>
          <cell r="F90">
            <v>1.4469624428130653E-2</v>
          </cell>
          <cell r="G90">
            <v>6.9326161661437319E-2</v>
          </cell>
          <cell r="H90">
            <v>4.6524876566654008E-2</v>
          </cell>
          <cell r="I90">
            <v>5.8728323699421964E-2</v>
          </cell>
        </row>
        <row r="91">
          <cell r="B91" t="str">
            <v>BLUESTARCO</v>
          </cell>
          <cell r="C91">
            <v>5.8999999999999997E-2</v>
          </cell>
          <cell r="D91">
            <v>3.73E-2</v>
          </cell>
          <cell r="E91">
            <v>4.2746515229736708E-2</v>
          </cell>
          <cell r="F91">
            <v>5.0144164472859472E-2</v>
          </cell>
          <cell r="G91">
            <v>3.6301108139090564E-2</v>
          </cell>
          <cell r="H91">
            <v>2.6424159231297185E-2</v>
          </cell>
          <cell r="I91">
            <v>7.1343638525564801E-2</v>
          </cell>
        </row>
        <row r="92">
          <cell r="B92" t="str">
            <v>CROMPTON</v>
          </cell>
          <cell r="C92">
            <v>7.1099999999999997E-2</v>
          </cell>
          <cell r="D92">
            <v>6.5000000000000002E-2</v>
          </cell>
          <cell r="E92">
            <v>6.0440311773553947E-2</v>
          </cell>
          <cell r="F92">
            <v>8.1769667756928899E-2</v>
          </cell>
          <cell r="G92">
            <v>8.9528912703728508E-2</v>
          </cell>
        </row>
        <row r="93">
          <cell r="B93" t="str">
            <v>WHIRLPOOL</v>
          </cell>
          <cell r="C93">
            <v>5.62E-2</v>
          </cell>
          <cell r="D93">
            <v>3.2199999999999999E-2</v>
          </cell>
          <cell r="E93">
            <v>3.2796486090775991E-2</v>
          </cell>
          <cell r="F93">
            <v>3.2818248712288445E-2</v>
          </cell>
          <cell r="G93">
            <v>7.5782842319807295E-2</v>
          </cell>
          <cell r="H93">
            <v>4.3048694424841216E-2</v>
          </cell>
          <cell r="I93">
            <v>9.113001215066828E-3</v>
          </cell>
        </row>
        <row r="94">
          <cell r="B94" t="str">
            <v>VGUARD</v>
          </cell>
          <cell r="C94">
            <v>6.7000000000000004E-2</v>
          </cell>
          <cell r="D94">
            <v>5.2699999999999997E-2</v>
          </cell>
          <cell r="E94">
            <v>5.3119209388511425E-2</v>
          </cell>
          <cell r="F94">
            <v>4.5795977707778046E-2</v>
          </cell>
          <cell r="G94">
            <v>6.4764841942945253E-2</v>
          </cell>
          <cell r="H94">
            <v>4.6143704680290047E-2</v>
          </cell>
          <cell r="I94">
            <v>5.3797468354430382E-2</v>
          </cell>
        </row>
        <row r="95">
          <cell r="B95" t="str">
            <v>AMBER</v>
          </cell>
          <cell r="C95">
            <v>4.0899999999999999E-2</v>
          </cell>
          <cell r="D95">
            <v>2.75E-2</v>
          </cell>
          <cell r="E95">
            <v>2.0802377414561663E-2</v>
          </cell>
          <cell r="F95">
            <v>2.3531110148693517E-2</v>
          </cell>
          <cell r="G95">
            <v>4.2047531992687383E-2</v>
          </cell>
        </row>
        <row r="96">
          <cell r="B96" t="str">
            <v>TTKPRESTIG</v>
          </cell>
          <cell r="C96">
            <v>8.5099999999999995E-2</v>
          </cell>
          <cell r="D96">
            <v>9.1800000000000007E-2</v>
          </cell>
          <cell r="E96">
            <v>8.4017923823749063E-2</v>
          </cell>
          <cell r="F96">
            <v>9.1825711199135754E-2</v>
          </cell>
          <cell r="G96">
            <v>9.1168091168091173E-2</v>
          </cell>
          <cell r="H96">
            <v>8.5106382978723402E-2</v>
          </cell>
          <cell r="I96">
            <v>5.4862842892768077E-2</v>
          </cell>
        </row>
        <row r="106">
          <cell r="C106" t="str">
            <v>DEBT2EQUITY</v>
          </cell>
          <cell r="F106" t="str">
            <v>COMPANY</v>
          </cell>
          <cell r="G106" t="str">
            <v>ICR</v>
          </cell>
          <cell r="K106" t="str">
            <v>DEBTRATIO</v>
          </cell>
        </row>
        <row r="107">
          <cell r="B107" t="str">
            <v>VOLTAS</v>
          </cell>
          <cell r="C107">
            <v>0.12250859106529209</v>
          </cell>
          <cell r="F107" t="str">
            <v>VOLTAS</v>
          </cell>
          <cell r="G107">
            <v>1.4762516046213094</v>
          </cell>
          <cell r="J107" t="str">
            <v>VOLTAS</v>
          </cell>
          <cell r="K107">
            <v>1.0621993127147766</v>
          </cell>
        </row>
        <row r="108">
          <cell r="B108" t="str">
            <v>BLUESTARCO</v>
          </cell>
          <cell r="C108">
            <v>6.4033742331288349E-2</v>
          </cell>
          <cell r="F108" t="str">
            <v>BLUESTARCO</v>
          </cell>
          <cell r="G108">
            <v>9.7758620689655178</v>
          </cell>
          <cell r="J108" t="str">
            <v>BLUESTARCO</v>
          </cell>
          <cell r="K108">
            <v>1.5356595092024541</v>
          </cell>
        </row>
        <row r="109">
          <cell r="B109" t="str">
            <v>CROMPTON</v>
          </cell>
          <cell r="C109">
            <v>0.19966666666666666</v>
          </cell>
          <cell r="F109" t="str">
            <v>CROMPTON</v>
          </cell>
          <cell r="G109">
            <v>7.4050632911392409</v>
          </cell>
          <cell r="J109" t="str">
            <v>CROMPTON</v>
          </cell>
          <cell r="K109">
            <v>0.87766666666666671</v>
          </cell>
        </row>
        <row r="110">
          <cell r="B110" t="str">
            <v>WHIRLPOOL</v>
          </cell>
          <cell r="C110">
            <v>0</v>
          </cell>
          <cell r="F110" t="str">
            <v>WHIRLPOOL</v>
          </cell>
          <cell r="G110">
            <v>6.4</v>
          </cell>
          <cell r="J110" t="str">
            <v>WHIRLPOOL</v>
          </cell>
          <cell r="K110">
            <v>0.62239089184060725</v>
          </cell>
        </row>
        <row r="111">
          <cell r="B111" t="str">
            <v>VGUARD</v>
          </cell>
          <cell r="C111">
            <v>0.16041896361631752</v>
          </cell>
          <cell r="F111" t="str">
            <v>VGUARD</v>
          </cell>
          <cell r="G111">
            <v>8.6750000000000007</v>
          </cell>
          <cell r="J111" t="str">
            <v>VGUARD</v>
          </cell>
          <cell r="K111">
            <v>0.74255788313120175</v>
          </cell>
        </row>
        <row r="112">
          <cell r="B112" t="str">
            <v>AMBER</v>
          </cell>
          <cell r="C112">
            <v>0.69443099273607745</v>
          </cell>
          <cell r="F112" t="str">
            <v>AMBER</v>
          </cell>
          <cell r="G112">
            <v>1.8323353293413174</v>
          </cell>
          <cell r="J112" t="str">
            <v>AMBER</v>
          </cell>
          <cell r="K112">
            <v>2.168038740920097</v>
          </cell>
        </row>
        <row r="113">
          <cell r="B113" t="str">
            <v>BAJAJELEC</v>
          </cell>
          <cell r="C113">
            <v>2.2509578544061302E-2</v>
          </cell>
          <cell r="F113" t="str">
            <v>BAJAJELEC</v>
          </cell>
          <cell r="G113">
            <v>18.384615384615383</v>
          </cell>
          <cell r="J113" t="str">
            <v>BAJAJELEC</v>
          </cell>
          <cell r="K113">
            <v>0.31369731800766282</v>
          </cell>
        </row>
        <row r="114">
          <cell r="B114" t="str">
            <v>TTKPRESTIG</v>
          </cell>
          <cell r="C114">
            <v>0.15949554896142434</v>
          </cell>
          <cell r="F114" t="str">
            <v>TTKPRESTIG</v>
          </cell>
          <cell r="G114">
            <v>5.1269841269841274</v>
          </cell>
          <cell r="J114" t="str">
            <v>TTKPRESTIG</v>
          </cell>
          <cell r="K114">
            <v>1.8093471810089021</v>
          </cell>
        </row>
        <row r="115">
          <cell r="B115" t="str">
            <v>EUREKAFORBE</v>
          </cell>
          <cell r="C115">
            <v>1.4692378328741965E-2</v>
          </cell>
          <cell r="F115" t="str">
            <v>EUREKAFORBE</v>
          </cell>
          <cell r="G115">
            <v>20.2</v>
          </cell>
          <cell r="J115" t="str">
            <v>EUREKAFORBE</v>
          </cell>
          <cell r="K115">
            <v>0.4428374655647383</v>
          </cell>
        </row>
        <row r="116">
          <cell r="B116" t="str">
            <v>IFBIND</v>
          </cell>
          <cell r="C116">
            <v>9.7629009762900981E-2</v>
          </cell>
          <cell r="F116" t="str">
            <v>IFBIND</v>
          </cell>
          <cell r="G116">
            <v>3.2857142857142856</v>
          </cell>
          <cell r="J116" t="str">
            <v>IFBIND</v>
          </cell>
          <cell r="K116">
            <v>2.0390516039051603</v>
          </cell>
        </row>
        <row r="117">
          <cell r="B117" t="str">
            <v>ORIENTELEC</v>
          </cell>
          <cell r="C117">
            <v>0.08</v>
          </cell>
          <cell r="F117" t="str">
            <v>ORIENTELEC</v>
          </cell>
          <cell r="G117">
            <v>-4.125</v>
          </cell>
          <cell r="J117" t="str">
            <v>ORIENTELEC</v>
          </cell>
          <cell r="K117">
            <v>1.8453608247422681</v>
          </cell>
        </row>
        <row r="118">
          <cell r="B118" t="str">
            <v>JCHAC</v>
          </cell>
          <cell r="C118">
            <v>3.1347962382445138E-2</v>
          </cell>
          <cell r="F118" t="str">
            <v>JCHAC</v>
          </cell>
          <cell r="G118">
            <v>3.6956521739130435</v>
          </cell>
          <cell r="J118" t="str">
            <v>JCHAC</v>
          </cell>
          <cell r="K118">
            <v>1.2727272727272727</v>
          </cell>
        </row>
        <row r="119">
          <cell r="J119" t="str">
            <v>CARYSIL</v>
          </cell>
          <cell r="K119">
            <v>0.55838926174496639</v>
          </cell>
        </row>
        <row r="138">
          <cell r="C138" t="str">
            <v>CUR. RATIO</v>
          </cell>
          <cell r="F138" t="str">
            <v>TR.DAYS</v>
          </cell>
        </row>
        <row r="139">
          <cell r="B139" t="str">
            <v>VOLTAS</v>
          </cell>
          <cell r="C139">
            <v>1.4595278473836246</v>
          </cell>
          <cell r="E139" t="str">
            <v>VOLTAS</v>
          </cell>
          <cell r="F139">
            <v>58.738631769337161</v>
          </cell>
        </row>
        <row r="140">
          <cell r="B140" t="str">
            <v>BLUESTARCO</v>
          </cell>
          <cell r="C140">
            <v>1.3615064810873532</v>
          </cell>
          <cell r="E140" t="str">
            <v>BLUESTARCO</v>
          </cell>
          <cell r="F140">
            <v>56.952262755421842</v>
          </cell>
        </row>
        <row r="141">
          <cell r="B141" t="str">
            <v>CROMPTON</v>
          </cell>
          <cell r="C141">
            <v>1.1496140262238699</v>
          </cell>
          <cell r="E141" t="str">
            <v>CROMPTON</v>
          </cell>
          <cell r="F141">
            <v>42.623127904975043</v>
          </cell>
        </row>
        <row r="142">
          <cell r="B142" t="str">
            <v>WHIRLPOOL</v>
          </cell>
          <cell r="C142">
            <v>2.5179224579370887</v>
          </cell>
          <cell r="E142" t="str">
            <v>WHIRLPOOL</v>
          </cell>
          <cell r="F142">
            <v>10.796909492273731</v>
          </cell>
        </row>
        <row r="143">
          <cell r="B143" t="str">
            <v>VGUARD</v>
          </cell>
          <cell r="C143">
            <v>1.7624555895232588</v>
          </cell>
          <cell r="E143" t="str">
            <v>VGUARD</v>
          </cell>
          <cell r="F143">
            <v>40.306542282529684</v>
          </cell>
        </row>
        <row r="144">
          <cell r="B144" t="str">
            <v>AMBER</v>
          </cell>
          <cell r="C144">
            <v>1.0830248545742993</v>
          </cell>
          <cell r="E144" t="str">
            <v>AMBER</v>
          </cell>
          <cell r="F144">
            <v>36.937346614696118</v>
          </cell>
        </row>
        <row r="145">
          <cell r="B145" t="str">
            <v>BAJAJELEC</v>
          </cell>
          <cell r="C145">
            <v>1.1361161524500907</v>
          </cell>
          <cell r="E145" t="str">
            <v>BAJAJELEC</v>
          </cell>
          <cell r="F145">
            <v>1.4790937557561246</v>
          </cell>
        </row>
        <row r="146">
          <cell r="B146" t="str">
            <v>TTKPRESTIG</v>
          </cell>
          <cell r="C146">
            <v>3.2142857142857144</v>
          </cell>
          <cell r="E146" t="str">
            <v>TTKPRESTIG</v>
          </cell>
          <cell r="F146">
            <v>45.871444004321205</v>
          </cell>
        </row>
        <row r="147">
          <cell r="B147" t="str">
            <v>EUREKAFORBE</v>
          </cell>
          <cell r="C147">
            <v>0.58273381294964033</v>
          </cell>
          <cell r="E147" t="str">
            <v>EUREKAFORBE</v>
          </cell>
          <cell r="F147">
            <v>28.548464491362765</v>
          </cell>
        </row>
        <row r="148">
          <cell r="B148" t="str">
            <v>IFBIND</v>
          </cell>
          <cell r="C148">
            <v>1.0998005436793259</v>
          </cell>
          <cell r="E148" t="str">
            <v>IFBIND</v>
          </cell>
          <cell r="F148">
            <v>36.333774439675729</v>
          </cell>
        </row>
        <row r="149">
          <cell r="B149" t="str">
            <v>ORIENTELEC</v>
          </cell>
          <cell r="C149">
            <v>1.4731115758989624</v>
          </cell>
          <cell r="E149" t="str">
            <v>ORIENTELEC</v>
          </cell>
          <cell r="F149">
            <v>44.573586397785682</v>
          </cell>
        </row>
        <row r="150">
          <cell r="B150" t="str">
            <v>JCHAC</v>
          </cell>
          <cell r="C150">
            <v>1.3228962818003913</v>
          </cell>
          <cell r="E150" t="str">
            <v>JCHAC</v>
          </cell>
          <cell r="F150">
            <v>23.884228187919465</v>
          </cell>
        </row>
        <row r="151">
          <cell r="B151" t="str">
            <v>CARYSIL</v>
          </cell>
          <cell r="C151">
            <v>1.1489361702127661</v>
          </cell>
          <cell r="E151" t="str">
            <v>CARYSIL</v>
          </cell>
          <cell r="F151">
            <v>77.554806070826302</v>
          </cell>
        </row>
        <row r="156">
          <cell r="B156" t="str">
            <v>COMPANY</v>
          </cell>
          <cell r="C156" t="str">
            <v>ROE</v>
          </cell>
          <cell r="E156" t="str">
            <v>COMPANY</v>
          </cell>
          <cell r="F156" t="str">
            <v>ROA</v>
          </cell>
          <cell r="P156" t="str">
            <v>YIELD</v>
          </cell>
        </row>
        <row r="157">
          <cell r="B157" t="str">
            <v>VOLTAS</v>
          </cell>
          <cell r="C157">
            <v>4.2611683848797252E-2</v>
          </cell>
          <cell r="E157" t="str">
            <v>VOLTAS</v>
          </cell>
          <cell r="F157">
            <v>2.0604852110335661E-2</v>
          </cell>
          <cell r="O157" t="str">
            <v>VOLTAS</v>
          </cell>
          <cell r="P157">
            <v>7.7127659574468084E-3</v>
          </cell>
        </row>
        <row r="158">
          <cell r="B158" t="str">
            <v>BLUESTARCO</v>
          </cell>
          <cell r="C158">
            <v>0.15874233128834356</v>
          </cell>
          <cell r="E158" t="str">
            <v>BLUESTARCO</v>
          </cell>
          <cell r="F158">
            <v>6.2556663644605617E-2</v>
          </cell>
          <cell r="O158" t="str">
            <v>BLUESTARCO</v>
          </cell>
          <cell r="P158">
            <v>1.8920169687620517E-2</v>
          </cell>
        </row>
        <row r="159">
          <cell r="B159" t="str">
            <v>CROMPTON</v>
          </cell>
          <cell r="C159">
            <v>0.14733333333333334</v>
          </cell>
          <cell r="E159" t="str">
            <v>CROMPTON</v>
          </cell>
          <cell r="F159">
            <v>7.2673462676751066E-2</v>
          </cell>
          <cell r="O159" t="str">
            <v>CROMPTON</v>
          </cell>
          <cell r="P159">
            <v>2.2404092071611256E-2</v>
          </cell>
        </row>
        <row r="160">
          <cell r="B160" t="str">
            <v>WHIRLPOOL</v>
          </cell>
          <cell r="C160">
            <v>6.0721062618595827E-2</v>
          </cell>
          <cell r="E160" t="str">
            <v>WHIRLPOOL</v>
          </cell>
          <cell r="F160">
            <v>3.6482084690553744E-2</v>
          </cell>
          <cell r="O160" t="str">
            <v>WHIRLPOOL</v>
          </cell>
          <cell r="P160">
            <v>1.223320778405524E-2</v>
          </cell>
        </row>
        <row r="161">
          <cell r="B161" t="str">
            <v>VGUARD</v>
          </cell>
          <cell r="C161">
            <v>0.14222712238147739</v>
          </cell>
          <cell r="E161" t="str">
            <v>VGUARD</v>
          </cell>
          <cell r="F161">
            <v>8.1619740588421391E-2</v>
          </cell>
          <cell r="O161" t="str">
            <v>VGUARD</v>
          </cell>
          <cell r="P161">
            <v>1.7256922086284609E-2</v>
          </cell>
        </row>
        <row r="162">
          <cell r="B162" t="str">
            <v>AMBER</v>
          </cell>
          <cell r="C162">
            <v>6.7796610169491525E-2</v>
          </cell>
          <cell r="E162" t="str">
            <v>AMBER</v>
          </cell>
          <cell r="F162">
            <v>2.1234642802972849E-2</v>
          </cell>
          <cell r="O162" t="str">
            <v>AMBER</v>
          </cell>
          <cell r="P162">
            <v>1.0826488706365503E-2</v>
          </cell>
        </row>
        <row r="163">
          <cell r="B163" t="str">
            <v>BAJAJELEC</v>
          </cell>
          <cell r="C163">
            <v>0.10775862068965517</v>
          </cell>
          <cell r="E163" t="str">
            <v>BAJAJELEC</v>
          </cell>
          <cell r="F163">
            <v>8.2026977761574915E-2</v>
          </cell>
          <cell r="O163" t="str">
            <v>BAJAJELEC</v>
          </cell>
          <cell r="P163">
            <v>1.3232664414861912E-2</v>
          </cell>
        </row>
        <row r="164">
          <cell r="B164" t="str">
            <v>TTKPRESTIG</v>
          </cell>
          <cell r="C164">
            <v>9.7922848664688422E-2</v>
          </cell>
          <cell r="E164" t="str">
            <v>TTKPRESTIG</v>
          </cell>
          <cell r="F164">
            <v>3.4856086612094009E-2</v>
          </cell>
          <cell r="O164" t="str">
            <v>TTKPRESTIG</v>
          </cell>
          <cell r="P164">
            <v>2.1934884954578609E-2</v>
          </cell>
        </row>
        <row r="165">
          <cell r="B165" t="str">
            <v>EUREKAFORBE</v>
          </cell>
          <cell r="C165">
            <v>2.1120293847566574E-2</v>
          </cell>
          <cell r="E165" t="str">
            <v>EUREKAFORBE</v>
          </cell>
          <cell r="F165">
            <v>1.5101772816808929E-2</v>
          </cell>
          <cell r="O165" t="str">
            <v>EUREKAFORBE</v>
          </cell>
          <cell r="P165">
            <v>1.0243751928417156E-2</v>
          </cell>
        </row>
        <row r="166">
          <cell r="B166" t="str">
            <v>IFBIND</v>
          </cell>
          <cell r="C166">
            <v>6.9735006973500699E-2</v>
          </cell>
          <cell r="E166" t="str">
            <v>IFBIND</v>
          </cell>
          <cell r="F166">
            <v>2.2946305644791189E-2</v>
          </cell>
          <cell r="O166" t="str">
            <v>IFBIND</v>
          </cell>
          <cell r="P166">
            <v>5.0759219088937092E-3</v>
          </cell>
        </row>
        <row r="167">
          <cell r="B167" t="str">
            <v>ORIENTELEC</v>
          </cell>
          <cell r="C167">
            <v>-0.12886597938144329</v>
          </cell>
          <cell r="E167" t="str">
            <v>ORIENTELEC</v>
          </cell>
          <cell r="F167">
            <v>-4.5262522631261314E-2</v>
          </cell>
          <cell r="O167" t="str">
            <v>ORIENTELEC</v>
          </cell>
          <cell r="P167">
            <v>1.9414703783012133E-2</v>
          </cell>
        </row>
        <row r="168">
          <cell r="B168" t="str">
            <v>JCHAC</v>
          </cell>
          <cell r="C168">
            <v>0.11755485893416928</v>
          </cell>
          <cell r="E168" t="str">
            <v>JCHAC</v>
          </cell>
          <cell r="F168">
            <v>5.1688490696071676E-2</v>
          </cell>
          <cell r="O168" t="str">
            <v>JCHAC</v>
          </cell>
          <cell r="P168">
            <v>-4.0368816640447468E-2</v>
          </cell>
        </row>
        <row r="169">
          <cell r="B169" t="str">
            <v>CARYSIL</v>
          </cell>
          <cell r="C169">
            <v>0.1580547112462006</v>
          </cell>
          <cell r="E169" t="str">
            <v>CARYSIL</v>
          </cell>
          <cell r="F169">
            <v>6.9798657718120799E-2</v>
          </cell>
          <cell r="O169" t="str">
            <v>CARYSIL</v>
          </cell>
          <cell r="P169">
            <v>2.2685827552031714E-2</v>
          </cell>
        </row>
        <row r="190">
          <cell r="C190" t="str">
            <v>TRAIL_PE</v>
          </cell>
          <cell r="F190" t="str">
            <v>PBV</v>
          </cell>
        </row>
        <row r="191">
          <cell r="B191" t="str">
            <v>VOLTAS</v>
          </cell>
          <cell r="C191">
            <v>129.10507246376812</v>
          </cell>
          <cell r="E191" t="str">
            <v>VOLTAS</v>
          </cell>
          <cell r="F191">
            <v>10.102139175257731</v>
          </cell>
        </row>
        <row r="192">
          <cell r="B192" t="str">
            <v>BLUESTARCO</v>
          </cell>
          <cell r="C192">
            <v>69.824775876120626</v>
          </cell>
          <cell r="E192" t="str">
            <v>BLUESTARCO</v>
          </cell>
          <cell r="F192">
            <v>13.468845858895705</v>
          </cell>
        </row>
        <row r="193">
          <cell r="B193" t="str">
            <v>CROMPTON</v>
          </cell>
          <cell r="C193">
            <v>63.462059620596207</v>
          </cell>
          <cell r="E193" t="str">
            <v>CROMPTON</v>
          </cell>
          <cell r="F193">
            <v>10.069525000000001</v>
          </cell>
        </row>
        <row r="194">
          <cell r="B194" t="str">
            <v>WHIRLPOOL</v>
          </cell>
          <cell r="C194">
            <v>97.65735815602838</v>
          </cell>
          <cell r="E194" t="str">
            <v>WHIRLPOOL</v>
          </cell>
          <cell r="F194">
            <v>7.5847126592572511</v>
          </cell>
        </row>
        <row r="195">
          <cell r="B195" t="str">
            <v>VGUARD</v>
          </cell>
          <cell r="C195">
            <v>70.24024024024024</v>
          </cell>
          <cell r="E195" t="str">
            <v>VGUARD</v>
          </cell>
          <cell r="F195">
            <v>11.088974641675854</v>
          </cell>
        </row>
        <row r="196">
          <cell r="B196" t="str">
            <v>AMBER</v>
          </cell>
          <cell r="C196">
            <v>94.914213090446935</v>
          </cell>
          <cell r="E196" t="str">
            <v>AMBER</v>
          </cell>
          <cell r="F196">
            <v>7.377753026634382</v>
          </cell>
        </row>
        <row r="197">
          <cell r="B197" t="str">
            <v>BAJAJELEC</v>
          </cell>
          <cell r="C197">
            <v>58.041172800998126</v>
          </cell>
          <cell r="E197" t="str">
            <v>BAJAJELEC</v>
          </cell>
          <cell r="F197">
            <v>6.2383141762452103</v>
          </cell>
        </row>
        <row r="198">
          <cell r="B198" t="str">
            <v>TTKPRESTIG</v>
          </cell>
          <cell r="C198">
            <v>92.273156899810957</v>
          </cell>
          <cell r="E198" t="str">
            <v>TTKPRESTIG</v>
          </cell>
          <cell r="F198">
            <v>8.3285422848664687</v>
          </cell>
        </row>
        <row r="199">
          <cell r="B199" t="str">
            <v>EUREKAFORBE</v>
          </cell>
          <cell r="C199">
            <v>92.362428842504755</v>
          </cell>
          <cell r="E199" t="str">
            <v>EUREKAFORBE</v>
          </cell>
          <cell r="F199">
            <v>2.156628787878788</v>
          </cell>
        </row>
        <row r="200">
          <cell r="B200" t="str">
            <v>IFBIND</v>
          </cell>
          <cell r="C200">
            <v>88.34020146520146</v>
          </cell>
          <cell r="E200" t="str">
            <v>IFBIND</v>
          </cell>
          <cell r="F200">
            <v>11.03254532775453</v>
          </cell>
        </row>
        <row r="201">
          <cell r="B201" t="str">
            <v>ORIENTELEC</v>
          </cell>
          <cell r="C201">
            <v>3891</v>
          </cell>
          <cell r="E201" t="str">
            <v>ORIENTELEC</v>
          </cell>
          <cell r="F201">
            <v>9.9280670103092792</v>
          </cell>
        </row>
        <row r="202">
          <cell r="B202" t="str">
            <v>JCHAC</v>
          </cell>
          <cell r="C202">
            <v>79.695121951219505</v>
          </cell>
          <cell r="E202" t="str">
            <v>JCHAC</v>
          </cell>
          <cell r="F202">
            <v>8.6040752351097183</v>
          </cell>
        </row>
        <row r="203">
          <cell r="B203" t="str">
            <v>CARYSIL</v>
          </cell>
          <cell r="C203">
            <v>44.08038444735692</v>
          </cell>
          <cell r="E203" t="str">
            <v>CARYSIL</v>
          </cell>
          <cell r="F203">
            <v>7.5523952095808387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421B60-33AC-4785-B8E5-BE749070AB96}" name="Table_4" displayName="Table_4" ref="C12:C35" headerRowCount="0">
  <tableColumns count="1">
    <tableColumn id="1" xr3:uid="{AC38700A-4ED7-4A30-A928-1D4CBB6678C1}" name="Column1"/>
  </tableColumns>
  <tableStyleInfo name="Volta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01036E-CEA5-40F3-9DCE-B10976EEB949}" name="Table_1" displayName="Table_1" ref="G39:G51" headerRowCount="0">
  <tableColumns count="1">
    <tableColumn id="1" xr3:uid="{0AA062F0-D6F2-446A-8932-544647C24340}" name="Column1"/>
  </tableColumns>
  <tableStyleInfo name="Household Appliance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17BCC3-A795-444C-8558-E10DDC172F05}" name="Table_2" displayName="Table_2" ref="G107:G119" headerRowCount="0">
  <tableColumns count="1">
    <tableColumn id="1" xr3:uid="{22C22942-CA0F-4509-85FB-547F09758FC6}" name="Column1"/>
  </tableColumns>
  <tableStyleInfo name="Household Appliances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40E5B54-12B3-4F32-8BF0-E132396071F6}" name="Table_3" displayName="Table_3" ref="F157:F169" headerRowCount="0">
  <tableColumns count="1">
    <tableColumn id="1" xr3:uid="{14B71471-7909-4B6B-8E38-F4C37E364132}" name="Column1"/>
  </tableColumns>
  <tableStyleInfo name="Household Appliances-style 3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4B45-9DED-4279-BCCB-9FC7D5CD76B7}">
  <sheetPr>
    <outlinePr summaryBelow="0" summaryRight="0"/>
  </sheetPr>
  <dimension ref="A1:AB1003"/>
  <sheetViews>
    <sheetView showGridLines="0" tabSelected="1" workbookViewId="0">
      <selection activeCell="J64" sqref="J64"/>
    </sheetView>
  </sheetViews>
  <sheetFormatPr defaultColWidth="12.6640625" defaultRowHeight="15.75" customHeight="1"/>
  <cols>
    <col min="1" max="1" width="3.33203125" customWidth="1"/>
    <col min="15" max="15" width="18" customWidth="1"/>
  </cols>
  <sheetData>
    <row r="1" spans="1:22" ht="15.75" customHeight="1">
      <c r="A1" s="1"/>
      <c r="B1" s="2"/>
      <c r="E1" s="3" t="s">
        <v>0</v>
      </c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4" t="s">
        <v>2</v>
      </c>
      <c r="S1" s="2"/>
      <c r="T1" s="2"/>
      <c r="U1" s="2"/>
      <c r="V1" s="2"/>
    </row>
    <row r="2" spans="1:22" ht="15.75" customHeight="1">
      <c r="A2" s="5"/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3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7" t="s">
        <v>19</v>
      </c>
      <c r="S2" s="8" t="s">
        <v>20</v>
      </c>
      <c r="T2" s="8" t="s">
        <v>21</v>
      </c>
      <c r="U2" s="8" t="s">
        <v>22</v>
      </c>
      <c r="V2" s="8" t="s">
        <v>23</v>
      </c>
    </row>
    <row r="3" spans="1:22" ht="15.75" customHeight="1">
      <c r="A3" s="5"/>
      <c r="B3" s="6" t="s">
        <v>24</v>
      </c>
      <c r="C3" s="9">
        <f ca="1">IFERROR(__xludf.DUMMYFUNCTION("googlefinance(""NSE:""&amp;B3,""price"")"),1779.95)</f>
        <v>1779.95</v>
      </c>
      <c r="D3" s="10">
        <f ca="1">IFERROR(__xludf.DUMMYFUNCTION("GOOGLEFINANCE(""nse:""&amp;B3,""marketcap"")/10000000"),58851.1519341)</f>
        <v>58851.151934100002</v>
      </c>
      <c r="E3" s="11">
        <f>C34</f>
        <v>12407</v>
      </c>
      <c r="F3" s="12">
        <f>F34</f>
        <v>248</v>
      </c>
      <c r="G3" s="12">
        <f>H34</f>
        <v>7.62</v>
      </c>
      <c r="H3" s="13">
        <v>33.08</v>
      </c>
      <c r="I3" s="14">
        <v>5787</v>
      </c>
      <c r="J3" s="11">
        <v>713</v>
      </c>
      <c r="K3" s="11">
        <v>30</v>
      </c>
      <c r="L3" s="11">
        <v>1</v>
      </c>
      <c r="M3" s="14">
        <v>7747</v>
      </c>
      <c r="N3" s="14">
        <v>5758</v>
      </c>
      <c r="O3" s="14">
        <v>12035</v>
      </c>
      <c r="P3" s="14">
        <v>6181</v>
      </c>
      <c r="Q3" s="14">
        <v>1513</v>
      </c>
      <c r="R3" s="15">
        <v>193</v>
      </c>
      <c r="S3" s="16">
        <v>761</v>
      </c>
      <c r="T3" s="16">
        <v>-522</v>
      </c>
      <c r="U3" s="16">
        <v>-116</v>
      </c>
      <c r="V3" s="16">
        <f t="shared" ref="V3:V4" si="0">SUM(S3:U3)</f>
        <v>123</v>
      </c>
    </row>
    <row r="4" spans="1:22" ht="15.75" customHeight="1">
      <c r="A4" s="5"/>
      <c r="B4" s="17" t="s">
        <v>25</v>
      </c>
      <c r="C4" s="17">
        <v>1103</v>
      </c>
      <c r="D4" s="10">
        <f ca="1">C4*D3/C3</f>
        <v>36468.9011395333</v>
      </c>
      <c r="E4" s="17">
        <f>C33</f>
        <v>9399</v>
      </c>
      <c r="F4" s="17">
        <f>F33</f>
        <v>136</v>
      </c>
      <c r="G4" s="18">
        <f>H33</f>
        <v>4.08</v>
      </c>
      <c r="H4" s="17">
        <v>33.1</v>
      </c>
      <c r="I4" s="17">
        <v>5418</v>
      </c>
      <c r="J4" s="17">
        <f>595+21</f>
        <v>616</v>
      </c>
      <c r="K4" s="17">
        <v>34</v>
      </c>
      <c r="L4" s="17">
        <v>1</v>
      </c>
      <c r="M4" s="17">
        <v>6447</v>
      </c>
      <c r="N4" s="17">
        <v>4620</v>
      </c>
      <c r="O4" s="17">
        <v>10279</v>
      </c>
      <c r="P4" s="17">
        <v>4785</v>
      </c>
      <c r="Q4" s="17">
        <v>2192</v>
      </c>
      <c r="R4" s="15">
        <v>180</v>
      </c>
      <c r="S4" s="16">
        <v>159</v>
      </c>
      <c r="T4" s="16">
        <v>-81</v>
      </c>
      <c r="U4" s="16">
        <v>55</v>
      </c>
      <c r="V4" s="16">
        <f t="shared" si="0"/>
        <v>133</v>
      </c>
    </row>
    <row r="5" spans="1:22" ht="15.75" customHeight="1">
      <c r="A5" s="5"/>
      <c r="B5" s="19" t="s">
        <v>26</v>
      </c>
      <c r="C5" s="20">
        <f t="shared" ref="C5:S5" ca="1" si="1">(C3/C4)-1</f>
        <v>0.61373526745240259</v>
      </c>
      <c r="D5" s="20">
        <f t="shared" ca="1" si="1"/>
        <v>0.61373526745240259</v>
      </c>
      <c r="E5" s="20">
        <f t="shared" si="1"/>
        <v>0.32003404617512499</v>
      </c>
      <c r="F5" s="20">
        <f t="shared" si="1"/>
        <v>0.82352941176470584</v>
      </c>
      <c r="G5" s="20">
        <f t="shared" si="1"/>
        <v>0.86764705882352944</v>
      </c>
      <c r="H5" s="20">
        <f t="shared" si="1"/>
        <v>-6.0422960725081687E-4</v>
      </c>
      <c r="I5" s="20">
        <f t="shared" si="1"/>
        <v>6.8106312292358862E-2</v>
      </c>
      <c r="J5" s="20">
        <f t="shared" si="1"/>
        <v>0.15746753246753253</v>
      </c>
      <c r="K5" s="20">
        <f t="shared" si="1"/>
        <v>-0.11764705882352944</v>
      </c>
      <c r="L5" s="20">
        <f t="shared" si="1"/>
        <v>0</v>
      </c>
      <c r="M5" s="20">
        <f t="shared" si="1"/>
        <v>0.20164417558554359</v>
      </c>
      <c r="N5" s="20">
        <f t="shared" si="1"/>
        <v>0.24632034632034627</v>
      </c>
      <c r="O5" s="20">
        <f t="shared" si="1"/>
        <v>0.17083373869053409</v>
      </c>
      <c r="P5" s="20">
        <f t="shared" si="1"/>
        <v>0.29174503657262285</v>
      </c>
      <c r="Q5" s="20">
        <f t="shared" si="1"/>
        <v>-0.30976277372262773</v>
      </c>
      <c r="R5" s="20">
        <f t="shared" si="1"/>
        <v>7.2222222222222188E-2</v>
      </c>
      <c r="S5" s="20">
        <f t="shared" si="1"/>
        <v>3.7861635220125782</v>
      </c>
      <c r="T5" s="20">
        <v>0.78</v>
      </c>
      <c r="U5" s="20">
        <v>1.51</v>
      </c>
      <c r="V5" s="20">
        <f>(V3/V4)-1</f>
        <v>-7.5187969924812026E-2</v>
      </c>
    </row>
    <row r="6" spans="1:22" ht="15.75" customHeight="1">
      <c r="A6" s="5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1:22" ht="15.75" customHeight="1">
      <c r="A7" s="5"/>
      <c r="B7" s="23" t="s">
        <v>26</v>
      </c>
      <c r="C7" s="24"/>
      <c r="D7" s="23" t="s">
        <v>27</v>
      </c>
      <c r="E7" s="25"/>
      <c r="F7" s="24"/>
      <c r="G7" s="23" t="s">
        <v>28</v>
      </c>
      <c r="H7" s="24"/>
      <c r="I7" s="24"/>
      <c r="J7" s="23" t="s">
        <v>29</v>
      </c>
      <c r="K7" s="24"/>
      <c r="L7" s="24"/>
      <c r="M7" s="23" t="s">
        <v>30</v>
      </c>
      <c r="N7" s="24"/>
      <c r="O7" s="24"/>
      <c r="P7" s="24"/>
      <c r="Q7" s="26"/>
      <c r="R7" s="27" t="s">
        <v>31</v>
      </c>
      <c r="S7" s="28"/>
      <c r="T7" s="2"/>
    </row>
    <row r="8" spans="1:22" ht="15.75" customHeight="1">
      <c r="A8" s="5"/>
      <c r="B8" s="6" t="s">
        <v>32</v>
      </c>
      <c r="C8" s="6" t="s">
        <v>33</v>
      </c>
      <c r="D8" s="6" t="s">
        <v>34</v>
      </c>
      <c r="E8" s="6" t="s">
        <v>35</v>
      </c>
      <c r="F8" s="6" t="s">
        <v>36</v>
      </c>
      <c r="G8" s="6" t="s">
        <v>37</v>
      </c>
      <c r="H8" s="6" t="s">
        <v>38</v>
      </c>
      <c r="I8" s="6" t="s">
        <v>39</v>
      </c>
      <c r="J8" s="6" t="s">
        <v>40</v>
      </c>
      <c r="K8" s="6" t="s">
        <v>41</v>
      </c>
      <c r="L8" s="6" t="s">
        <v>42</v>
      </c>
      <c r="M8" s="3" t="s">
        <v>43</v>
      </c>
      <c r="N8" s="6" t="s">
        <v>44</v>
      </c>
      <c r="O8" s="6" t="s">
        <v>45</v>
      </c>
      <c r="P8" s="6" t="s">
        <v>46</v>
      </c>
      <c r="Q8" s="29" t="s">
        <v>47</v>
      </c>
      <c r="R8" s="29" t="s">
        <v>48</v>
      </c>
      <c r="S8" s="29" t="s">
        <v>49</v>
      </c>
      <c r="T8" s="29" t="s">
        <v>50</v>
      </c>
      <c r="U8" s="29" t="s">
        <v>51</v>
      </c>
    </row>
    <row r="9" spans="1:22" ht="15.75" customHeight="1">
      <c r="A9" s="5"/>
      <c r="B9" s="30">
        <f>R44</f>
        <v>0.47046476761619194</v>
      </c>
      <c r="C9" s="31">
        <f>R50</f>
        <v>1.5968992248062017</v>
      </c>
      <c r="D9" s="32">
        <f>P53</f>
        <v>6.8311582381729199E-2</v>
      </c>
      <c r="E9" s="33">
        <f>M3/N3</f>
        <v>1.3454324418200765</v>
      </c>
      <c r="F9" s="34">
        <f>(Q3/E3)*365</f>
        <v>44.510760054807768</v>
      </c>
      <c r="G9" s="31">
        <f>J3/I3</f>
        <v>0.12320718852600657</v>
      </c>
      <c r="H9" s="31">
        <f>P3/O3</f>
        <v>0.51358537598670539</v>
      </c>
      <c r="I9" s="34">
        <f>P54</f>
        <v>40.384615384615387</v>
      </c>
      <c r="J9" s="31">
        <f>F3/I3</f>
        <v>4.2854674269915329E-2</v>
      </c>
      <c r="K9" s="33">
        <f>F3/H3</f>
        <v>7.4969770253929875</v>
      </c>
      <c r="L9" s="31">
        <f>F3/O3</f>
        <v>2.0606564187785625E-2</v>
      </c>
      <c r="M9" s="35">
        <f ca="1">C3/G3</f>
        <v>233.58923884514437</v>
      </c>
      <c r="N9" s="32">
        <f ca="1">G3/C3</f>
        <v>4.2810191297508356E-3</v>
      </c>
      <c r="O9" s="35">
        <f>(O3-P3)/(H3/L3)</f>
        <v>176.96493349455866</v>
      </c>
      <c r="P9" s="33">
        <f ca="1">C3/O9</f>
        <v>10.058207379569524</v>
      </c>
      <c r="Q9" s="36">
        <f ca="1">L52</f>
        <v>0.17114903846153848</v>
      </c>
      <c r="R9" s="37">
        <f>S3-N3</f>
        <v>-4997</v>
      </c>
      <c r="S9" s="38">
        <f>S3-J3</f>
        <v>48</v>
      </c>
      <c r="T9" s="37">
        <f>S3-R3</f>
        <v>568</v>
      </c>
      <c r="U9" s="39">
        <v>0.187</v>
      </c>
    </row>
    <row r="10" spans="1:22" ht="15.75" customHeight="1">
      <c r="A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22"/>
      <c r="R10" s="22"/>
    </row>
    <row r="11" spans="1:22" ht="15.75" customHeight="1">
      <c r="A11" s="40"/>
      <c r="B11" s="6" t="s">
        <v>52</v>
      </c>
      <c r="C11" s="6" t="s">
        <v>53</v>
      </c>
      <c r="D11" s="43" t="s">
        <v>54</v>
      </c>
      <c r="E11" s="6" t="s">
        <v>55</v>
      </c>
      <c r="F11" s="43" t="s">
        <v>7</v>
      </c>
      <c r="G11" s="6" t="s">
        <v>56</v>
      </c>
      <c r="H11" s="43" t="s">
        <v>57</v>
      </c>
      <c r="I11" s="6" t="s">
        <v>58</v>
      </c>
      <c r="J11" s="43" t="s">
        <v>59</v>
      </c>
      <c r="K11" s="3" t="s">
        <v>60</v>
      </c>
      <c r="L11" s="43" t="s">
        <v>61</v>
      </c>
      <c r="M11" s="43" t="s">
        <v>62</v>
      </c>
      <c r="N11" s="43" t="s">
        <v>63</v>
      </c>
      <c r="O11" s="44" t="s">
        <v>45</v>
      </c>
      <c r="P11" s="44" t="s">
        <v>46</v>
      </c>
      <c r="Q11" s="22"/>
      <c r="R11" s="22"/>
    </row>
    <row r="12" spans="1:22" ht="15.75" customHeight="1">
      <c r="A12" s="45"/>
      <c r="B12" s="46" t="s">
        <v>64</v>
      </c>
      <c r="C12" s="47">
        <v>880</v>
      </c>
      <c r="D12" s="16">
        <v>-843</v>
      </c>
      <c r="E12" s="47">
        <v>-6</v>
      </c>
      <c r="F12" s="47">
        <v>17</v>
      </c>
      <c r="G12" s="47">
        <v>33</v>
      </c>
      <c r="H12" s="48">
        <v>5</v>
      </c>
      <c r="I12" s="49">
        <f t="shared" ref="I12:I35" si="2">F12/C12</f>
        <v>1.9318181818181818E-2</v>
      </c>
      <c r="J12" s="47">
        <v>56.5</v>
      </c>
      <c r="K12" s="47">
        <v>31.1</v>
      </c>
      <c r="L12" s="50">
        <f t="shared" ref="L12:L35" si="3">J12/H12</f>
        <v>11.3</v>
      </c>
      <c r="M12" s="50">
        <f t="shared" ref="M12:M35" si="4">K12/H12</f>
        <v>6.2200000000000006</v>
      </c>
      <c r="N12" s="51">
        <v>154.95999999999998</v>
      </c>
      <c r="O12" s="52">
        <f t="shared" ref="O12:O16" si="5">(N12+G12)/(G12/5)</f>
        <v>28.478787878787877</v>
      </c>
      <c r="P12" s="53">
        <f t="shared" ref="P12:P35" si="6">((J12+K12)/2)/O12</f>
        <v>1.5379868057033412</v>
      </c>
      <c r="Q12" s="22"/>
      <c r="R12" s="22"/>
    </row>
    <row r="13" spans="1:22" ht="15.75" customHeight="1">
      <c r="A13" s="45"/>
      <c r="B13" s="46" t="s">
        <v>65</v>
      </c>
      <c r="C13" s="47">
        <v>1182</v>
      </c>
      <c r="D13" s="16">
        <v>-1141</v>
      </c>
      <c r="E13" s="47">
        <v>-3</v>
      </c>
      <c r="F13" s="47">
        <v>26</v>
      </c>
      <c r="G13" s="47">
        <v>33</v>
      </c>
      <c r="H13" s="48">
        <v>7.73</v>
      </c>
      <c r="I13" s="49">
        <f t="shared" si="2"/>
        <v>2.1996615905245348E-2</v>
      </c>
      <c r="J13" s="47">
        <v>65.5</v>
      </c>
      <c r="K13" s="47">
        <v>41.6</v>
      </c>
      <c r="L13" s="50">
        <f t="shared" si="3"/>
        <v>8.4734799482535568</v>
      </c>
      <c r="M13" s="50">
        <f t="shared" si="4"/>
        <v>5.3816300129366104</v>
      </c>
      <c r="N13" s="54">
        <v>128.10999999999999</v>
      </c>
      <c r="O13" s="52">
        <f t="shared" si="5"/>
        <v>24.41060606060606</v>
      </c>
      <c r="P13" s="53">
        <f t="shared" si="6"/>
        <v>2.1937185773694989</v>
      </c>
      <c r="Q13" s="22"/>
      <c r="R13" s="22"/>
    </row>
    <row r="14" spans="1:22" ht="15.75" customHeight="1">
      <c r="A14" s="45"/>
      <c r="B14" s="46" t="s">
        <v>66</v>
      </c>
      <c r="C14" s="47">
        <v>1293</v>
      </c>
      <c r="D14" s="16">
        <v>-1204</v>
      </c>
      <c r="E14" s="47">
        <v>-2</v>
      </c>
      <c r="F14" s="47">
        <v>39</v>
      </c>
      <c r="G14" s="47">
        <v>33</v>
      </c>
      <c r="H14" s="48">
        <v>11.8</v>
      </c>
      <c r="I14" s="49">
        <f t="shared" si="2"/>
        <v>3.0162412993039442E-2</v>
      </c>
      <c r="J14" s="47">
        <v>159</v>
      </c>
      <c r="K14" s="47">
        <v>50</v>
      </c>
      <c r="L14" s="50">
        <f t="shared" si="3"/>
        <v>13.474576271186439</v>
      </c>
      <c r="M14" s="50">
        <f t="shared" si="4"/>
        <v>4.2372881355932197</v>
      </c>
      <c r="N14" s="54">
        <v>155.94999999999999</v>
      </c>
      <c r="O14" s="52">
        <f t="shared" si="5"/>
        <v>28.628787878787879</v>
      </c>
      <c r="P14" s="53">
        <f t="shared" si="6"/>
        <v>3.6501720031754434</v>
      </c>
      <c r="Q14" s="55"/>
      <c r="R14" s="55"/>
    </row>
    <row r="15" spans="1:22" ht="15.75" customHeight="1">
      <c r="A15" s="45"/>
      <c r="B15" s="46" t="s">
        <v>67</v>
      </c>
      <c r="C15" s="47">
        <v>1409</v>
      </c>
      <c r="D15" s="16">
        <v>-1342</v>
      </c>
      <c r="E15" s="47">
        <v>-4</v>
      </c>
      <c r="F15" s="47">
        <v>51</v>
      </c>
      <c r="G15" s="47">
        <v>33</v>
      </c>
      <c r="H15" s="48">
        <v>15.24</v>
      </c>
      <c r="I15" s="49">
        <f t="shared" si="2"/>
        <v>3.61958836053939E-2</v>
      </c>
      <c r="J15" s="47">
        <v>247.9</v>
      </c>
      <c r="K15" s="47">
        <v>87.9</v>
      </c>
      <c r="L15" s="50">
        <f t="shared" si="3"/>
        <v>16.266404199475065</v>
      </c>
      <c r="M15" s="50">
        <f t="shared" si="4"/>
        <v>5.7677165354330713</v>
      </c>
      <c r="N15" s="54">
        <v>160.45999999999998</v>
      </c>
      <c r="O15" s="52">
        <f t="shared" si="5"/>
        <v>29.312121212121209</v>
      </c>
      <c r="P15" s="53">
        <f t="shared" si="6"/>
        <v>5.728005789310453</v>
      </c>
      <c r="Q15" s="22"/>
      <c r="R15" s="22"/>
    </row>
    <row r="16" spans="1:22" ht="15.75" customHeight="1">
      <c r="A16" s="45"/>
      <c r="B16" s="46" t="s">
        <v>68</v>
      </c>
      <c r="C16" s="47">
        <v>1883</v>
      </c>
      <c r="D16" s="16">
        <v>-1752</v>
      </c>
      <c r="E16" s="47">
        <v>-1</v>
      </c>
      <c r="F16" s="47">
        <v>71</v>
      </c>
      <c r="G16" s="47">
        <v>33</v>
      </c>
      <c r="H16" s="48">
        <v>21.3</v>
      </c>
      <c r="I16" s="49">
        <f t="shared" si="2"/>
        <v>3.7705788635156667E-2</v>
      </c>
      <c r="J16" s="47">
        <v>1088.4000000000001</v>
      </c>
      <c r="K16" s="47">
        <v>218.4</v>
      </c>
      <c r="L16" s="50">
        <f t="shared" si="3"/>
        <v>51.098591549295776</v>
      </c>
      <c r="M16" s="50">
        <f t="shared" si="4"/>
        <v>10.253521126760564</v>
      </c>
      <c r="N16" s="54">
        <v>208.35</v>
      </c>
      <c r="O16" s="52">
        <f t="shared" si="5"/>
        <v>36.56818181818182</v>
      </c>
      <c r="P16" s="53">
        <f t="shared" si="6"/>
        <v>17.867992541951523</v>
      </c>
      <c r="Q16" s="55"/>
      <c r="R16" s="55"/>
    </row>
    <row r="17" spans="1:18" ht="15.75" customHeight="1">
      <c r="A17" s="45"/>
      <c r="B17" s="46" t="s">
        <v>69</v>
      </c>
      <c r="C17" s="47">
        <v>2456</v>
      </c>
      <c r="D17" s="16">
        <v>-2292</v>
      </c>
      <c r="E17" s="47">
        <v>-5</v>
      </c>
      <c r="F17" s="47">
        <v>186</v>
      </c>
      <c r="G17" s="47">
        <v>33</v>
      </c>
      <c r="H17" s="56">
        <v>5.62</v>
      </c>
      <c r="I17" s="49">
        <f t="shared" si="2"/>
        <v>7.5732899022801309E-2</v>
      </c>
      <c r="J17" s="47">
        <v>120.5</v>
      </c>
      <c r="K17" s="47">
        <v>63.5</v>
      </c>
      <c r="L17" s="50">
        <f t="shared" si="3"/>
        <v>21.441281138790035</v>
      </c>
      <c r="M17" s="50">
        <f t="shared" si="4"/>
        <v>11.298932384341636</v>
      </c>
      <c r="N17" s="54">
        <v>347.68</v>
      </c>
      <c r="O17" s="52">
        <f t="shared" ref="O17:O35" si="7">(N17+G17)/(G17/1)</f>
        <v>11.535757575757575</v>
      </c>
      <c r="P17" s="53">
        <f t="shared" si="6"/>
        <v>7.9752022696227804</v>
      </c>
    </row>
    <row r="18" spans="1:18" ht="15.75" customHeight="1">
      <c r="A18" s="45"/>
      <c r="B18" s="46" t="s">
        <v>70</v>
      </c>
      <c r="C18" s="47">
        <v>3088</v>
      </c>
      <c r="D18" s="16">
        <v>-2764</v>
      </c>
      <c r="E18" s="47">
        <v>-3</v>
      </c>
      <c r="F18" s="47">
        <v>208</v>
      </c>
      <c r="G18" s="47">
        <v>33</v>
      </c>
      <c r="H18" s="48">
        <v>6.3</v>
      </c>
      <c r="I18" s="49">
        <f t="shared" si="2"/>
        <v>6.7357512953367879E-2</v>
      </c>
      <c r="J18" s="47">
        <v>266.89999999999998</v>
      </c>
      <c r="K18" s="47">
        <v>79.400000000000006</v>
      </c>
      <c r="L18" s="50">
        <f t="shared" si="3"/>
        <v>42.36507936507936</v>
      </c>
      <c r="M18" s="50">
        <f t="shared" si="4"/>
        <v>12.603174603174605</v>
      </c>
      <c r="N18" s="54">
        <v>544.16000000000008</v>
      </c>
      <c r="O18" s="52">
        <f t="shared" si="7"/>
        <v>17.489696969696972</v>
      </c>
      <c r="P18" s="53">
        <f t="shared" si="6"/>
        <v>9.9001143530390152</v>
      </c>
      <c r="Q18" s="22"/>
      <c r="R18" s="22"/>
    </row>
    <row r="19" spans="1:18" ht="15.75" customHeight="1">
      <c r="A19" s="45"/>
      <c r="B19" s="46" t="s">
        <v>71</v>
      </c>
      <c r="C19" s="47">
        <v>4113</v>
      </c>
      <c r="D19" s="16">
        <v>-3735</v>
      </c>
      <c r="E19" s="47">
        <v>-8</v>
      </c>
      <c r="F19" s="47">
        <v>253</v>
      </c>
      <c r="G19" s="47">
        <v>33</v>
      </c>
      <c r="H19" s="48">
        <v>7.63</v>
      </c>
      <c r="I19" s="49">
        <f t="shared" si="2"/>
        <v>6.1512278142475077E-2</v>
      </c>
      <c r="J19" s="47">
        <v>197.1</v>
      </c>
      <c r="K19" s="47">
        <v>31.1</v>
      </c>
      <c r="L19" s="50">
        <f t="shared" si="3"/>
        <v>25.832241153342071</v>
      </c>
      <c r="M19" s="50">
        <f t="shared" si="4"/>
        <v>4.0760157273918747</v>
      </c>
      <c r="N19" s="54">
        <v>756.68000000000006</v>
      </c>
      <c r="O19" s="52">
        <f t="shared" si="7"/>
        <v>23.929696969696973</v>
      </c>
      <c r="P19" s="53">
        <f t="shared" si="6"/>
        <v>4.7681339276669021</v>
      </c>
      <c r="Q19" s="22"/>
      <c r="R19" s="22"/>
    </row>
    <row r="20" spans="1:18" ht="15.75" customHeight="1">
      <c r="A20" s="45"/>
      <c r="B20" s="46" t="s">
        <v>72</v>
      </c>
      <c r="C20" s="47">
        <v>4617</v>
      </c>
      <c r="D20" s="16">
        <v>-4108</v>
      </c>
      <c r="E20" s="47">
        <v>-7</v>
      </c>
      <c r="F20" s="47">
        <v>344</v>
      </c>
      <c r="G20" s="47">
        <v>33</v>
      </c>
      <c r="H20" s="48">
        <v>10.4</v>
      </c>
      <c r="I20" s="49">
        <f t="shared" si="2"/>
        <v>7.4507255793805502E-2</v>
      </c>
      <c r="J20" s="47">
        <v>189.6</v>
      </c>
      <c r="K20" s="47">
        <v>45.9</v>
      </c>
      <c r="L20" s="50">
        <f t="shared" si="3"/>
        <v>18.23076923076923</v>
      </c>
      <c r="M20" s="50">
        <f t="shared" si="4"/>
        <v>4.4134615384615383</v>
      </c>
      <c r="N20" s="54">
        <v>1052.0899999999999</v>
      </c>
      <c r="O20" s="52">
        <f t="shared" si="7"/>
        <v>32.881515151515146</v>
      </c>
      <c r="P20" s="53">
        <f t="shared" si="6"/>
        <v>3.5810393607903497</v>
      </c>
      <c r="Q20" s="55"/>
      <c r="R20" s="55"/>
    </row>
    <row r="21" spans="1:18" ht="15.75" customHeight="1">
      <c r="A21" s="45"/>
      <c r="B21" s="46" t="s">
        <v>73</v>
      </c>
      <c r="C21" s="47">
        <v>5217</v>
      </c>
      <c r="D21" s="16">
        <v>-4665</v>
      </c>
      <c r="E21" s="47">
        <v>-13</v>
      </c>
      <c r="F21" s="47">
        <v>354</v>
      </c>
      <c r="G21" s="47">
        <v>33</v>
      </c>
      <c r="H21" s="48">
        <v>10.68</v>
      </c>
      <c r="I21" s="49">
        <f t="shared" si="2"/>
        <v>6.7855089131684879E-2</v>
      </c>
      <c r="J21" s="47">
        <v>262.5</v>
      </c>
      <c r="K21" s="47">
        <v>147.4</v>
      </c>
      <c r="L21" s="50">
        <f t="shared" si="3"/>
        <v>24.578651685393258</v>
      </c>
      <c r="M21" s="50">
        <f t="shared" si="4"/>
        <v>13.801498127340825</v>
      </c>
      <c r="N21" s="54">
        <v>1328.6399999999999</v>
      </c>
      <c r="O21" s="52">
        <f t="shared" si="7"/>
        <v>41.261818181818178</v>
      </c>
      <c r="P21" s="53">
        <f t="shared" si="6"/>
        <v>4.9670617784436413</v>
      </c>
      <c r="Q21" s="55"/>
      <c r="R21" s="55"/>
    </row>
    <row r="22" spans="1:18" ht="15.75" customHeight="1">
      <c r="A22" s="45"/>
      <c r="B22" s="46" t="s">
        <v>74</v>
      </c>
      <c r="C22" s="47">
        <v>5281</v>
      </c>
      <c r="D22" s="16">
        <v>-5019</v>
      </c>
      <c r="E22" s="47">
        <v>-16</v>
      </c>
      <c r="F22" s="57">
        <v>152</v>
      </c>
      <c r="G22" s="47">
        <v>33</v>
      </c>
      <c r="H22" s="48">
        <v>4.59</v>
      </c>
      <c r="I22" s="49">
        <f t="shared" si="2"/>
        <v>2.8782427570535882E-2</v>
      </c>
      <c r="J22" s="47">
        <v>188.5</v>
      </c>
      <c r="K22" s="47">
        <v>71.5</v>
      </c>
      <c r="L22" s="50">
        <f t="shared" si="3"/>
        <v>41.067538126361654</v>
      </c>
      <c r="M22" s="50">
        <f t="shared" si="4"/>
        <v>15.577342047930284</v>
      </c>
      <c r="N22" s="54">
        <v>1444.77</v>
      </c>
      <c r="O22" s="52">
        <f t="shared" si="7"/>
        <v>44.780909090909091</v>
      </c>
      <c r="P22" s="53">
        <f t="shared" si="6"/>
        <v>2.9030227978643497</v>
      </c>
      <c r="Q22" s="22"/>
      <c r="R22" s="22"/>
    </row>
    <row r="23" spans="1:18" ht="15.75" customHeight="1">
      <c r="A23" s="45"/>
      <c r="B23" s="46" t="s">
        <v>75</v>
      </c>
      <c r="C23" s="47">
        <v>5662</v>
      </c>
      <c r="D23" s="16">
        <v>-5364</v>
      </c>
      <c r="E23" s="47">
        <v>-34</v>
      </c>
      <c r="F23" s="57">
        <v>180</v>
      </c>
      <c r="G23" s="47">
        <v>33</v>
      </c>
      <c r="H23" s="48">
        <v>5.44</v>
      </c>
      <c r="I23" s="49">
        <f t="shared" si="2"/>
        <v>3.1790886612504413E-2</v>
      </c>
      <c r="J23" s="47">
        <v>138.5</v>
      </c>
      <c r="K23" s="47">
        <v>73.3</v>
      </c>
      <c r="L23" s="50">
        <f t="shared" si="3"/>
        <v>25.459558823529409</v>
      </c>
      <c r="M23" s="50">
        <f t="shared" si="4"/>
        <v>13.474264705882351</v>
      </c>
      <c r="N23" s="54">
        <v>1592.55</v>
      </c>
      <c r="O23" s="52">
        <f t="shared" si="7"/>
        <v>49.259090909090908</v>
      </c>
      <c r="P23" s="53">
        <f t="shared" si="6"/>
        <v>2.1498569714865741</v>
      </c>
      <c r="Q23" s="22"/>
      <c r="R23" s="22"/>
    </row>
    <row r="24" spans="1:18" ht="15.75" customHeight="1">
      <c r="A24" s="45"/>
      <c r="B24" s="46" t="s">
        <v>76</v>
      </c>
      <c r="C24" s="58">
        <v>5283</v>
      </c>
      <c r="D24" s="16">
        <v>-4991</v>
      </c>
      <c r="E24" s="47">
        <v>-16</v>
      </c>
      <c r="F24" s="57">
        <v>182</v>
      </c>
      <c r="G24" s="47">
        <v>33</v>
      </c>
      <c r="H24" s="48">
        <v>5.48</v>
      </c>
      <c r="I24" s="49">
        <f t="shared" si="2"/>
        <v>3.4450123036153697E-2</v>
      </c>
      <c r="J24" s="47">
        <v>164.4</v>
      </c>
      <c r="K24" s="47">
        <v>62.7</v>
      </c>
      <c r="L24" s="50">
        <f t="shared" si="3"/>
        <v>30</v>
      </c>
      <c r="M24" s="50">
        <f t="shared" si="4"/>
        <v>11.441605839416058</v>
      </c>
      <c r="N24" s="54">
        <v>1786.25</v>
      </c>
      <c r="O24" s="52">
        <f t="shared" si="7"/>
        <v>55.128787878787875</v>
      </c>
      <c r="P24" s="53">
        <f t="shared" si="6"/>
        <v>2.0597224130823144</v>
      </c>
      <c r="Q24" s="22"/>
      <c r="R24" s="22"/>
    </row>
    <row r="25" spans="1:18" ht="15.75" customHeight="1">
      <c r="A25" s="45"/>
      <c r="B25" s="46" t="s">
        <v>77</v>
      </c>
      <c r="C25" s="47">
        <v>5318</v>
      </c>
      <c r="D25" s="16">
        <v>-4846</v>
      </c>
      <c r="E25" s="47">
        <v>-16</v>
      </c>
      <c r="F25" s="57">
        <v>329</v>
      </c>
      <c r="G25" s="47">
        <v>33</v>
      </c>
      <c r="H25" s="48">
        <v>9.9499999999999993</v>
      </c>
      <c r="I25" s="49">
        <f t="shared" si="2"/>
        <v>6.1865362918390371E-2</v>
      </c>
      <c r="J25" s="47">
        <v>301.5</v>
      </c>
      <c r="K25" s="47">
        <v>148.5</v>
      </c>
      <c r="L25" s="50">
        <f t="shared" si="3"/>
        <v>30.301507537688444</v>
      </c>
      <c r="M25" s="50">
        <f t="shared" si="4"/>
        <v>14.924623115577891</v>
      </c>
      <c r="N25" s="54">
        <v>2069</v>
      </c>
      <c r="O25" s="52">
        <f t="shared" si="7"/>
        <v>63.696969696969695</v>
      </c>
      <c r="P25" s="53">
        <f t="shared" si="6"/>
        <v>3.5323501427212181</v>
      </c>
      <c r="Q25" s="22"/>
      <c r="R25" s="22"/>
    </row>
    <row r="26" spans="1:18" ht="14.4">
      <c r="A26" s="45"/>
      <c r="B26" s="46" t="s">
        <v>78</v>
      </c>
      <c r="C26" s="47">
        <v>5975</v>
      </c>
      <c r="D26" s="16">
        <v>-5448</v>
      </c>
      <c r="E26" s="47">
        <v>-15</v>
      </c>
      <c r="F26" s="47">
        <v>392</v>
      </c>
      <c r="G26" s="47">
        <v>33</v>
      </c>
      <c r="H26" s="48">
        <v>11.65</v>
      </c>
      <c r="I26" s="49">
        <f t="shared" si="2"/>
        <v>6.5606694560669462E-2</v>
      </c>
      <c r="J26" s="47">
        <v>360</v>
      </c>
      <c r="K26" s="47">
        <v>211.2</v>
      </c>
      <c r="L26" s="50">
        <f t="shared" si="3"/>
        <v>30.901287553648068</v>
      </c>
      <c r="M26" s="50">
        <f t="shared" si="4"/>
        <v>18.128755364806864</v>
      </c>
      <c r="N26" s="54">
        <v>2778.0099999999998</v>
      </c>
      <c r="O26" s="52">
        <f t="shared" si="7"/>
        <v>85.182121212121203</v>
      </c>
      <c r="P26" s="53">
        <f t="shared" si="6"/>
        <v>3.35281624754092</v>
      </c>
      <c r="Q26" s="22"/>
      <c r="R26" s="22"/>
    </row>
    <row r="27" spans="1:18" ht="14.4">
      <c r="A27" s="45"/>
      <c r="B27" s="46" t="s">
        <v>79</v>
      </c>
      <c r="C27" s="47">
        <v>6295</v>
      </c>
      <c r="D27" s="16">
        <v>-5556</v>
      </c>
      <c r="E27" s="47">
        <v>-16</v>
      </c>
      <c r="F27" s="47">
        <v>512</v>
      </c>
      <c r="G27" s="47">
        <v>33</v>
      </c>
      <c r="H27" s="48">
        <v>15.38</v>
      </c>
      <c r="I27" s="49">
        <f t="shared" si="2"/>
        <v>8.1334392374900713E-2</v>
      </c>
      <c r="J27" s="47">
        <v>424.9</v>
      </c>
      <c r="K27" s="47">
        <v>266.8</v>
      </c>
      <c r="L27" s="50">
        <f t="shared" si="3"/>
        <v>27.626788036410922</v>
      </c>
      <c r="M27" s="50">
        <f t="shared" si="4"/>
        <v>17.347204161248374</v>
      </c>
      <c r="N27" s="54">
        <v>3273.54</v>
      </c>
      <c r="O27" s="52">
        <f t="shared" si="7"/>
        <v>100.19818181818182</v>
      </c>
      <c r="P27" s="53">
        <f t="shared" si="6"/>
        <v>3.4516594385672033</v>
      </c>
      <c r="Q27" s="22"/>
      <c r="R27" s="22"/>
    </row>
    <row r="28" spans="1:18" ht="14.4">
      <c r="A28" s="45"/>
      <c r="B28" s="46" t="s">
        <v>80</v>
      </c>
      <c r="C28" s="47">
        <v>6602</v>
      </c>
      <c r="D28" s="16">
        <v>-5802</v>
      </c>
      <c r="E28" s="47">
        <v>-12</v>
      </c>
      <c r="F28" s="47">
        <v>574</v>
      </c>
      <c r="G28" s="47">
        <v>33</v>
      </c>
      <c r="H28" s="48">
        <v>17.3</v>
      </c>
      <c r="I28" s="49">
        <f t="shared" si="2"/>
        <v>8.6943350499848526E-2</v>
      </c>
      <c r="J28" s="47">
        <v>675</v>
      </c>
      <c r="K28" s="47">
        <v>401.3</v>
      </c>
      <c r="L28" s="50">
        <f t="shared" si="3"/>
        <v>39.017341040462426</v>
      </c>
      <c r="M28" s="50">
        <f t="shared" si="4"/>
        <v>23.196531791907514</v>
      </c>
      <c r="N28" s="54">
        <v>3872.13</v>
      </c>
      <c r="O28" s="52">
        <f t="shared" si="7"/>
        <v>118.33727272727273</v>
      </c>
      <c r="P28" s="53">
        <f t="shared" si="6"/>
        <v>4.5475950864631907</v>
      </c>
      <c r="Q28" s="22"/>
      <c r="R28" s="22"/>
    </row>
    <row r="29" spans="1:18" ht="14.4">
      <c r="A29" s="45"/>
      <c r="B29" s="46" t="s">
        <v>81</v>
      </c>
      <c r="C29" s="47">
        <v>7124</v>
      </c>
      <c r="D29" s="16">
        <v>-6569</v>
      </c>
      <c r="E29" s="47">
        <v>-33</v>
      </c>
      <c r="F29" s="57">
        <v>514</v>
      </c>
      <c r="G29" s="47">
        <v>33</v>
      </c>
      <c r="H29" s="48">
        <v>15.35</v>
      </c>
      <c r="I29" s="49">
        <f t="shared" si="2"/>
        <v>7.2150477259966317E-2</v>
      </c>
      <c r="J29" s="47">
        <v>665</v>
      </c>
      <c r="K29" s="47">
        <v>472</v>
      </c>
      <c r="L29" s="50">
        <f t="shared" si="3"/>
        <v>43.322475570032573</v>
      </c>
      <c r="M29" s="50">
        <f t="shared" si="4"/>
        <v>30.749185667752442</v>
      </c>
      <c r="N29" s="54">
        <v>4076.91</v>
      </c>
      <c r="O29" s="52">
        <f t="shared" si="7"/>
        <v>124.54272727272726</v>
      </c>
      <c r="P29" s="53">
        <f t="shared" si="6"/>
        <v>4.564698497047381</v>
      </c>
      <c r="Q29" s="22"/>
    </row>
    <row r="30" spans="1:18" ht="14.4">
      <c r="A30" s="45"/>
      <c r="B30" s="46" t="s">
        <v>82</v>
      </c>
      <c r="C30" s="59">
        <v>7658</v>
      </c>
      <c r="D30" s="60">
        <v>-7025</v>
      </c>
      <c r="E30" s="59">
        <v>-21</v>
      </c>
      <c r="F30" s="61">
        <v>521</v>
      </c>
      <c r="G30" s="47">
        <v>33</v>
      </c>
      <c r="H30" s="62">
        <v>15.63</v>
      </c>
      <c r="I30" s="49">
        <f t="shared" si="2"/>
        <v>6.803342909375816E-2</v>
      </c>
      <c r="J30" s="59">
        <v>741</v>
      </c>
      <c r="K30" s="59">
        <v>450</v>
      </c>
      <c r="L30" s="50">
        <f t="shared" si="3"/>
        <v>47.408829174664106</v>
      </c>
      <c r="M30" s="50">
        <f t="shared" si="4"/>
        <v>28.790786948176581</v>
      </c>
      <c r="N30" s="54">
        <v>4247.13</v>
      </c>
      <c r="O30" s="52">
        <f t="shared" si="7"/>
        <v>129.70090909090911</v>
      </c>
      <c r="P30" s="53">
        <f t="shared" si="6"/>
        <v>4.5913325062556503</v>
      </c>
      <c r="Q30" s="22"/>
    </row>
    <row r="31" spans="1:18" ht="14.4">
      <c r="A31" s="45"/>
      <c r="B31" s="46" t="s">
        <v>83</v>
      </c>
      <c r="C31" s="59">
        <v>7556</v>
      </c>
      <c r="D31" s="60">
        <v>-6975</v>
      </c>
      <c r="E31" s="59">
        <v>-26</v>
      </c>
      <c r="F31" s="61">
        <v>529</v>
      </c>
      <c r="G31" s="47">
        <v>33</v>
      </c>
      <c r="H31" s="62">
        <v>15.87</v>
      </c>
      <c r="I31" s="49">
        <f t="shared" si="2"/>
        <v>7.0010587612493388E-2</v>
      </c>
      <c r="J31" s="59">
        <v>1132</v>
      </c>
      <c r="K31" s="59">
        <v>528</v>
      </c>
      <c r="L31" s="50">
        <f t="shared" si="3"/>
        <v>71.329552614996857</v>
      </c>
      <c r="M31" s="50">
        <f t="shared" si="4"/>
        <v>33.270321361058606</v>
      </c>
      <c r="N31" s="54">
        <v>4960.2700000000004</v>
      </c>
      <c r="O31" s="52">
        <f t="shared" si="7"/>
        <v>151.31121212121212</v>
      </c>
      <c r="P31" s="53">
        <f t="shared" si="6"/>
        <v>5.4853833259567377</v>
      </c>
      <c r="Q31" s="22"/>
    </row>
    <row r="32" spans="1:18" ht="14.4">
      <c r="A32" s="5"/>
      <c r="B32" s="46" t="s">
        <v>84</v>
      </c>
      <c r="C32" s="59">
        <v>7841</v>
      </c>
      <c r="D32" s="60">
        <v>-7316</v>
      </c>
      <c r="E32" s="59">
        <v>-26</v>
      </c>
      <c r="F32" s="61">
        <v>506</v>
      </c>
      <c r="G32" s="47">
        <v>33</v>
      </c>
      <c r="H32" s="62">
        <v>15.23</v>
      </c>
      <c r="I32" s="49">
        <f t="shared" si="2"/>
        <v>6.4532585129447775E-2</v>
      </c>
      <c r="J32" s="59">
        <v>1357</v>
      </c>
      <c r="K32" s="59">
        <v>918</v>
      </c>
      <c r="L32" s="50">
        <f t="shared" si="3"/>
        <v>89.100459619172682</v>
      </c>
      <c r="M32" s="50">
        <f t="shared" si="4"/>
        <v>60.275771503611288</v>
      </c>
      <c r="N32" s="54">
        <v>5591</v>
      </c>
      <c r="O32" s="52">
        <f t="shared" si="7"/>
        <v>170.42424242424244</v>
      </c>
      <c r="P32" s="53">
        <f t="shared" si="6"/>
        <v>6.6745199146514933</v>
      </c>
      <c r="Q32" s="22"/>
    </row>
    <row r="33" spans="1:28" ht="14.4">
      <c r="A33" s="5"/>
      <c r="B33" s="46" t="s">
        <v>85</v>
      </c>
      <c r="C33" s="63">
        <v>9399</v>
      </c>
      <c r="D33" s="64">
        <v>-8993</v>
      </c>
      <c r="E33" s="65">
        <v>-29.59</v>
      </c>
      <c r="F33" s="66">
        <v>136</v>
      </c>
      <c r="G33" s="66">
        <v>33</v>
      </c>
      <c r="H33" s="67">
        <v>4.08</v>
      </c>
      <c r="I33" s="49">
        <f t="shared" si="2"/>
        <v>1.4469624428130653E-2</v>
      </c>
      <c r="J33" s="66">
        <v>1347</v>
      </c>
      <c r="K33" s="66">
        <v>737</v>
      </c>
      <c r="L33" s="50">
        <f t="shared" si="3"/>
        <v>330.14705882352939</v>
      </c>
      <c r="M33" s="50">
        <f t="shared" si="4"/>
        <v>180.63725490196077</v>
      </c>
      <c r="N33" s="64">
        <v>5417</v>
      </c>
      <c r="O33" s="52">
        <f t="shared" si="7"/>
        <v>165.15151515151516</v>
      </c>
      <c r="P33" s="53">
        <f t="shared" si="6"/>
        <v>6.3093577981651379</v>
      </c>
      <c r="Q33" s="22"/>
    </row>
    <row r="34" spans="1:28" ht="14.4">
      <c r="A34" s="5"/>
      <c r="B34" s="46" t="s">
        <v>86</v>
      </c>
      <c r="C34" s="63">
        <v>12407</v>
      </c>
      <c r="D34" s="64">
        <v>-12110</v>
      </c>
      <c r="E34" s="65">
        <v>-55</v>
      </c>
      <c r="F34" s="66">
        <v>248</v>
      </c>
      <c r="G34" s="66">
        <v>33</v>
      </c>
      <c r="H34" s="67">
        <v>7.62</v>
      </c>
      <c r="I34" s="49">
        <f t="shared" si="2"/>
        <v>1.99887160473926E-2</v>
      </c>
      <c r="J34" s="66">
        <v>1139</v>
      </c>
      <c r="K34" s="66">
        <v>747</v>
      </c>
      <c r="L34" s="50">
        <f t="shared" si="3"/>
        <v>149.47506561679791</v>
      </c>
      <c r="M34" s="50">
        <f t="shared" si="4"/>
        <v>98.031496062992119</v>
      </c>
      <c r="N34" s="64">
        <v>5787</v>
      </c>
      <c r="O34" s="52">
        <f t="shared" si="7"/>
        <v>176.36363636363637</v>
      </c>
      <c r="P34" s="53">
        <f t="shared" si="6"/>
        <v>5.346907216494845</v>
      </c>
      <c r="Q34" s="22"/>
    </row>
    <row r="35" spans="1:28" ht="14.4">
      <c r="A35" s="5"/>
      <c r="B35" s="46" t="s">
        <v>87</v>
      </c>
      <c r="C35" s="68">
        <f>C34+P44-Q44</f>
        <v>13976</v>
      </c>
      <c r="D35" s="69">
        <f>D34-P45+Q45</f>
        <v>-13434</v>
      </c>
      <c r="E35" s="70">
        <f>E34-P47+Q47</f>
        <v>-54.64</v>
      </c>
      <c r="F35" s="66">
        <f>F34+P50-Q50</f>
        <v>454</v>
      </c>
      <c r="G35" s="66">
        <v>33</v>
      </c>
      <c r="H35" s="67">
        <f>H34+P51-Q51</f>
        <v>13.809999999999999</v>
      </c>
      <c r="I35" s="49">
        <f t="shared" si="2"/>
        <v>3.2484258729250141E-2</v>
      </c>
      <c r="J35" s="66">
        <v>1829</v>
      </c>
      <c r="K35" s="66">
        <v>1101</v>
      </c>
      <c r="L35" s="50">
        <f t="shared" si="3"/>
        <v>132.4402606806662</v>
      </c>
      <c r="M35" s="50">
        <f t="shared" si="4"/>
        <v>79.724837074583647</v>
      </c>
      <c r="N35" s="64">
        <v>5787</v>
      </c>
      <c r="O35" s="52">
        <f t="shared" si="7"/>
        <v>176.36363636363637</v>
      </c>
      <c r="P35" s="53">
        <f t="shared" si="6"/>
        <v>8.3067010309278349</v>
      </c>
      <c r="Q35" s="22"/>
    </row>
    <row r="36" spans="1:28" ht="14.4">
      <c r="A36" s="5"/>
      <c r="B36" s="22"/>
      <c r="C36" s="22"/>
      <c r="D36" s="71"/>
      <c r="E36" s="71"/>
      <c r="F36" s="71"/>
      <c r="G36" s="71"/>
      <c r="H36" s="70">
        <f>H35*10</f>
        <v>138.1</v>
      </c>
      <c r="I36" s="70"/>
      <c r="J36" s="70">
        <f t="shared" ref="J36:L36" si="8">J35*10</f>
        <v>18290</v>
      </c>
      <c r="K36" s="70">
        <f t="shared" si="8"/>
        <v>11010</v>
      </c>
      <c r="L36" s="70">
        <f t="shared" si="8"/>
        <v>1324.4026068066619</v>
      </c>
      <c r="M36" s="71"/>
      <c r="N36" s="71"/>
      <c r="Q36" s="22"/>
    </row>
    <row r="37" spans="1:28" ht="14.4">
      <c r="A37" s="5"/>
      <c r="B37" s="72" t="s">
        <v>88</v>
      </c>
      <c r="C37" s="73" t="s">
        <v>53</v>
      </c>
      <c r="D37" s="72" t="s">
        <v>54</v>
      </c>
      <c r="E37" s="73" t="s">
        <v>55</v>
      </c>
      <c r="F37" s="72" t="s">
        <v>7</v>
      </c>
      <c r="G37" s="73" t="s">
        <v>56</v>
      </c>
      <c r="H37" s="72" t="s">
        <v>57</v>
      </c>
      <c r="I37" s="73" t="s">
        <v>58</v>
      </c>
      <c r="J37" s="72" t="s">
        <v>59</v>
      </c>
      <c r="K37" s="72" t="s">
        <v>60</v>
      </c>
      <c r="L37" s="72" t="s">
        <v>61</v>
      </c>
      <c r="M37" s="72" t="s">
        <v>62</v>
      </c>
      <c r="N37" s="72" t="s">
        <v>89</v>
      </c>
      <c r="O37" s="44" t="s">
        <v>90</v>
      </c>
      <c r="P37" s="44" t="s">
        <v>46</v>
      </c>
    </row>
    <row r="38" spans="1:28" ht="14.4">
      <c r="A38" s="74"/>
      <c r="B38" s="75" t="s">
        <v>91</v>
      </c>
      <c r="C38" s="76">
        <f t="shared" ref="C38:G38" si="9">(C34/C14)^(1/20)-1</f>
        <v>0.11970447231415271</v>
      </c>
      <c r="D38" s="76">
        <f t="shared" si="9"/>
        <v>0.122343725091691</v>
      </c>
      <c r="E38" s="76">
        <f t="shared" si="9"/>
        <v>0.18022995927654906</v>
      </c>
      <c r="F38" s="76">
        <f t="shared" si="9"/>
        <v>9.6905852598633935E-2</v>
      </c>
      <c r="G38" s="76">
        <f t="shared" si="9"/>
        <v>0</v>
      </c>
      <c r="H38" s="76">
        <f>((10*(H34/H14))^(1/20)-1)</f>
        <v>9.7750511662886508E-2</v>
      </c>
      <c r="I38" s="76">
        <f>MEDIAN(I14:I34)</f>
        <v>6.4532585129447775E-2</v>
      </c>
      <c r="J38" s="76">
        <f t="shared" ref="J38:K38" si="10">((10*(J34/J14))^(1/20)-1)</f>
        <v>0.23810172871881141</v>
      </c>
      <c r="K38" s="76">
        <f t="shared" si="10"/>
        <v>0.28445096651914081</v>
      </c>
      <c r="L38" s="77">
        <f>MEDIAN(L14:L34)</f>
        <v>30.901287553648068</v>
      </c>
      <c r="M38" s="77">
        <f>MEDIAN(M14:M34)</f>
        <v>14.924623115577891</v>
      </c>
      <c r="N38" s="76">
        <f>(N34/N14)^(1/20)-1</f>
        <v>0.19804575636661315</v>
      </c>
      <c r="O38" s="78">
        <f t="shared" ref="O38:O40" si="11">AVERAGE(L38:M38)</f>
        <v>22.912955334612981</v>
      </c>
      <c r="P38" s="77">
        <f>MEDIAN(P13:P33)</f>
        <v>4.564698497047381</v>
      </c>
    </row>
    <row r="39" spans="1:28" ht="14.4">
      <c r="A39" s="74"/>
      <c r="B39" s="79" t="s">
        <v>92</v>
      </c>
      <c r="C39" s="76">
        <f t="shared" ref="C39:H39" si="12">(C34/C24)^(1/10)-1</f>
        <v>8.9127232227734332E-2</v>
      </c>
      <c r="D39" s="76">
        <f t="shared" si="12"/>
        <v>9.2686700952913759E-2</v>
      </c>
      <c r="E39" s="76">
        <f t="shared" si="12"/>
        <v>0.13142109217668096</v>
      </c>
      <c r="F39" s="76">
        <f t="shared" si="12"/>
        <v>3.1425891841887488E-2</v>
      </c>
      <c r="G39" s="76">
        <f t="shared" si="12"/>
        <v>0</v>
      </c>
      <c r="H39" s="76">
        <f t="shared" si="12"/>
        <v>3.3516563762503226E-2</v>
      </c>
      <c r="I39" s="76">
        <f>MEDIAN(I24:I34)</f>
        <v>6.5606694560669462E-2</v>
      </c>
      <c r="J39" s="76">
        <f t="shared" ref="J39:K39" si="13">(J34/J24)^(1/10)-1</f>
        <v>0.21356262051886721</v>
      </c>
      <c r="K39" s="76">
        <f t="shared" si="13"/>
        <v>0.28116570913645145</v>
      </c>
      <c r="L39" s="77">
        <f t="shared" ref="L39:M39" si="14">MEDIAN(L24:L34)</f>
        <v>43.322475570032573</v>
      </c>
      <c r="M39" s="77">
        <f t="shared" si="14"/>
        <v>28.790786948176581</v>
      </c>
      <c r="N39" s="76">
        <f>(N34/N24)^(1/10)-1</f>
        <v>0.12473736743437858</v>
      </c>
      <c r="O39" s="78">
        <f t="shared" si="11"/>
        <v>36.056631259104577</v>
      </c>
      <c r="P39" s="77">
        <f>MEDIAN(P23:P33)</f>
        <v>4.5475950864631907</v>
      </c>
    </row>
    <row r="40" spans="1:28" ht="14.4">
      <c r="A40" s="74"/>
      <c r="B40" s="79" t="s">
        <v>93</v>
      </c>
      <c r="C40" s="80">
        <f t="shared" ref="C40:H40" si="15">(C34/C29)^(1/5)-1</f>
        <v>0.11734830442088029</v>
      </c>
      <c r="D40" s="80">
        <f t="shared" si="15"/>
        <v>0.13013148993722634</v>
      </c>
      <c r="E40" s="80">
        <f t="shared" si="15"/>
        <v>0.10756634324829006</v>
      </c>
      <c r="F40" s="80">
        <f t="shared" si="15"/>
        <v>-0.13563392660945439</v>
      </c>
      <c r="G40" s="80">
        <f t="shared" si="15"/>
        <v>0</v>
      </c>
      <c r="H40" s="80">
        <f t="shared" si="15"/>
        <v>-0.13070072323105653</v>
      </c>
      <c r="I40" s="76">
        <f>MEDIAN(I29:I34)</f>
        <v>6.6283007111602968E-2</v>
      </c>
      <c r="J40" s="80">
        <f t="shared" ref="J40:K40" si="16">(J34/J29)^(1/5)-1</f>
        <v>0.11362870225201527</v>
      </c>
      <c r="K40" s="80">
        <f t="shared" si="16"/>
        <v>9.6164468655522972E-2</v>
      </c>
      <c r="L40" s="81">
        <f t="shared" ref="L40:M40" si="17">MEDIAN(L29:L34)</f>
        <v>80.215006117084769</v>
      </c>
      <c r="M40" s="81">
        <f t="shared" si="17"/>
        <v>46.773046432334951</v>
      </c>
      <c r="N40" s="80">
        <f>(N34/N29)^(1/5)-1</f>
        <v>7.2567100906468118E-2</v>
      </c>
      <c r="O40" s="78">
        <f t="shared" si="11"/>
        <v>63.49402627470986</v>
      </c>
      <c r="P40" s="81">
        <f>MEDIAN(P28:P33)</f>
        <v>5.038357916106194</v>
      </c>
    </row>
    <row r="41" spans="1:28" ht="14.4">
      <c r="A41" s="74"/>
      <c r="B41" s="75" t="s">
        <v>94</v>
      </c>
      <c r="C41" s="80">
        <f t="shared" ref="C41:H41" si="18">(C34/C33)-1</f>
        <v>0.32003404617512499</v>
      </c>
      <c r="D41" s="80">
        <f t="shared" si="18"/>
        <v>0.34660291337707116</v>
      </c>
      <c r="E41" s="80">
        <f t="shared" si="18"/>
        <v>0.85873605947955389</v>
      </c>
      <c r="F41" s="80">
        <f t="shared" si="18"/>
        <v>0.82352941176470584</v>
      </c>
      <c r="G41" s="80">
        <f t="shared" si="18"/>
        <v>0</v>
      </c>
      <c r="H41" s="80">
        <f t="shared" si="18"/>
        <v>0.86764705882352944</v>
      </c>
      <c r="I41" s="80">
        <f>I34</f>
        <v>1.99887160473926E-2</v>
      </c>
      <c r="J41" s="80">
        <f t="shared" ref="J41:K41" si="19">(J34/J33)-1</f>
        <v>-0.15441722345953968</v>
      </c>
      <c r="K41" s="80">
        <f t="shared" si="19"/>
        <v>1.3568521031207537E-2</v>
      </c>
      <c r="L41" s="81">
        <f t="shared" ref="L41:M41" si="20">L34</f>
        <v>149.47506561679791</v>
      </c>
      <c r="M41" s="81">
        <f t="shared" si="20"/>
        <v>98.031496062992119</v>
      </c>
      <c r="N41" s="80">
        <f>(N34/N33)-1</f>
        <v>6.8303489016060537E-2</v>
      </c>
      <c r="O41" s="78">
        <f>AVERAGE(O38:O40)</f>
        <v>40.821204289475808</v>
      </c>
      <c r="P41" s="78">
        <f>P32</f>
        <v>6.6745199146514933</v>
      </c>
    </row>
    <row r="42" spans="1:28" ht="14.4">
      <c r="A42" s="8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28" ht="14.4">
      <c r="A43" s="74"/>
      <c r="B43" s="75" t="s">
        <v>95</v>
      </c>
      <c r="C43" s="79" t="s">
        <v>53</v>
      </c>
      <c r="D43" s="79" t="s">
        <v>7</v>
      </c>
      <c r="E43" s="75" t="s">
        <v>57</v>
      </c>
      <c r="F43" s="79" t="s">
        <v>96</v>
      </c>
      <c r="H43" s="79" t="s">
        <v>97</v>
      </c>
      <c r="I43" s="75" t="s">
        <v>98</v>
      </c>
      <c r="J43" s="75" t="s">
        <v>99</v>
      </c>
      <c r="K43" s="75" t="s">
        <v>100</v>
      </c>
      <c r="L43" s="75" t="s">
        <v>101</v>
      </c>
      <c r="M43" s="75" t="s">
        <v>102</v>
      </c>
      <c r="O43" s="75" t="s">
        <v>103</v>
      </c>
      <c r="P43" s="75" t="s">
        <v>101</v>
      </c>
      <c r="Q43" s="75" t="s">
        <v>104</v>
      </c>
      <c r="R43" s="79" t="s">
        <v>105</v>
      </c>
      <c r="T43" s="75" t="s">
        <v>103</v>
      </c>
      <c r="U43" s="75" t="s">
        <v>106</v>
      </c>
      <c r="V43" s="75" t="s">
        <v>107</v>
      </c>
      <c r="W43" s="79" t="s">
        <v>105</v>
      </c>
      <c r="Y43" s="75" t="s">
        <v>103</v>
      </c>
      <c r="Z43" s="75" t="s">
        <v>100</v>
      </c>
      <c r="AA43" s="75" t="s">
        <v>108</v>
      </c>
      <c r="AB43" s="79" t="s">
        <v>105</v>
      </c>
    </row>
    <row r="44" spans="1:28" ht="14.4">
      <c r="A44" s="83"/>
      <c r="B44" s="75" t="s">
        <v>109</v>
      </c>
      <c r="C44" s="84">
        <v>0.15</v>
      </c>
      <c r="D44" s="84">
        <v>0.15</v>
      </c>
      <c r="E44" s="84">
        <v>0.15</v>
      </c>
      <c r="F44" s="85">
        <f>AVERAGE(I38:I41)</f>
        <v>5.41027507122782E-2</v>
      </c>
      <c r="H44" s="79" t="s">
        <v>6</v>
      </c>
      <c r="I44" s="86">
        <v>0.25</v>
      </c>
      <c r="J44" s="86">
        <v>0.27</v>
      </c>
      <c r="K44" s="86">
        <v>0.32</v>
      </c>
      <c r="L44" s="86">
        <v>0.47</v>
      </c>
      <c r="M44" s="87">
        <v>0.25</v>
      </c>
      <c r="O44" s="79" t="s">
        <v>53</v>
      </c>
      <c r="P44" s="88">
        <v>4904</v>
      </c>
      <c r="Q44" s="88">
        <v>3335</v>
      </c>
      <c r="R44" s="89">
        <f t="shared" ref="R44:R51" si="21">(P44/Q44)^(1/1)-1</f>
        <v>0.47046476761619194</v>
      </c>
      <c r="T44" s="79" t="s">
        <v>53</v>
      </c>
      <c r="U44" s="88">
        <v>4192</v>
      </c>
      <c r="V44" s="88">
        <v>2936</v>
      </c>
      <c r="W44" s="89">
        <f t="shared" ref="W44:W48" si="22">(U44/V44)^(1/1)-1</f>
        <v>0.42779291553133514</v>
      </c>
      <c r="Y44" s="79" t="s">
        <v>53</v>
      </c>
      <c r="Z44" s="88">
        <v>12407</v>
      </c>
      <c r="AA44" s="88">
        <v>9399</v>
      </c>
      <c r="AB44" s="89">
        <f t="shared" ref="AB44:AB48" si="23">(Z44/AA44)^(1/1)-1</f>
        <v>0.32003404617512499</v>
      </c>
    </row>
    <row r="45" spans="1:28" ht="14.4">
      <c r="A45" s="90"/>
      <c r="B45" s="75" t="s">
        <v>110</v>
      </c>
      <c r="C45" s="91">
        <v>0.25</v>
      </c>
      <c r="D45" s="91">
        <f>(D48/F34)-1</f>
        <v>3.2523991935483876</v>
      </c>
      <c r="E45" s="91">
        <f>D45</f>
        <v>3.2523991935483876</v>
      </c>
      <c r="F45" s="92">
        <v>6.8000000000000005E-2</v>
      </c>
      <c r="H45" s="79" t="s">
        <v>96</v>
      </c>
      <c r="I45" s="93">
        <v>2.9000000000000001E-2</v>
      </c>
      <c r="J45" s="93">
        <v>1.7000000000000001E-2</v>
      </c>
      <c r="K45" s="93">
        <v>0.02</v>
      </c>
      <c r="L45" s="93">
        <v>6.8000000000000005E-2</v>
      </c>
      <c r="M45" s="94">
        <v>6.8000000000000005E-2</v>
      </c>
      <c r="N45" s="45"/>
      <c r="O45" s="79" t="s">
        <v>111</v>
      </c>
      <c r="P45" s="88">
        <v>4520</v>
      </c>
      <c r="Q45" s="66">
        <v>3196</v>
      </c>
      <c r="R45" s="89">
        <f t="shared" si="21"/>
        <v>0.41426783479349183</v>
      </c>
      <c r="T45" s="79" t="s">
        <v>111</v>
      </c>
      <c r="U45" s="88">
        <v>4045</v>
      </c>
      <c r="V45" s="66">
        <v>2761</v>
      </c>
      <c r="W45" s="89">
        <f t="shared" si="22"/>
        <v>0.46504889532777982</v>
      </c>
      <c r="Y45" s="79" t="s">
        <v>111</v>
      </c>
      <c r="Z45" s="88">
        <v>12110</v>
      </c>
      <c r="AA45" s="66">
        <v>8995</v>
      </c>
      <c r="AB45" s="89">
        <f t="shared" si="23"/>
        <v>0.34630350194552539</v>
      </c>
    </row>
    <row r="46" spans="1:28" ht="14.4">
      <c r="A46" s="90"/>
      <c r="D46" s="95"/>
      <c r="H46" s="79" t="s">
        <v>7</v>
      </c>
      <c r="I46" s="86">
        <v>0.59</v>
      </c>
      <c r="J46" s="96" t="s">
        <v>112</v>
      </c>
      <c r="K46" s="86">
        <v>0.82</v>
      </c>
      <c r="L46" s="86">
        <v>1.6</v>
      </c>
      <c r="M46" s="97">
        <v>3.25</v>
      </c>
      <c r="N46" s="95"/>
      <c r="O46" s="75" t="s">
        <v>113</v>
      </c>
      <c r="P46" s="88">
        <f t="shared" ref="P46:Q46" si="24">P44-(P58+P59+P60+P61+P64)</f>
        <v>408</v>
      </c>
      <c r="Q46" s="88">
        <f t="shared" si="24"/>
        <v>160</v>
      </c>
      <c r="R46" s="89">
        <f t="shared" si="21"/>
        <v>1.5499999999999998</v>
      </c>
      <c r="T46" s="79" t="s">
        <v>55</v>
      </c>
      <c r="U46" s="88">
        <v>21</v>
      </c>
      <c r="V46" s="66">
        <v>12</v>
      </c>
      <c r="W46" s="89">
        <f t="shared" si="22"/>
        <v>0.75</v>
      </c>
      <c r="Y46" s="79" t="s">
        <v>55</v>
      </c>
      <c r="Z46" s="88">
        <v>55</v>
      </c>
      <c r="AA46" s="66">
        <v>29</v>
      </c>
      <c r="AB46" s="89">
        <f t="shared" si="23"/>
        <v>0.89655172413793105</v>
      </c>
    </row>
    <row r="47" spans="1:28" ht="14.4">
      <c r="A47" s="90"/>
      <c r="B47" s="79" t="s">
        <v>114</v>
      </c>
      <c r="C47" s="79" t="s">
        <v>53</v>
      </c>
      <c r="D47" s="79" t="s">
        <v>115</v>
      </c>
      <c r="E47" s="79" t="s">
        <v>57</v>
      </c>
      <c r="F47" s="75" t="s">
        <v>116</v>
      </c>
      <c r="I47" s="98"/>
      <c r="N47" s="22"/>
      <c r="O47" s="79" t="s">
        <v>55</v>
      </c>
      <c r="P47" s="88">
        <v>9.75</v>
      </c>
      <c r="Q47" s="66">
        <v>10.11</v>
      </c>
      <c r="R47" s="89">
        <f t="shared" si="21"/>
        <v>-3.5608308605341144E-2</v>
      </c>
      <c r="T47" s="79" t="s">
        <v>115</v>
      </c>
      <c r="U47" s="88">
        <v>110</v>
      </c>
      <c r="V47" s="66">
        <v>143</v>
      </c>
      <c r="W47" s="89">
        <f t="shared" si="22"/>
        <v>-0.23076923076923073</v>
      </c>
      <c r="Y47" s="79" t="s">
        <v>115</v>
      </c>
      <c r="Z47" s="88">
        <v>248</v>
      </c>
      <c r="AA47" s="66">
        <v>136</v>
      </c>
      <c r="AB47" s="89">
        <f t="shared" si="23"/>
        <v>0.82352941176470584</v>
      </c>
    </row>
    <row r="48" spans="1:28" ht="14.4">
      <c r="A48" s="74"/>
      <c r="B48" s="75" t="s">
        <v>117</v>
      </c>
      <c r="C48" s="99">
        <f>FV(C45,1,0,-C34,0)</f>
        <v>15508.75</v>
      </c>
      <c r="D48" s="99">
        <f>C48*F45</f>
        <v>1054.595</v>
      </c>
      <c r="E48" s="99">
        <f>FV(E45,1,0,-H34,0)</f>
        <v>32.403281854838717</v>
      </c>
      <c r="F48" s="99">
        <f t="shared" ref="F48:F50" si="25">E48*30</f>
        <v>972.09845564516149</v>
      </c>
      <c r="H48" s="100"/>
      <c r="I48" s="101" t="s">
        <v>118</v>
      </c>
      <c r="J48" s="101" t="s">
        <v>119</v>
      </c>
      <c r="K48" s="101" t="s">
        <v>106</v>
      </c>
      <c r="L48" s="101" t="s">
        <v>101</v>
      </c>
      <c r="M48" s="101" t="s">
        <v>120</v>
      </c>
      <c r="N48" s="22"/>
      <c r="O48" s="75" t="s">
        <v>121</v>
      </c>
      <c r="P48" s="102">
        <f t="shared" ref="P48:Q48" si="26">P46-P47</f>
        <v>398.25</v>
      </c>
      <c r="Q48" s="102">
        <f t="shared" si="26"/>
        <v>149.88999999999999</v>
      </c>
      <c r="R48" s="89">
        <f t="shared" si="21"/>
        <v>1.656948428847822</v>
      </c>
      <c r="T48" s="79" t="s">
        <v>57</v>
      </c>
      <c r="U48" s="88">
        <v>3.52</v>
      </c>
      <c r="V48" s="66">
        <v>4.3499999999999996</v>
      </c>
      <c r="W48" s="89">
        <f t="shared" si="22"/>
        <v>-0.19080459770114933</v>
      </c>
      <c r="Y48" s="79" t="s">
        <v>57</v>
      </c>
      <c r="Z48" s="88">
        <v>7.62</v>
      </c>
      <c r="AA48" s="66">
        <v>4.08</v>
      </c>
      <c r="AB48" s="89">
        <f t="shared" si="23"/>
        <v>0.86764705882352944</v>
      </c>
    </row>
    <row r="49" spans="1:28" ht="14.4">
      <c r="A49" s="82"/>
      <c r="B49" s="75" t="s">
        <v>122</v>
      </c>
      <c r="C49" s="99">
        <f>FV(C44,5,0,-C48,0)</f>
        <v>31193.635781640616</v>
      </c>
      <c r="D49" s="99">
        <f>C49*F44</f>
        <v>1687.6615005037036</v>
      </c>
      <c r="E49" s="99">
        <f>(D49*E48)/D48</f>
        <v>51.854760620315425</v>
      </c>
      <c r="F49" s="99">
        <f t="shared" si="25"/>
        <v>1555.6428186094627</v>
      </c>
      <c r="I49" s="96">
        <v>1.1100000000000001</v>
      </c>
      <c r="J49" s="96">
        <v>-0.92</v>
      </c>
      <c r="K49" s="96">
        <v>3.52</v>
      </c>
      <c r="L49" s="96">
        <v>10.1</v>
      </c>
      <c r="M49" s="103">
        <f>SUM(I49:L49)</f>
        <v>13.809999999999999</v>
      </c>
      <c r="N49" s="22"/>
      <c r="O49" s="75" t="s">
        <v>123</v>
      </c>
      <c r="P49" s="102">
        <f t="shared" ref="P49:Q49" si="27">P48-P63</f>
        <v>385.25</v>
      </c>
      <c r="Q49" s="102">
        <f t="shared" si="27"/>
        <v>138.88999999999999</v>
      </c>
      <c r="R49" s="89">
        <f t="shared" si="21"/>
        <v>1.7737778097775219</v>
      </c>
      <c r="T49" s="79" t="s">
        <v>58</v>
      </c>
      <c r="U49" s="104">
        <f t="shared" ref="U49:V49" si="28">U47/U44</f>
        <v>2.6240458015267174E-2</v>
      </c>
      <c r="V49" s="104">
        <f t="shared" si="28"/>
        <v>4.8705722070844684E-2</v>
      </c>
      <c r="W49" s="105">
        <f t="shared" ref="W49:W50" si="29">U49-V49</f>
        <v>-2.246526405557751E-2</v>
      </c>
      <c r="Y49" s="79" t="s">
        <v>58</v>
      </c>
      <c r="Z49" s="104">
        <f t="shared" ref="Z49:AA49" si="30">Z47/Z44</f>
        <v>1.99887160473926E-2</v>
      </c>
      <c r="AA49" s="104">
        <f t="shared" si="30"/>
        <v>1.4469624428130653E-2</v>
      </c>
      <c r="AB49" s="105">
        <f t="shared" ref="AB49:AB50" si="31">Z49-AA49</f>
        <v>5.5190916192619476E-3</v>
      </c>
    </row>
    <row r="50" spans="1:28" ht="14.4">
      <c r="A50" s="83"/>
      <c r="B50" s="101" t="s">
        <v>124</v>
      </c>
      <c r="C50" s="106">
        <f t="shared" ref="C50:E50" si="32">FV(C44,5,0,-C49,0)</f>
        <v>62741.543533660013</v>
      </c>
      <c r="D50" s="106">
        <f t="shared" si="32"/>
        <v>3394.4900891051579</v>
      </c>
      <c r="E50" s="106">
        <f t="shared" si="32"/>
        <v>104.29844547976336</v>
      </c>
      <c r="F50" s="99">
        <f t="shared" si="25"/>
        <v>3128.9533643929008</v>
      </c>
      <c r="O50" s="79" t="s">
        <v>115</v>
      </c>
      <c r="P50" s="88">
        <v>335</v>
      </c>
      <c r="Q50" s="66">
        <v>129</v>
      </c>
      <c r="R50" s="89">
        <f t="shared" si="21"/>
        <v>1.5968992248062017</v>
      </c>
      <c r="T50" s="79" t="s">
        <v>39</v>
      </c>
      <c r="U50" s="67">
        <f t="shared" ref="U50:V50" si="33">(U44-U45+U46)/U46</f>
        <v>8</v>
      </c>
      <c r="V50" s="67">
        <f t="shared" si="33"/>
        <v>15.583333333333334</v>
      </c>
      <c r="W50" s="107">
        <f t="shared" si="29"/>
        <v>-7.5833333333333339</v>
      </c>
      <c r="Y50" s="79" t="s">
        <v>39</v>
      </c>
      <c r="Z50" s="67">
        <f t="shared" ref="Z50:AA50" si="34">(Z44-Z45+Z46)/Z46</f>
        <v>6.4</v>
      </c>
      <c r="AA50" s="67">
        <f t="shared" si="34"/>
        <v>14.931034482758621</v>
      </c>
      <c r="AB50" s="107">
        <f t="shared" si="31"/>
        <v>-8.5310344827586206</v>
      </c>
    </row>
    <row r="51" spans="1:28" ht="14.4">
      <c r="A51" s="83"/>
      <c r="B51" s="108"/>
      <c r="C51" s="109"/>
      <c r="D51" s="109"/>
      <c r="E51" s="109"/>
      <c r="F51" s="109"/>
      <c r="G51" s="109"/>
      <c r="I51" s="110" t="s">
        <v>125</v>
      </c>
      <c r="J51" s="110" t="s">
        <v>126</v>
      </c>
      <c r="K51" s="110" t="s">
        <v>127</v>
      </c>
      <c r="L51" s="111" t="s">
        <v>128</v>
      </c>
      <c r="O51" s="79" t="s">
        <v>57</v>
      </c>
      <c r="P51" s="88">
        <v>10.1</v>
      </c>
      <c r="Q51" s="66">
        <v>3.91</v>
      </c>
      <c r="R51" s="89">
        <f t="shared" si="21"/>
        <v>1.5831202046035804</v>
      </c>
      <c r="T51" s="79" t="s">
        <v>39</v>
      </c>
      <c r="U51" s="67">
        <f t="shared" ref="U51:V51" si="35">(U44-U45+U46)/U46</f>
        <v>8</v>
      </c>
      <c r="V51" s="67">
        <f t="shared" si="35"/>
        <v>15.583333333333334</v>
      </c>
      <c r="W51" s="89">
        <f>(U51/V51)^(1/1)-1</f>
        <v>-0.48663101604278081</v>
      </c>
    </row>
    <row r="52" spans="1:28" ht="14.4">
      <c r="A52" s="112"/>
      <c r="I52" s="113">
        <v>7.62</v>
      </c>
      <c r="J52" s="114">
        <v>13.8</v>
      </c>
      <c r="K52" s="113">
        <v>32</v>
      </c>
      <c r="L52" s="115">
        <f ca="1">K54/325</f>
        <v>0.17114903846153848</v>
      </c>
      <c r="O52" s="75" t="s">
        <v>129</v>
      </c>
      <c r="P52" s="104">
        <f t="shared" ref="P52:Q52" si="36">P48/P45</f>
        <v>8.8108407079646012E-2</v>
      </c>
      <c r="Q52" s="104">
        <f t="shared" si="36"/>
        <v>4.6899249061326656E-2</v>
      </c>
      <c r="R52" s="105">
        <f t="shared" ref="R52:R54" si="37">P52-Q52</f>
        <v>4.1209158018319356E-2</v>
      </c>
    </row>
    <row r="53" spans="1:28" ht="14.4">
      <c r="A53" s="74"/>
      <c r="I53" s="110" t="s">
        <v>130</v>
      </c>
      <c r="J53" s="110" t="s">
        <v>130</v>
      </c>
      <c r="K53" s="110" t="s">
        <v>131</v>
      </c>
      <c r="L53" s="116"/>
      <c r="O53" s="79" t="s">
        <v>58</v>
      </c>
      <c r="P53" s="104">
        <f t="shared" ref="P53:Q53" si="38">P50/P44</f>
        <v>6.8311582381729199E-2</v>
      </c>
      <c r="Q53" s="104">
        <f t="shared" si="38"/>
        <v>3.8680659670164916E-2</v>
      </c>
      <c r="R53" s="105">
        <f t="shared" si="37"/>
        <v>2.9630922711564284E-2</v>
      </c>
      <c r="U53" s="101" t="s">
        <v>132</v>
      </c>
      <c r="V53" s="75" t="s">
        <v>100</v>
      </c>
      <c r="W53" s="75" t="s">
        <v>108</v>
      </c>
      <c r="X53" s="117" t="s">
        <v>133</v>
      </c>
      <c r="Y53" s="117" t="s">
        <v>105</v>
      </c>
    </row>
    <row r="54" spans="1:28" ht="14.4">
      <c r="A54" s="74"/>
      <c r="H54" s="118"/>
      <c r="I54" s="119">
        <f>C4/I52</f>
        <v>144.750656167979</v>
      </c>
      <c r="J54" s="119">
        <f ca="1">C3/J52</f>
        <v>128.981884057971</v>
      </c>
      <c r="K54" s="119">
        <f ca="1">C3/K52</f>
        <v>55.623437500000001</v>
      </c>
      <c r="L54" s="120"/>
      <c r="N54" s="100"/>
      <c r="O54" s="79" t="s">
        <v>39</v>
      </c>
      <c r="P54" s="67">
        <f t="shared" ref="P54:Q54" si="39">(P44-P45+P47)/P47</f>
        <v>40.384615384615387</v>
      </c>
      <c r="Q54" s="67">
        <f t="shared" si="39"/>
        <v>14.74876360039565</v>
      </c>
      <c r="R54" s="107">
        <f t="shared" si="37"/>
        <v>25.635851784219739</v>
      </c>
      <c r="U54" s="101" t="s">
        <v>134</v>
      </c>
      <c r="V54" s="121">
        <v>8160</v>
      </c>
      <c r="W54" s="121">
        <v>6474</v>
      </c>
      <c r="X54" s="80">
        <f t="shared" ref="X54:X56" si="40">V54/$V$58</f>
        <v>0.65642345748531894</v>
      </c>
      <c r="Y54" s="87">
        <f t="shared" ref="Y54:Y56" si="41">(V54/W54)^(1/1)-1</f>
        <v>0.26042632066728455</v>
      </c>
    </row>
    <row r="55" spans="1:28" ht="14.4">
      <c r="A55" s="74"/>
      <c r="H55" s="118"/>
      <c r="I55" s="122"/>
      <c r="N55" s="100"/>
      <c r="P55" s="123"/>
      <c r="U55" s="101" t="s">
        <v>135</v>
      </c>
      <c r="V55" s="121">
        <v>3683</v>
      </c>
      <c r="W55" s="124">
        <v>2402</v>
      </c>
      <c r="X55" s="80">
        <f t="shared" si="40"/>
        <v>0.29627544043118009</v>
      </c>
      <c r="Y55" s="87">
        <f t="shared" si="41"/>
        <v>0.53330557868442963</v>
      </c>
    </row>
    <row r="56" spans="1:28" ht="14.4">
      <c r="A56" s="74"/>
      <c r="H56" s="118"/>
      <c r="I56" s="122"/>
      <c r="N56" s="100"/>
      <c r="U56" s="101" t="s">
        <v>136</v>
      </c>
      <c r="V56" s="121">
        <v>588</v>
      </c>
      <c r="W56" s="124">
        <v>522</v>
      </c>
      <c r="X56" s="80">
        <f t="shared" si="40"/>
        <v>4.7301102083500926E-2</v>
      </c>
      <c r="Y56" s="87">
        <f t="shared" si="41"/>
        <v>0.12643678160919536</v>
      </c>
    </row>
    <row r="57" spans="1:28" ht="14.4">
      <c r="A57" s="74"/>
      <c r="H57" s="118"/>
      <c r="I57" s="122"/>
      <c r="N57" s="100"/>
      <c r="O57" s="75" t="s">
        <v>137</v>
      </c>
      <c r="P57" s="75" t="s">
        <v>101</v>
      </c>
      <c r="Q57" s="75" t="s">
        <v>104</v>
      </c>
      <c r="R57" s="117" t="s">
        <v>133</v>
      </c>
      <c r="S57" s="117" t="s">
        <v>105</v>
      </c>
    </row>
    <row r="58" spans="1:28" ht="14.4">
      <c r="A58" s="83"/>
      <c r="B58" s="45"/>
      <c r="O58" s="101" t="s">
        <v>138</v>
      </c>
      <c r="P58" s="121">
        <v>1722</v>
      </c>
      <c r="Q58" s="121">
        <v>1539</v>
      </c>
      <c r="R58" s="80">
        <f t="shared" ref="R58:R64" si="42">P58/$P$66</f>
        <v>0.38107883817427385</v>
      </c>
      <c r="S58" s="87">
        <f t="shared" ref="S58:S64" si="43">(P58/Q58)^(1/1)-1</f>
        <v>0.11890838206627685</v>
      </c>
      <c r="U58" s="125" t="s">
        <v>139</v>
      </c>
      <c r="V58" s="126">
        <f t="shared" ref="V58:W58" si="44">SUM(V54:V56)</f>
        <v>12431</v>
      </c>
      <c r="W58" s="126">
        <f t="shared" si="44"/>
        <v>9398</v>
      </c>
      <c r="X58" s="80">
        <f>V58/$V$58</f>
        <v>1</v>
      </c>
      <c r="Y58" s="127">
        <f>(V58/W58)^(1/1)-1</f>
        <v>0.3227282400510747</v>
      </c>
    </row>
    <row r="59" spans="1:28" ht="14.4">
      <c r="A59" s="5"/>
      <c r="B59" s="22"/>
      <c r="F59" s="45"/>
      <c r="H59" s="45"/>
      <c r="N59" s="22"/>
      <c r="O59" s="117" t="s">
        <v>140</v>
      </c>
      <c r="P59" s="121">
        <v>1652</v>
      </c>
      <c r="Q59" s="124">
        <v>1061</v>
      </c>
      <c r="R59" s="80">
        <f t="shared" si="42"/>
        <v>0.3655878284923928</v>
      </c>
      <c r="S59" s="87">
        <f t="shared" si="43"/>
        <v>0.55702167766258248</v>
      </c>
    </row>
    <row r="60" spans="1:28" ht="14.4">
      <c r="A60" s="5"/>
      <c r="B60" s="22"/>
      <c r="D60" s="45"/>
      <c r="F60" s="45"/>
      <c r="H60" s="45"/>
      <c r="N60" s="22"/>
      <c r="O60" s="117" t="s">
        <v>141</v>
      </c>
      <c r="P60" s="121">
        <v>517</v>
      </c>
      <c r="Q60" s="124">
        <v>50</v>
      </c>
      <c r="R60" s="80">
        <f t="shared" si="42"/>
        <v>0.11441217150760719</v>
      </c>
      <c r="S60" s="87">
        <f t="shared" si="43"/>
        <v>9.34</v>
      </c>
    </row>
    <row r="61" spans="1:28" ht="14.4">
      <c r="A61" s="5"/>
      <c r="B61" s="22"/>
      <c r="N61" s="22"/>
      <c r="O61" s="117" t="s">
        <v>142</v>
      </c>
      <c r="P61" s="121">
        <v>202</v>
      </c>
      <c r="Q61" s="121">
        <v>181</v>
      </c>
      <c r="R61" s="80">
        <f t="shared" si="42"/>
        <v>4.470262793914246E-2</v>
      </c>
      <c r="S61" s="87">
        <f t="shared" si="43"/>
        <v>0.11602209944751385</v>
      </c>
    </row>
    <row r="62" spans="1:28" ht="14.4">
      <c r="A62" s="5"/>
      <c r="B62" s="22"/>
      <c r="D62" s="45"/>
      <c r="E62" s="45"/>
      <c r="F62" s="123"/>
      <c r="H62" s="123"/>
      <c r="N62" s="22"/>
      <c r="O62" s="117" t="s">
        <v>143</v>
      </c>
      <c r="P62" s="121">
        <v>9.75</v>
      </c>
      <c r="Q62" s="124">
        <v>10.11</v>
      </c>
      <c r="R62" s="80">
        <f t="shared" si="42"/>
        <v>2.1576763485477179E-3</v>
      </c>
      <c r="S62" s="87">
        <f t="shared" si="43"/>
        <v>-3.5608308605341144E-2</v>
      </c>
    </row>
    <row r="63" spans="1:28" ht="14.4">
      <c r="A63" s="5"/>
      <c r="B63" s="22"/>
      <c r="N63" s="22"/>
      <c r="O63" s="117" t="s">
        <v>144</v>
      </c>
      <c r="P63" s="121">
        <v>13</v>
      </c>
      <c r="Q63" s="124">
        <v>11</v>
      </c>
      <c r="R63" s="80">
        <f t="shared" si="42"/>
        <v>2.8769017980636237E-3</v>
      </c>
      <c r="S63" s="87">
        <f t="shared" si="43"/>
        <v>0.18181818181818188</v>
      </c>
    </row>
    <row r="64" spans="1:28" ht="14.4">
      <c r="A64" s="5"/>
      <c r="B64" s="22"/>
      <c r="D64" s="45"/>
      <c r="E64" s="45"/>
      <c r="F64" s="123"/>
      <c r="H64" s="123"/>
      <c r="J64" s="22"/>
      <c r="K64" s="22"/>
      <c r="L64" s="128"/>
      <c r="M64" s="22"/>
      <c r="N64" s="22"/>
      <c r="O64" s="117" t="s">
        <v>145</v>
      </c>
      <c r="P64" s="124">
        <v>403</v>
      </c>
      <c r="Q64" s="124">
        <v>344</v>
      </c>
      <c r="R64" s="80">
        <f t="shared" si="42"/>
        <v>8.9183955739972343E-2</v>
      </c>
      <c r="S64" s="87">
        <f t="shared" si="43"/>
        <v>0.17151162790697683</v>
      </c>
    </row>
    <row r="65" spans="1:19" ht="14.4">
      <c r="A65" s="5"/>
      <c r="B65" s="22"/>
      <c r="N65" s="22"/>
      <c r="O65" s="117"/>
      <c r="P65" s="129"/>
      <c r="Q65" s="129"/>
      <c r="R65" s="130"/>
      <c r="S65" s="87"/>
    </row>
    <row r="66" spans="1:19" ht="14.4">
      <c r="A66" s="5"/>
      <c r="B66" s="22"/>
      <c r="D66" s="45"/>
      <c r="E66" s="45"/>
      <c r="F66" s="123"/>
      <c r="H66" s="123"/>
      <c r="N66" s="22"/>
      <c r="O66" s="125" t="s">
        <v>139</v>
      </c>
      <c r="P66" s="126">
        <f t="shared" ref="P66:Q66" si="45">SUM(P58:P64)</f>
        <v>4518.75</v>
      </c>
      <c r="Q66" s="126">
        <f t="shared" si="45"/>
        <v>3196.11</v>
      </c>
      <c r="R66" s="131">
        <f>P66/$P$66</f>
        <v>1</v>
      </c>
      <c r="S66" s="127">
        <f>(P66/Q66)^(1/1)-1</f>
        <v>0.41382805973511538</v>
      </c>
    </row>
    <row r="67" spans="1:19" ht="14.4">
      <c r="A67" s="5"/>
      <c r="B67" s="22"/>
      <c r="N67" s="22"/>
    </row>
    <row r="68" spans="1:19" ht="14.4">
      <c r="A68" s="5"/>
      <c r="B68" s="22"/>
      <c r="D68" s="45"/>
      <c r="E68" s="45"/>
      <c r="F68" s="45"/>
      <c r="N68" s="22"/>
    </row>
    <row r="69" spans="1:19" ht="14.4">
      <c r="A69" s="5"/>
      <c r="B69" s="22"/>
      <c r="N69" s="22"/>
    </row>
    <row r="70" spans="1:19" ht="14.4">
      <c r="A70" s="1"/>
      <c r="B70" s="2"/>
      <c r="D70" s="45"/>
      <c r="E70" s="45"/>
      <c r="F70" s="100"/>
      <c r="N70" s="2"/>
    </row>
    <row r="71" spans="1:19" ht="14.4">
      <c r="A71" s="83"/>
      <c r="K71" s="22"/>
      <c r="L71" s="128"/>
    </row>
    <row r="72" spans="1:19" ht="14.4">
      <c r="A72" s="83"/>
      <c r="K72" s="22"/>
      <c r="L72" s="128"/>
      <c r="O72" s="117" t="s">
        <v>146</v>
      </c>
      <c r="P72" s="101" t="s">
        <v>147</v>
      </c>
      <c r="Q72" s="101" t="s">
        <v>148</v>
      </c>
      <c r="R72" s="101" t="s">
        <v>26</v>
      </c>
    </row>
    <row r="73" spans="1:19" ht="14.4">
      <c r="A73" s="83"/>
      <c r="K73" s="22"/>
      <c r="L73" s="128"/>
      <c r="O73" s="132" t="s">
        <v>149</v>
      </c>
      <c r="P73" s="133">
        <v>25</v>
      </c>
      <c r="Q73" s="134">
        <v>30</v>
      </c>
      <c r="R73" s="86">
        <f t="shared" ref="R73:R77" si="46">Q73/P73-1</f>
        <v>0.19999999999999996</v>
      </c>
    </row>
    <row r="74" spans="1:19" ht="14.4">
      <c r="A74" s="83"/>
      <c r="K74" s="22"/>
      <c r="L74" s="128"/>
      <c r="O74" s="132" t="s">
        <v>150</v>
      </c>
      <c r="P74" s="133">
        <v>27</v>
      </c>
      <c r="Q74" s="134">
        <v>31.7</v>
      </c>
      <c r="R74" s="86">
        <f t="shared" si="46"/>
        <v>0.17407407407407405</v>
      </c>
    </row>
    <row r="75" spans="1:19" ht="13.8">
      <c r="A75" s="83"/>
      <c r="O75" s="132" t="s">
        <v>151</v>
      </c>
      <c r="P75" s="133">
        <v>0.01</v>
      </c>
      <c r="Q75" s="133">
        <v>21.58</v>
      </c>
      <c r="R75" s="86">
        <f t="shared" si="46"/>
        <v>2157</v>
      </c>
    </row>
    <row r="76" spans="1:19" ht="13.8">
      <c r="A76" s="83"/>
      <c r="O76" s="132" t="s">
        <v>152</v>
      </c>
      <c r="P76" s="133">
        <v>31.08</v>
      </c>
      <c r="Q76" s="134">
        <v>13.3</v>
      </c>
      <c r="R76" s="86">
        <f t="shared" si="46"/>
        <v>-0.572072072072072</v>
      </c>
    </row>
    <row r="77" spans="1:19" ht="13.8">
      <c r="A77" s="83"/>
      <c r="O77" s="132" t="s">
        <v>153</v>
      </c>
      <c r="P77" s="133">
        <v>17</v>
      </c>
      <c r="Q77" s="134">
        <v>3.5</v>
      </c>
      <c r="R77" s="86">
        <f t="shared" si="46"/>
        <v>-0.79411764705882359</v>
      </c>
    </row>
    <row r="78" spans="1:19" ht="13.8">
      <c r="A78" s="83"/>
    </row>
    <row r="79" spans="1:19" ht="13.8">
      <c r="A79" s="83"/>
      <c r="O79" s="135" t="s">
        <v>139</v>
      </c>
      <c r="P79" s="136">
        <f t="shared" ref="P79:Q79" si="47">SUM(P73:P77)</f>
        <v>100.09</v>
      </c>
      <c r="Q79" s="136">
        <f t="shared" si="47"/>
        <v>100.08</v>
      </c>
      <c r="R79" s="137">
        <f>Q79/P79-1</f>
        <v>-9.9910080927245737E-5</v>
      </c>
    </row>
    <row r="80" spans="1:19" ht="13.8">
      <c r="A80" s="83"/>
    </row>
    <row r="81" spans="1:14" ht="13.8">
      <c r="A81" s="83"/>
    </row>
    <row r="82" spans="1:14" ht="13.8">
      <c r="A82" s="83"/>
    </row>
    <row r="83" spans="1:14" ht="13.8">
      <c r="A83" s="83"/>
    </row>
    <row r="84" spans="1:14" ht="13.8">
      <c r="A84" s="83"/>
      <c r="B84" s="138" t="s">
        <v>154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40"/>
    </row>
    <row r="85" spans="1:14" ht="13.8">
      <c r="A85" s="83"/>
      <c r="B85" s="141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40"/>
    </row>
    <row r="86" spans="1:14" ht="13.8">
      <c r="A86" s="83"/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4"/>
    </row>
    <row r="87" spans="1:14" ht="13.8">
      <c r="A87" s="83"/>
    </row>
    <row r="88" spans="1:14" ht="13.8">
      <c r="A88" s="83"/>
    </row>
    <row r="89" spans="1:14" ht="13.8">
      <c r="A89" s="83"/>
    </row>
    <row r="90" spans="1:14" ht="13.8">
      <c r="A90" s="83"/>
    </row>
    <row r="91" spans="1:14" ht="13.8">
      <c r="A91" s="83"/>
    </row>
    <row r="92" spans="1:14" ht="13.8">
      <c r="A92" s="83"/>
    </row>
    <row r="93" spans="1:14" ht="13.8">
      <c r="A93" s="83"/>
    </row>
    <row r="94" spans="1:14" ht="13.8">
      <c r="A94" s="83"/>
    </row>
    <row r="95" spans="1:14" ht="13.8">
      <c r="A95" s="83"/>
    </row>
    <row r="96" spans="1:14" ht="13.8">
      <c r="A96" s="83"/>
    </row>
    <row r="97" spans="1:5" ht="13.8">
      <c r="A97" s="83"/>
    </row>
    <row r="98" spans="1:5" ht="13.8">
      <c r="A98" s="83"/>
    </row>
    <row r="99" spans="1:5" ht="13.8">
      <c r="A99" s="83"/>
    </row>
    <row r="100" spans="1:5" ht="13.8">
      <c r="A100" s="83"/>
    </row>
    <row r="101" spans="1:5" ht="13.8">
      <c r="A101" s="83"/>
    </row>
    <row r="102" spans="1:5" ht="13.8">
      <c r="A102" s="83"/>
    </row>
    <row r="103" spans="1:5" ht="13.8">
      <c r="A103" s="83"/>
    </row>
    <row r="104" spans="1:5" ht="13.8">
      <c r="A104" s="83"/>
    </row>
    <row r="105" spans="1:5" ht="13.8">
      <c r="A105" s="83"/>
    </row>
    <row r="106" spans="1:5" ht="13.8">
      <c r="A106" s="83"/>
    </row>
    <row r="107" spans="1:5" ht="13.8">
      <c r="A107" s="83"/>
    </row>
    <row r="108" spans="1:5" ht="13.8">
      <c r="A108" s="83"/>
    </row>
    <row r="109" spans="1:5" ht="13.8">
      <c r="A109" s="83"/>
      <c r="C109" s="45"/>
      <c r="D109" s="100"/>
      <c r="E109" s="100"/>
    </row>
    <row r="110" spans="1:5" ht="13.8">
      <c r="A110" s="83"/>
      <c r="C110" s="45"/>
      <c r="D110" s="100"/>
      <c r="E110" s="100"/>
    </row>
    <row r="111" spans="1:5" ht="13.8">
      <c r="A111" s="83"/>
      <c r="C111" s="45"/>
      <c r="D111" s="100"/>
      <c r="E111" s="100"/>
    </row>
    <row r="112" spans="1:5" ht="13.8">
      <c r="A112" s="83"/>
      <c r="C112" s="45"/>
      <c r="D112" s="100"/>
      <c r="E112" s="100"/>
    </row>
    <row r="113" spans="1:1" ht="13.8">
      <c r="A113" s="83"/>
    </row>
    <row r="114" spans="1:1" ht="13.8">
      <c r="A114" s="83"/>
    </row>
    <row r="115" spans="1:1" ht="13.8">
      <c r="A115" s="83"/>
    </row>
    <row r="116" spans="1:1" ht="13.8">
      <c r="A116" s="83"/>
    </row>
    <row r="117" spans="1:1" ht="13.8">
      <c r="A117" s="83"/>
    </row>
    <row r="118" spans="1:1" ht="13.8">
      <c r="A118" s="83"/>
    </row>
    <row r="119" spans="1:1" ht="13.8">
      <c r="A119" s="83"/>
    </row>
    <row r="120" spans="1:1" ht="13.8">
      <c r="A120" s="83"/>
    </row>
    <row r="121" spans="1:1" ht="13.8">
      <c r="A121" s="83"/>
    </row>
    <row r="122" spans="1:1" ht="13.8">
      <c r="A122" s="83"/>
    </row>
    <row r="123" spans="1:1" ht="13.8">
      <c r="A123" s="83"/>
    </row>
    <row r="124" spans="1:1" ht="13.8">
      <c r="A124" s="83"/>
    </row>
    <row r="125" spans="1:1" ht="13.8">
      <c r="A125" s="83"/>
    </row>
    <row r="126" spans="1:1" ht="13.8">
      <c r="A126" s="83"/>
    </row>
    <row r="127" spans="1:1" ht="13.8">
      <c r="A127" s="83"/>
    </row>
    <row r="128" spans="1:1" ht="13.8">
      <c r="A128" s="83"/>
    </row>
    <row r="129" spans="1:1" ht="13.8">
      <c r="A129" s="83"/>
    </row>
    <row r="130" spans="1:1" ht="13.8">
      <c r="A130" s="83"/>
    </row>
    <row r="131" spans="1:1" ht="13.8">
      <c r="A131" s="83"/>
    </row>
    <row r="132" spans="1:1" ht="13.8">
      <c r="A132" s="83"/>
    </row>
    <row r="133" spans="1:1" ht="13.8">
      <c r="A133" s="83"/>
    </row>
    <row r="134" spans="1:1" ht="13.8">
      <c r="A134" s="83"/>
    </row>
    <row r="135" spans="1:1" ht="13.8">
      <c r="A135" s="83"/>
    </row>
    <row r="136" spans="1:1" ht="13.8">
      <c r="A136" s="83"/>
    </row>
    <row r="137" spans="1:1" ht="13.8">
      <c r="A137" s="83"/>
    </row>
    <row r="138" spans="1:1" ht="13.8">
      <c r="A138" s="83"/>
    </row>
    <row r="139" spans="1:1" ht="13.8">
      <c r="A139" s="83"/>
    </row>
    <row r="140" spans="1:1" ht="13.8">
      <c r="A140" s="83"/>
    </row>
    <row r="141" spans="1:1" ht="13.8">
      <c r="A141" s="83"/>
    </row>
    <row r="142" spans="1:1" ht="13.8">
      <c r="A142" s="83"/>
    </row>
    <row r="143" spans="1:1" ht="13.8">
      <c r="A143" s="83"/>
    </row>
    <row r="144" spans="1:1" ht="13.8">
      <c r="A144" s="83"/>
    </row>
    <row r="145" spans="1:1" ht="13.8">
      <c r="A145" s="83"/>
    </row>
    <row r="146" spans="1:1" ht="13.8">
      <c r="A146" s="83"/>
    </row>
    <row r="147" spans="1:1" ht="13.8">
      <c r="A147" s="83"/>
    </row>
    <row r="148" spans="1:1" ht="13.8">
      <c r="A148" s="83"/>
    </row>
    <row r="149" spans="1:1" ht="13.8">
      <c r="A149" s="83"/>
    </row>
    <row r="150" spans="1:1" ht="13.8">
      <c r="A150" s="83"/>
    </row>
    <row r="151" spans="1:1" ht="13.8">
      <c r="A151" s="83"/>
    </row>
    <row r="152" spans="1:1" ht="13.8">
      <c r="A152" s="83"/>
    </row>
    <row r="153" spans="1:1" ht="13.8">
      <c r="A153" s="83"/>
    </row>
    <row r="154" spans="1:1" ht="13.8">
      <c r="A154" s="83"/>
    </row>
    <row r="155" spans="1:1" ht="13.8">
      <c r="A155" s="83"/>
    </row>
    <row r="156" spans="1:1" ht="13.8">
      <c r="A156" s="83"/>
    </row>
    <row r="157" spans="1:1" ht="13.8">
      <c r="A157" s="83"/>
    </row>
    <row r="158" spans="1:1" ht="13.8">
      <c r="A158" s="83"/>
    </row>
    <row r="159" spans="1:1" ht="13.8">
      <c r="A159" s="83"/>
    </row>
    <row r="160" spans="1:1" ht="13.8">
      <c r="A160" s="83"/>
    </row>
    <row r="161" spans="1:1" ht="13.8">
      <c r="A161" s="83"/>
    </row>
    <row r="162" spans="1:1" ht="13.8">
      <c r="A162" s="83"/>
    </row>
    <row r="163" spans="1:1" ht="13.8">
      <c r="A163" s="83"/>
    </row>
    <row r="164" spans="1:1" ht="13.8">
      <c r="A164" s="83"/>
    </row>
    <row r="165" spans="1:1" ht="13.8">
      <c r="A165" s="83"/>
    </row>
    <row r="166" spans="1:1" ht="13.8">
      <c r="A166" s="83"/>
    </row>
    <row r="167" spans="1:1" ht="13.8">
      <c r="A167" s="83"/>
    </row>
    <row r="168" spans="1:1" ht="13.8">
      <c r="A168" s="83"/>
    </row>
    <row r="169" spans="1:1" ht="13.8">
      <c r="A169" s="83"/>
    </row>
    <row r="170" spans="1:1" ht="13.8">
      <c r="A170" s="83"/>
    </row>
    <row r="171" spans="1:1" ht="13.8">
      <c r="A171" s="83"/>
    </row>
    <row r="172" spans="1:1" ht="13.8">
      <c r="A172" s="83"/>
    </row>
    <row r="173" spans="1:1" ht="13.8">
      <c r="A173" s="83"/>
    </row>
    <row r="174" spans="1:1" ht="13.8">
      <c r="A174" s="83"/>
    </row>
    <row r="175" spans="1:1" ht="13.8">
      <c r="A175" s="83"/>
    </row>
    <row r="176" spans="1:1" ht="13.8">
      <c r="A176" s="83"/>
    </row>
    <row r="177" spans="1:1" ht="13.8">
      <c r="A177" s="83"/>
    </row>
    <row r="178" spans="1:1" ht="13.8">
      <c r="A178" s="83"/>
    </row>
    <row r="179" spans="1:1" ht="13.8">
      <c r="A179" s="83"/>
    </row>
    <row r="180" spans="1:1" ht="13.8">
      <c r="A180" s="83"/>
    </row>
    <row r="181" spans="1:1" ht="13.8">
      <c r="A181" s="83"/>
    </row>
    <row r="182" spans="1:1" ht="13.8">
      <c r="A182" s="83"/>
    </row>
    <row r="183" spans="1:1" ht="13.8">
      <c r="A183" s="83"/>
    </row>
    <row r="184" spans="1:1" ht="13.8">
      <c r="A184" s="83"/>
    </row>
    <row r="185" spans="1:1" ht="13.8">
      <c r="A185" s="83"/>
    </row>
    <row r="186" spans="1:1" ht="13.8">
      <c r="A186" s="83"/>
    </row>
    <row r="187" spans="1:1" ht="13.8">
      <c r="A187" s="83"/>
    </row>
    <row r="188" spans="1:1" ht="13.8">
      <c r="A188" s="83"/>
    </row>
    <row r="189" spans="1:1" ht="13.8">
      <c r="A189" s="83"/>
    </row>
    <row r="190" spans="1:1" ht="13.8">
      <c r="A190" s="83"/>
    </row>
    <row r="191" spans="1:1" ht="13.8">
      <c r="A191" s="83"/>
    </row>
    <row r="192" spans="1:1" ht="13.8">
      <c r="A192" s="83"/>
    </row>
    <row r="193" spans="1:1" ht="13.8">
      <c r="A193" s="83"/>
    </row>
    <row r="194" spans="1:1" ht="13.8">
      <c r="A194" s="83"/>
    </row>
    <row r="195" spans="1:1" ht="13.8">
      <c r="A195" s="83"/>
    </row>
    <row r="196" spans="1:1" ht="13.8">
      <c r="A196" s="83"/>
    </row>
    <row r="197" spans="1:1" ht="13.8">
      <c r="A197" s="83"/>
    </row>
    <row r="198" spans="1:1" ht="13.8">
      <c r="A198" s="83"/>
    </row>
    <row r="199" spans="1:1" ht="13.8">
      <c r="A199" s="83"/>
    </row>
    <row r="200" spans="1:1" ht="13.8">
      <c r="A200" s="83"/>
    </row>
    <row r="201" spans="1:1" ht="13.8">
      <c r="A201" s="83"/>
    </row>
    <row r="202" spans="1:1" ht="13.8">
      <c r="A202" s="83"/>
    </row>
    <row r="203" spans="1:1" ht="13.8">
      <c r="A203" s="83"/>
    </row>
    <row r="204" spans="1:1" ht="13.8">
      <c r="A204" s="83"/>
    </row>
    <row r="205" spans="1:1" ht="13.8">
      <c r="A205" s="83"/>
    </row>
    <row r="206" spans="1:1" ht="13.8">
      <c r="A206" s="83"/>
    </row>
    <row r="207" spans="1:1" ht="13.8">
      <c r="A207" s="83"/>
    </row>
    <row r="208" spans="1:1" ht="13.8">
      <c r="A208" s="83"/>
    </row>
    <row r="209" spans="1:1" ht="13.8">
      <c r="A209" s="83"/>
    </row>
    <row r="210" spans="1:1" ht="13.8">
      <c r="A210" s="83"/>
    </row>
    <row r="211" spans="1:1" ht="13.8">
      <c r="A211" s="83"/>
    </row>
    <row r="212" spans="1:1" ht="13.8">
      <c r="A212" s="83"/>
    </row>
    <row r="213" spans="1:1" ht="13.8">
      <c r="A213" s="83"/>
    </row>
    <row r="214" spans="1:1" ht="13.8">
      <c r="A214" s="83"/>
    </row>
    <row r="215" spans="1:1" ht="13.8">
      <c r="A215" s="83"/>
    </row>
    <row r="216" spans="1:1" ht="13.8">
      <c r="A216" s="83"/>
    </row>
    <row r="217" spans="1:1" ht="13.8">
      <c r="A217" s="83"/>
    </row>
    <row r="218" spans="1:1" ht="13.8">
      <c r="A218" s="83"/>
    </row>
    <row r="219" spans="1:1" ht="13.8">
      <c r="A219" s="83"/>
    </row>
    <row r="220" spans="1:1" ht="13.8">
      <c r="A220" s="83"/>
    </row>
    <row r="221" spans="1:1" ht="13.8">
      <c r="A221" s="83"/>
    </row>
    <row r="222" spans="1:1" ht="13.8">
      <c r="A222" s="83"/>
    </row>
    <row r="223" spans="1:1" ht="13.8">
      <c r="A223" s="83"/>
    </row>
    <row r="224" spans="1:1" ht="13.8">
      <c r="A224" s="83"/>
    </row>
    <row r="225" spans="1:1" ht="13.8">
      <c r="A225" s="83"/>
    </row>
    <row r="226" spans="1:1" ht="13.8">
      <c r="A226" s="83"/>
    </row>
    <row r="227" spans="1:1" ht="13.8">
      <c r="A227" s="83"/>
    </row>
    <row r="228" spans="1:1" ht="13.8">
      <c r="A228" s="83"/>
    </row>
    <row r="229" spans="1:1" ht="13.8">
      <c r="A229" s="83"/>
    </row>
    <row r="230" spans="1:1" ht="13.8">
      <c r="A230" s="83"/>
    </row>
    <row r="231" spans="1:1" ht="13.8">
      <c r="A231" s="83"/>
    </row>
    <row r="232" spans="1:1" ht="13.8">
      <c r="A232" s="83"/>
    </row>
    <row r="233" spans="1:1" ht="13.8">
      <c r="A233" s="83"/>
    </row>
    <row r="234" spans="1:1" ht="13.8">
      <c r="A234" s="83"/>
    </row>
    <row r="235" spans="1:1" ht="13.8">
      <c r="A235" s="83"/>
    </row>
    <row r="236" spans="1:1" ht="13.8">
      <c r="A236" s="83"/>
    </row>
    <row r="237" spans="1:1" ht="13.8">
      <c r="A237" s="83"/>
    </row>
    <row r="238" spans="1:1" ht="13.8">
      <c r="A238" s="83"/>
    </row>
    <row r="239" spans="1:1" ht="13.8">
      <c r="A239" s="83"/>
    </row>
    <row r="240" spans="1:1" ht="13.8">
      <c r="A240" s="83"/>
    </row>
    <row r="241" spans="1:1" ht="13.8">
      <c r="A241" s="83"/>
    </row>
    <row r="242" spans="1:1" ht="13.8">
      <c r="A242" s="83"/>
    </row>
    <row r="243" spans="1:1" ht="13.8">
      <c r="A243" s="83"/>
    </row>
    <row r="244" spans="1:1" ht="13.8">
      <c r="A244" s="83"/>
    </row>
    <row r="245" spans="1:1" ht="13.8">
      <c r="A245" s="83"/>
    </row>
    <row r="246" spans="1:1" ht="13.8">
      <c r="A246" s="83"/>
    </row>
    <row r="247" spans="1:1" ht="13.8">
      <c r="A247" s="83"/>
    </row>
    <row r="248" spans="1:1" ht="13.8">
      <c r="A248" s="83"/>
    </row>
    <row r="249" spans="1:1" ht="13.8">
      <c r="A249" s="83"/>
    </row>
    <row r="250" spans="1:1" ht="13.8">
      <c r="A250" s="83"/>
    </row>
    <row r="251" spans="1:1" ht="13.8">
      <c r="A251" s="83"/>
    </row>
    <row r="252" spans="1:1" ht="13.8">
      <c r="A252" s="83"/>
    </row>
    <row r="253" spans="1:1" ht="13.8">
      <c r="A253" s="83"/>
    </row>
    <row r="254" spans="1:1" ht="13.8">
      <c r="A254" s="83"/>
    </row>
    <row r="255" spans="1:1" ht="13.8">
      <c r="A255" s="83"/>
    </row>
    <row r="256" spans="1:1" ht="13.8">
      <c r="A256" s="83"/>
    </row>
    <row r="257" spans="1:1" ht="13.8">
      <c r="A257" s="83"/>
    </row>
    <row r="258" spans="1:1" ht="13.8">
      <c r="A258" s="83"/>
    </row>
    <row r="259" spans="1:1" ht="13.8">
      <c r="A259" s="83"/>
    </row>
    <row r="260" spans="1:1" ht="13.8">
      <c r="A260" s="83"/>
    </row>
    <row r="261" spans="1:1" ht="13.8">
      <c r="A261" s="83"/>
    </row>
    <row r="262" spans="1:1" ht="13.8">
      <c r="A262" s="83"/>
    </row>
    <row r="263" spans="1:1" ht="13.8">
      <c r="A263" s="83"/>
    </row>
    <row r="264" spans="1:1" ht="13.8">
      <c r="A264" s="83"/>
    </row>
    <row r="265" spans="1:1" ht="13.8">
      <c r="A265" s="83"/>
    </row>
    <row r="266" spans="1:1" ht="13.8">
      <c r="A266" s="83"/>
    </row>
    <row r="267" spans="1:1" ht="13.8">
      <c r="A267" s="83"/>
    </row>
    <row r="268" spans="1:1" ht="13.8">
      <c r="A268" s="83"/>
    </row>
    <row r="269" spans="1:1" ht="13.8">
      <c r="A269" s="83"/>
    </row>
    <row r="270" spans="1:1" ht="13.8">
      <c r="A270" s="83"/>
    </row>
    <row r="271" spans="1:1" ht="13.8">
      <c r="A271" s="83"/>
    </row>
    <row r="272" spans="1:1" ht="13.8">
      <c r="A272" s="83"/>
    </row>
    <row r="273" spans="1:1" ht="13.8">
      <c r="A273" s="83"/>
    </row>
    <row r="274" spans="1:1" ht="13.8">
      <c r="A274" s="83"/>
    </row>
    <row r="275" spans="1:1" ht="13.8">
      <c r="A275" s="83"/>
    </row>
    <row r="276" spans="1:1" ht="13.8">
      <c r="A276" s="83"/>
    </row>
    <row r="277" spans="1:1" ht="13.8">
      <c r="A277" s="83"/>
    </row>
    <row r="278" spans="1:1" ht="13.8">
      <c r="A278" s="83"/>
    </row>
    <row r="279" spans="1:1" ht="13.8">
      <c r="A279" s="83"/>
    </row>
    <row r="280" spans="1:1" ht="13.8">
      <c r="A280" s="83"/>
    </row>
    <row r="281" spans="1:1" ht="13.8">
      <c r="A281" s="83"/>
    </row>
    <row r="282" spans="1:1" ht="13.8">
      <c r="A282" s="83"/>
    </row>
    <row r="283" spans="1:1" ht="13.8">
      <c r="A283" s="83"/>
    </row>
    <row r="284" spans="1:1" ht="13.8">
      <c r="A284" s="83"/>
    </row>
    <row r="285" spans="1:1" ht="13.8">
      <c r="A285" s="83"/>
    </row>
    <row r="286" spans="1:1" ht="13.8">
      <c r="A286" s="83"/>
    </row>
    <row r="287" spans="1:1" ht="13.8">
      <c r="A287" s="83"/>
    </row>
    <row r="288" spans="1:1" ht="13.8">
      <c r="A288" s="83"/>
    </row>
    <row r="289" spans="1:1" ht="13.8">
      <c r="A289" s="83"/>
    </row>
    <row r="290" spans="1:1" ht="13.8">
      <c r="A290" s="83"/>
    </row>
    <row r="291" spans="1:1" ht="13.8">
      <c r="A291" s="83"/>
    </row>
    <row r="292" spans="1:1" ht="13.8">
      <c r="A292" s="83"/>
    </row>
    <row r="293" spans="1:1" ht="13.8">
      <c r="A293" s="83"/>
    </row>
    <row r="294" spans="1:1" ht="13.8">
      <c r="A294" s="83"/>
    </row>
    <row r="295" spans="1:1" ht="13.8">
      <c r="A295" s="83"/>
    </row>
    <row r="296" spans="1:1" ht="13.8">
      <c r="A296" s="83"/>
    </row>
    <row r="297" spans="1:1" ht="13.8">
      <c r="A297" s="83"/>
    </row>
    <row r="298" spans="1:1" ht="13.8">
      <c r="A298" s="83"/>
    </row>
    <row r="299" spans="1:1" ht="13.8">
      <c r="A299" s="83"/>
    </row>
    <row r="300" spans="1:1" ht="13.8">
      <c r="A300" s="83"/>
    </row>
    <row r="301" spans="1:1" ht="13.8">
      <c r="A301" s="83"/>
    </row>
    <row r="302" spans="1:1" ht="13.8">
      <c r="A302" s="83"/>
    </row>
    <row r="303" spans="1:1" ht="13.8">
      <c r="A303" s="83"/>
    </row>
    <row r="304" spans="1:1" ht="13.8">
      <c r="A304" s="83"/>
    </row>
    <row r="305" spans="1:1" ht="13.8">
      <c r="A305" s="83"/>
    </row>
    <row r="306" spans="1:1" ht="13.8">
      <c r="A306" s="83"/>
    </row>
    <row r="307" spans="1:1" ht="13.8">
      <c r="A307" s="83"/>
    </row>
    <row r="308" spans="1:1" ht="13.8">
      <c r="A308" s="83"/>
    </row>
    <row r="309" spans="1:1" ht="13.8">
      <c r="A309" s="83"/>
    </row>
    <row r="310" spans="1:1" ht="13.8">
      <c r="A310" s="83"/>
    </row>
    <row r="311" spans="1:1" ht="13.8">
      <c r="A311" s="83"/>
    </row>
    <row r="312" spans="1:1" ht="13.8">
      <c r="A312" s="83"/>
    </row>
    <row r="313" spans="1:1" ht="13.8">
      <c r="A313" s="83"/>
    </row>
    <row r="314" spans="1:1" ht="13.8">
      <c r="A314" s="83"/>
    </row>
    <row r="315" spans="1:1" ht="13.8">
      <c r="A315" s="83"/>
    </row>
    <row r="316" spans="1:1" ht="13.8">
      <c r="A316" s="83"/>
    </row>
    <row r="317" spans="1:1" ht="13.8">
      <c r="A317" s="83"/>
    </row>
    <row r="318" spans="1:1" ht="13.8">
      <c r="A318" s="83"/>
    </row>
    <row r="319" spans="1:1" ht="13.8">
      <c r="A319" s="83"/>
    </row>
    <row r="320" spans="1:1" ht="13.8">
      <c r="A320" s="83"/>
    </row>
    <row r="321" spans="1:1" ht="13.8">
      <c r="A321" s="83"/>
    </row>
    <row r="322" spans="1:1" ht="13.8">
      <c r="A322" s="83"/>
    </row>
    <row r="323" spans="1:1" ht="13.8">
      <c r="A323" s="83"/>
    </row>
    <row r="324" spans="1:1" ht="13.8">
      <c r="A324" s="83"/>
    </row>
    <row r="325" spans="1:1" ht="13.8">
      <c r="A325" s="83"/>
    </row>
    <row r="326" spans="1:1" ht="13.8">
      <c r="A326" s="83"/>
    </row>
    <row r="327" spans="1:1" ht="13.8">
      <c r="A327" s="83"/>
    </row>
    <row r="328" spans="1:1" ht="13.8">
      <c r="A328" s="83"/>
    </row>
    <row r="329" spans="1:1" ht="13.8">
      <c r="A329" s="83"/>
    </row>
    <row r="330" spans="1:1" ht="13.8">
      <c r="A330" s="83"/>
    </row>
    <row r="331" spans="1:1" ht="13.8">
      <c r="A331" s="83"/>
    </row>
    <row r="332" spans="1:1" ht="13.8">
      <c r="A332" s="83"/>
    </row>
    <row r="333" spans="1:1" ht="13.8">
      <c r="A333" s="83"/>
    </row>
    <row r="334" spans="1:1" ht="13.8">
      <c r="A334" s="83"/>
    </row>
    <row r="335" spans="1:1" ht="13.8">
      <c r="A335" s="83"/>
    </row>
    <row r="336" spans="1:1" ht="13.8">
      <c r="A336" s="83"/>
    </row>
    <row r="337" spans="1:1" ht="13.8">
      <c r="A337" s="83"/>
    </row>
    <row r="338" spans="1:1" ht="13.8">
      <c r="A338" s="83"/>
    </row>
    <row r="339" spans="1:1" ht="13.8">
      <c r="A339" s="83"/>
    </row>
    <row r="340" spans="1:1" ht="13.8">
      <c r="A340" s="83"/>
    </row>
    <row r="341" spans="1:1" ht="13.8">
      <c r="A341" s="83"/>
    </row>
    <row r="342" spans="1:1" ht="13.8">
      <c r="A342" s="83"/>
    </row>
    <row r="343" spans="1:1" ht="13.8">
      <c r="A343" s="83"/>
    </row>
    <row r="344" spans="1:1" ht="13.8">
      <c r="A344" s="83"/>
    </row>
    <row r="345" spans="1:1" ht="13.8">
      <c r="A345" s="83"/>
    </row>
    <row r="346" spans="1:1" ht="13.8">
      <c r="A346" s="83"/>
    </row>
    <row r="347" spans="1:1" ht="13.8">
      <c r="A347" s="83"/>
    </row>
    <row r="348" spans="1:1" ht="13.8">
      <c r="A348" s="83"/>
    </row>
    <row r="349" spans="1:1" ht="13.8">
      <c r="A349" s="83"/>
    </row>
    <row r="350" spans="1:1" ht="13.8">
      <c r="A350" s="83"/>
    </row>
    <row r="351" spans="1:1" ht="13.8">
      <c r="A351" s="83"/>
    </row>
    <row r="352" spans="1:1" ht="13.8">
      <c r="A352" s="83"/>
    </row>
    <row r="353" spans="1:1" ht="13.8">
      <c r="A353" s="83"/>
    </row>
    <row r="354" spans="1:1" ht="13.8">
      <c r="A354" s="83"/>
    </row>
    <row r="355" spans="1:1" ht="13.8">
      <c r="A355" s="83"/>
    </row>
    <row r="356" spans="1:1" ht="13.8">
      <c r="A356" s="83"/>
    </row>
    <row r="357" spans="1:1" ht="13.8">
      <c r="A357" s="83"/>
    </row>
    <row r="358" spans="1:1" ht="13.8">
      <c r="A358" s="83"/>
    </row>
    <row r="359" spans="1:1" ht="13.8">
      <c r="A359" s="83"/>
    </row>
    <row r="360" spans="1:1" ht="13.8">
      <c r="A360" s="83"/>
    </row>
    <row r="361" spans="1:1" ht="13.8">
      <c r="A361" s="83"/>
    </row>
    <row r="362" spans="1:1" ht="13.8">
      <c r="A362" s="83"/>
    </row>
    <row r="363" spans="1:1" ht="13.8">
      <c r="A363" s="83"/>
    </row>
    <row r="364" spans="1:1" ht="13.8">
      <c r="A364" s="83"/>
    </row>
    <row r="365" spans="1:1" ht="13.8">
      <c r="A365" s="83"/>
    </row>
    <row r="366" spans="1:1" ht="13.8">
      <c r="A366" s="83"/>
    </row>
    <row r="367" spans="1:1" ht="13.8">
      <c r="A367" s="83"/>
    </row>
    <row r="368" spans="1:1" ht="13.8">
      <c r="A368" s="83"/>
    </row>
    <row r="369" spans="1:1" ht="13.8">
      <c r="A369" s="83"/>
    </row>
    <row r="370" spans="1:1" ht="13.8">
      <c r="A370" s="83"/>
    </row>
    <row r="371" spans="1:1" ht="13.8">
      <c r="A371" s="83"/>
    </row>
    <row r="372" spans="1:1" ht="13.8">
      <c r="A372" s="83"/>
    </row>
    <row r="373" spans="1:1" ht="13.8">
      <c r="A373" s="83"/>
    </row>
    <row r="374" spans="1:1" ht="13.8">
      <c r="A374" s="83"/>
    </row>
    <row r="375" spans="1:1" ht="13.8">
      <c r="A375" s="83"/>
    </row>
    <row r="376" spans="1:1" ht="13.8">
      <c r="A376" s="83"/>
    </row>
    <row r="377" spans="1:1" ht="13.8">
      <c r="A377" s="83"/>
    </row>
    <row r="378" spans="1:1" ht="13.8">
      <c r="A378" s="83"/>
    </row>
    <row r="379" spans="1:1" ht="13.8">
      <c r="A379" s="83"/>
    </row>
    <row r="380" spans="1:1" ht="13.8">
      <c r="A380" s="83"/>
    </row>
    <row r="381" spans="1:1" ht="13.8">
      <c r="A381" s="83"/>
    </row>
    <row r="382" spans="1:1" ht="13.8">
      <c r="A382" s="83"/>
    </row>
    <row r="383" spans="1:1" ht="13.8">
      <c r="A383" s="83"/>
    </row>
    <row r="384" spans="1:1" ht="13.8">
      <c r="A384" s="83"/>
    </row>
    <row r="385" spans="1:1" ht="13.8">
      <c r="A385" s="83"/>
    </row>
    <row r="386" spans="1:1" ht="13.8">
      <c r="A386" s="83"/>
    </row>
    <row r="387" spans="1:1" ht="13.8">
      <c r="A387" s="83"/>
    </row>
    <row r="388" spans="1:1" ht="13.8">
      <c r="A388" s="83"/>
    </row>
    <row r="389" spans="1:1" ht="13.8">
      <c r="A389" s="83"/>
    </row>
    <row r="390" spans="1:1" ht="13.8">
      <c r="A390" s="83"/>
    </row>
    <row r="391" spans="1:1" ht="13.8">
      <c r="A391" s="83"/>
    </row>
    <row r="392" spans="1:1" ht="13.8">
      <c r="A392" s="83"/>
    </row>
    <row r="393" spans="1:1" ht="13.8">
      <c r="A393" s="83"/>
    </row>
    <row r="394" spans="1:1" ht="13.8">
      <c r="A394" s="83"/>
    </row>
    <row r="395" spans="1:1" ht="13.8">
      <c r="A395" s="83"/>
    </row>
    <row r="396" spans="1:1" ht="13.8">
      <c r="A396" s="83"/>
    </row>
    <row r="397" spans="1:1" ht="13.8">
      <c r="A397" s="83"/>
    </row>
    <row r="398" spans="1:1" ht="13.8">
      <c r="A398" s="83"/>
    </row>
    <row r="399" spans="1:1" ht="13.8">
      <c r="A399" s="83"/>
    </row>
    <row r="400" spans="1:1" ht="13.8">
      <c r="A400" s="83"/>
    </row>
    <row r="401" spans="1:1" ht="13.8">
      <c r="A401" s="83"/>
    </row>
    <row r="402" spans="1:1" ht="13.8">
      <c r="A402" s="83"/>
    </row>
    <row r="403" spans="1:1" ht="13.8">
      <c r="A403" s="83"/>
    </row>
    <row r="404" spans="1:1" ht="13.8">
      <c r="A404" s="83"/>
    </row>
    <row r="405" spans="1:1" ht="13.8">
      <c r="A405" s="83"/>
    </row>
    <row r="406" spans="1:1" ht="13.8">
      <c r="A406" s="83"/>
    </row>
    <row r="407" spans="1:1" ht="13.8">
      <c r="A407" s="83"/>
    </row>
    <row r="408" spans="1:1" ht="13.8">
      <c r="A408" s="83"/>
    </row>
    <row r="409" spans="1:1" ht="13.8">
      <c r="A409" s="83"/>
    </row>
    <row r="410" spans="1:1" ht="13.8">
      <c r="A410" s="83"/>
    </row>
    <row r="411" spans="1:1" ht="13.8">
      <c r="A411" s="83"/>
    </row>
    <row r="412" spans="1:1" ht="13.8">
      <c r="A412" s="83"/>
    </row>
    <row r="413" spans="1:1" ht="13.8">
      <c r="A413" s="83"/>
    </row>
    <row r="414" spans="1:1" ht="13.8">
      <c r="A414" s="83"/>
    </row>
    <row r="415" spans="1:1" ht="13.8">
      <c r="A415" s="83"/>
    </row>
    <row r="416" spans="1:1" ht="13.8">
      <c r="A416" s="83"/>
    </row>
    <row r="417" spans="1:1" ht="13.8">
      <c r="A417" s="83"/>
    </row>
    <row r="418" spans="1:1" ht="13.8">
      <c r="A418" s="83"/>
    </row>
    <row r="419" spans="1:1" ht="13.8">
      <c r="A419" s="83"/>
    </row>
    <row r="420" spans="1:1" ht="13.8">
      <c r="A420" s="83"/>
    </row>
    <row r="421" spans="1:1" ht="13.8">
      <c r="A421" s="83"/>
    </row>
    <row r="422" spans="1:1" ht="13.8">
      <c r="A422" s="83"/>
    </row>
    <row r="423" spans="1:1" ht="13.8">
      <c r="A423" s="83"/>
    </row>
    <row r="424" spans="1:1" ht="13.8">
      <c r="A424" s="83"/>
    </row>
    <row r="425" spans="1:1" ht="13.8">
      <c r="A425" s="83"/>
    </row>
    <row r="426" spans="1:1" ht="13.8">
      <c r="A426" s="83"/>
    </row>
    <row r="427" spans="1:1" ht="13.8">
      <c r="A427" s="83"/>
    </row>
    <row r="428" spans="1:1" ht="13.8">
      <c r="A428" s="83"/>
    </row>
    <row r="429" spans="1:1" ht="13.8">
      <c r="A429" s="83"/>
    </row>
    <row r="430" spans="1:1" ht="13.8">
      <c r="A430" s="83"/>
    </row>
    <row r="431" spans="1:1" ht="13.8">
      <c r="A431" s="83"/>
    </row>
    <row r="432" spans="1:1" ht="13.8">
      <c r="A432" s="83"/>
    </row>
    <row r="433" spans="1:1" ht="13.8">
      <c r="A433" s="83"/>
    </row>
    <row r="434" spans="1:1" ht="13.8">
      <c r="A434" s="83"/>
    </row>
    <row r="435" spans="1:1" ht="13.8">
      <c r="A435" s="83"/>
    </row>
    <row r="436" spans="1:1" ht="13.8">
      <c r="A436" s="83"/>
    </row>
    <row r="437" spans="1:1" ht="13.8">
      <c r="A437" s="83"/>
    </row>
    <row r="438" spans="1:1" ht="13.8">
      <c r="A438" s="83"/>
    </row>
    <row r="439" spans="1:1" ht="13.8">
      <c r="A439" s="83"/>
    </row>
    <row r="440" spans="1:1" ht="13.8">
      <c r="A440" s="83"/>
    </row>
    <row r="441" spans="1:1" ht="13.8">
      <c r="A441" s="83"/>
    </row>
    <row r="442" spans="1:1" ht="13.8">
      <c r="A442" s="83"/>
    </row>
    <row r="443" spans="1:1" ht="13.8">
      <c r="A443" s="83"/>
    </row>
    <row r="444" spans="1:1" ht="13.8">
      <c r="A444" s="83"/>
    </row>
    <row r="445" spans="1:1" ht="13.8">
      <c r="A445" s="83"/>
    </row>
    <row r="446" spans="1:1" ht="13.8">
      <c r="A446" s="83"/>
    </row>
    <row r="447" spans="1:1" ht="13.8">
      <c r="A447" s="83"/>
    </row>
    <row r="448" spans="1:1" ht="13.8">
      <c r="A448" s="83"/>
    </row>
    <row r="449" spans="1:1" ht="13.8">
      <c r="A449" s="83"/>
    </row>
    <row r="450" spans="1:1" ht="13.8">
      <c r="A450" s="83"/>
    </row>
    <row r="451" spans="1:1" ht="13.8">
      <c r="A451" s="83"/>
    </row>
    <row r="452" spans="1:1" ht="13.8">
      <c r="A452" s="83"/>
    </row>
    <row r="453" spans="1:1" ht="13.8">
      <c r="A453" s="83"/>
    </row>
    <row r="454" spans="1:1" ht="13.8">
      <c r="A454" s="83"/>
    </row>
    <row r="455" spans="1:1" ht="13.8">
      <c r="A455" s="83"/>
    </row>
    <row r="456" spans="1:1" ht="13.8">
      <c r="A456" s="83"/>
    </row>
    <row r="457" spans="1:1" ht="13.8">
      <c r="A457" s="83"/>
    </row>
    <row r="458" spans="1:1" ht="13.8">
      <c r="A458" s="83"/>
    </row>
    <row r="459" spans="1:1" ht="13.8">
      <c r="A459" s="83"/>
    </row>
    <row r="460" spans="1:1" ht="13.8">
      <c r="A460" s="83"/>
    </row>
    <row r="461" spans="1:1" ht="13.8">
      <c r="A461" s="83"/>
    </row>
    <row r="462" spans="1:1" ht="13.8">
      <c r="A462" s="83"/>
    </row>
    <row r="463" spans="1:1" ht="13.8">
      <c r="A463" s="83"/>
    </row>
    <row r="464" spans="1:1" ht="13.8">
      <c r="A464" s="83"/>
    </row>
    <row r="465" spans="1:1" ht="13.8">
      <c r="A465" s="83"/>
    </row>
    <row r="466" spans="1:1" ht="13.8">
      <c r="A466" s="83"/>
    </row>
    <row r="467" spans="1:1" ht="13.8">
      <c r="A467" s="83"/>
    </row>
    <row r="468" spans="1:1" ht="13.8">
      <c r="A468" s="83"/>
    </row>
    <row r="469" spans="1:1" ht="13.8">
      <c r="A469" s="83"/>
    </row>
    <row r="470" spans="1:1" ht="13.8">
      <c r="A470" s="83"/>
    </row>
    <row r="471" spans="1:1" ht="13.8">
      <c r="A471" s="83"/>
    </row>
    <row r="472" spans="1:1" ht="13.8">
      <c r="A472" s="83"/>
    </row>
    <row r="473" spans="1:1" ht="13.8">
      <c r="A473" s="83"/>
    </row>
    <row r="474" spans="1:1" ht="13.8">
      <c r="A474" s="83"/>
    </row>
    <row r="475" spans="1:1" ht="13.8">
      <c r="A475" s="83"/>
    </row>
    <row r="476" spans="1:1" ht="13.8">
      <c r="A476" s="83"/>
    </row>
    <row r="477" spans="1:1" ht="13.8">
      <c r="A477" s="83"/>
    </row>
    <row r="478" spans="1:1" ht="13.8">
      <c r="A478" s="83"/>
    </row>
    <row r="479" spans="1:1" ht="13.8">
      <c r="A479" s="83"/>
    </row>
    <row r="480" spans="1:1" ht="13.8">
      <c r="A480" s="83"/>
    </row>
    <row r="481" spans="1:1" ht="13.8">
      <c r="A481" s="83"/>
    </row>
    <row r="482" spans="1:1" ht="13.8">
      <c r="A482" s="83"/>
    </row>
    <row r="483" spans="1:1" ht="13.8">
      <c r="A483" s="83"/>
    </row>
    <row r="484" spans="1:1" ht="13.8">
      <c r="A484" s="83"/>
    </row>
    <row r="485" spans="1:1" ht="13.8">
      <c r="A485" s="83"/>
    </row>
    <row r="486" spans="1:1" ht="13.8">
      <c r="A486" s="83"/>
    </row>
    <row r="487" spans="1:1" ht="13.8">
      <c r="A487" s="83"/>
    </row>
    <row r="488" spans="1:1" ht="13.8">
      <c r="A488" s="83"/>
    </row>
    <row r="489" spans="1:1" ht="13.8">
      <c r="A489" s="83"/>
    </row>
    <row r="490" spans="1:1" ht="13.8">
      <c r="A490" s="83"/>
    </row>
    <row r="491" spans="1:1" ht="13.8">
      <c r="A491" s="83"/>
    </row>
    <row r="492" spans="1:1" ht="13.8">
      <c r="A492" s="83"/>
    </row>
    <row r="493" spans="1:1" ht="13.8">
      <c r="A493" s="83"/>
    </row>
    <row r="494" spans="1:1" ht="13.8">
      <c r="A494" s="83"/>
    </row>
    <row r="495" spans="1:1" ht="13.8">
      <c r="A495" s="83"/>
    </row>
    <row r="496" spans="1:1" ht="13.8">
      <c r="A496" s="83"/>
    </row>
    <row r="497" spans="1:1" ht="13.8">
      <c r="A497" s="83"/>
    </row>
    <row r="498" spans="1:1" ht="13.8">
      <c r="A498" s="83"/>
    </row>
    <row r="499" spans="1:1" ht="13.8">
      <c r="A499" s="83"/>
    </row>
    <row r="500" spans="1:1" ht="13.8">
      <c r="A500" s="83"/>
    </row>
    <row r="501" spans="1:1" ht="13.8">
      <c r="A501" s="83"/>
    </row>
    <row r="502" spans="1:1" ht="13.8">
      <c r="A502" s="83"/>
    </row>
    <row r="503" spans="1:1" ht="13.8">
      <c r="A503" s="83"/>
    </row>
    <row r="504" spans="1:1" ht="13.8">
      <c r="A504" s="83"/>
    </row>
    <row r="505" spans="1:1" ht="13.8">
      <c r="A505" s="83"/>
    </row>
    <row r="506" spans="1:1" ht="13.8">
      <c r="A506" s="83"/>
    </row>
    <row r="507" spans="1:1" ht="13.8">
      <c r="A507" s="83"/>
    </row>
    <row r="508" spans="1:1" ht="13.8">
      <c r="A508" s="83"/>
    </row>
    <row r="509" spans="1:1" ht="13.8">
      <c r="A509" s="83"/>
    </row>
    <row r="510" spans="1:1" ht="13.8">
      <c r="A510" s="83"/>
    </row>
    <row r="511" spans="1:1" ht="13.8">
      <c r="A511" s="83"/>
    </row>
    <row r="512" spans="1:1" ht="13.8">
      <c r="A512" s="83"/>
    </row>
    <row r="513" spans="1:1" ht="13.8">
      <c r="A513" s="83"/>
    </row>
    <row r="514" spans="1:1" ht="13.8">
      <c r="A514" s="83"/>
    </row>
    <row r="515" spans="1:1" ht="13.8">
      <c r="A515" s="83"/>
    </row>
    <row r="516" spans="1:1" ht="13.8">
      <c r="A516" s="83"/>
    </row>
    <row r="517" spans="1:1" ht="13.8">
      <c r="A517" s="83"/>
    </row>
    <row r="518" spans="1:1" ht="13.8">
      <c r="A518" s="83"/>
    </row>
    <row r="519" spans="1:1" ht="13.8">
      <c r="A519" s="83"/>
    </row>
    <row r="520" spans="1:1" ht="13.8">
      <c r="A520" s="83"/>
    </row>
    <row r="521" spans="1:1" ht="13.8">
      <c r="A521" s="83"/>
    </row>
    <row r="522" spans="1:1" ht="13.8">
      <c r="A522" s="83"/>
    </row>
    <row r="523" spans="1:1" ht="13.8">
      <c r="A523" s="83"/>
    </row>
    <row r="524" spans="1:1" ht="13.8">
      <c r="A524" s="83"/>
    </row>
    <row r="525" spans="1:1" ht="13.8">
      <c r="A525" s="83"/>
    </row>
    <row r="526" spans="1:1" ht="13.8">
      <c r="A526" s="83"/>
    </row>
    <row r="527" spans="1:1" ht="13.8">
      <c r="A527" s="83"/>
    </row>
    <row r="528" spans="1:1" ht="13.8">
      <c r="A528" s="83"/>
    </row>
    <row r="529" spans="1:1" ht="13.8">
      <c r="A529" s="83"/>
    </row>
    <row r="530" spans="1:1" ht="13.8">
      <c r="A530" s="83"/>
    </row>
    <row r="531" spans="1:1" ht="13.8">
      <c r="A531" s="83"/>
    </row>
    <row r="532" spans="1:1" ht="13.8">
      <c r="A532" s="83"/>
    </row>
    <row r="533" spans="1:1" ht="13.8">
      <c r="A533" s="83"/>
    </row>
    <row r="534" spans="1:1" ht="13.8">
      <c r="A534" s="83"/>
    </row>
    <row r="535" spans="1:1" ht="13.8">
      <c r="A535" s="83"/>
    </row>
    <row r="536" spans="1:1" ht="13.8">
      <c r="A536" s="83"/>
    </row>
    <row r="537" spans="1:1" ht="13.8">
      <c r="A537" s="83"/>
    </row>
    <row r="538" spans="1:1" ht="13.8">
      <c r="A538" s="83"/>
    </row>
    <row r="539" spans="1:1" ht="13.8">
      <c r="A539" s="83"/>
    </row>
    <row r="540" spans="1:1" ht="13.8">
      <c r="A540" s="83"/>
    </row>
    <row r="541" spans="1:1" ht="13.8">
      <c r="A541" s="83"/>
    </row>
    <row r="542" spans="1:1" ht="13.8">
      <c r="A542" s="83"/>
    </row>
    <row r="543" spans="1:1" ht="13.8">
      <c r="A543" s="83"/>
    </row>
    <row r="544" spans="1:1" ht="13.8">
      <c r="A544" s="83"/>
    </row>
    <row r="545" spans="1:1" ht="13.8">
      <c r="A545" s="83"/>
    </row>
    <row r="546" spans="1:1" ht="13.8">
      <c r="A546" s="83"/>
    </row>
    <row r="547" spans="1:1" ht="13.8">
      <c r="A547" s="83"/>
    </row>
    <row r="548" spans="1:1" ht="13.8">
      <c r="A548" s="83"/>
    </row>
    <row r="549" spans="1:1" ht="13.8">
      <c r="A549" s="83"/>
    </row>
    <row r="550" spans="1:1" ht="13.8">
      <c r="A550" s="83"/>
    </row>
    <row r="551" spans="1:1" ht="13.8">
      <c r="A551" s="83"/>
    </row>
    <row r="552" spans="1:1" ht="13.8">
      <c r="A552" s="83"/>
    </row>
    <row r="553" spans="1:1" ht="13.8">
      <c r="A553" s="83"/>
    </row>
    <row r="554" spans="1:1" ht="13.8">
      <c r="A554" s="83"/>
    </row>
    <row r="555" spans="1:1" ht="13.8">
      <c r="A555" s="83"/>
    </row>
    <row r="556" spans="1:1" ht="13.8">
      <c r="A556" s="83"/>
    </row>
    <row r="557" spans="1:1" ht="13.8">
      <c r="A557" s="83"/>
    </row>
    <row r="558" spans="1:1" ht="13.8">
      <c r="A558" s="83"/>
    </row>
    <row r="559" spans="1:1" ht="13.8">
      <c r="A559" s="83"/>
    </row>
    <row r="560" spans="1:1" ht="13.8">
      <c r="A560" s="83"/>
    </row>
    <row r="561" spans="1:1" ht="13.8">
      <c r="A561" s="83"/>
    </row>
    <row r="562" spans="1:1" ht="13.8">
      <c r="A562" s="83"/>
    </row>
    <row r="563" spans="1:1" ht="13.8">
      <c r="A563" s="83"/>
    </row>
    <row r="564" spans="1:1" ht="13.8">
      <c r="A564" s="83"/>
    </row>
    <row r="565" spans="1:1" ht="13.8">
      <c r="A565" s="83"/>
    </row>
    <row r="566" spans="1:1" ht="13.8">
      <c r="A566" s="83"/>
    </row>
    <row r="567" spans="1:1" ht="13.8">
      <c r="A567" s="83"/>
    </row>
    <row r="568" spans="1:1" ht="13.8">
      <c r="A568" s="83"/>
    </row>
    <row r="569" spans="1:1" ht="13.8">
      <c r="A569" s="83"/>
    </row>
    <row r="570" spans="1:1" ht="13.8">
      <c r="A570" s="83"/>
    </row>
    <row r="571" spans="1:1" ht="13.8">
      <c r="A571" s="83"/>
    </row>
    <row r="572" spans="1:1" ht="13.8">
      <c r="A572" s="83"/>
    </row>
    <row r="573" spans="1:1" ht="13.8">
      <c r="A573" s="83"/>
    </row>
    <row r="574" spans="1:1" ht="13.8">
      <c r="A574" s="83"/>
    </row>
    <row r="575" spans="1:1" ht="13.8">
      <c r="A575" s="83"/>
    </row>
    <row r="576" spans="1:1" ht="13.8">
      <c r="A576" s="83"/>
    </row>
    <row r="577" spans="1:1" ht="13.8">
      <c r="A577" s="83"/>
    </row>
    <row r="578" spans="1:1" ht="13.8">
      <c r="A578" s="83"/>
    </row>
    <row r="579" spans="1:1" ht="13.8">
      <c r="A579" s="83"/>
    </row>
    <row r="580" spans="1:1" ht="13.8">
      <c r="A580" s="83"/>
    </row>
    <row r="581" spans="1:1" ht="13.8">
      <c r="A581" s="83"/>
    </row>
    <row r="582" spans="1:1" ht="13.8">
      <c r="A582" s="83"/>
    </row>
    <row r="583" spans="1:1" ht="13.8">
      <c r="A583" s="83"/>
    </row>
    <row r="584" spans="1:1" ht="13.8">
      <c r="A584" s="83"/>
    </row>
    <row r="585" spans="1:1" ht="13.8">
      <c r="A585" s="83"/>
    </row>
    <row r="586" spans="1:1" ht="13.8">
      <c r="A586" s="83"/>
    </row>
    <row r="587" spans="1:1" ht="13.8">
      <c r="A587" s="83"/>
    </row>
    <row r="588" spans="1:1" ht="13.8">
      <c r="A588" s="83"/>
    </row>
    <row r="589" spans="1:1" ht="13.8">
      <c r="A589" s="83"/>
    </row>
    <row r="590" spans="1:1" ht="13.8">
      <c r="A590" s="83"/>
    </row>
    <row r="591" spans="1:1" ht="13.8">
      <c r="A591" s="83"/>
    </row>
    <row r="592" spans="1:1" ht="13.8">
      <c r="A592" s="83"/>
    </row>
    <row r="593" spans="1:1" ht="13.8">
      <c r="A593" s="83"/>
    </row>
    <row r="594" spans="1:1" ht="13.8">
      <c r="A594" s="83"/>
    </row>
    <row r="595" spans="1:1" ht="13.8">
      <c r="A595" s="83"/>
    </row>
    <row r="596" spans="1:1" ht="13.8">
      <c r="A596" s="83"/>
    </row>
    <row r="597" spans="1:1" ht="13.8">
      <c r="A597" s="83"/>
    </row>
    <row r="598" spans="1:1" ht="13.8">
      <c r="A598" s="83"/>
    </row>
    <row r="599" spans="1:1" ht="13.8">
      <c r="A599" s="83"/>
    </row>
    <row r="600" spans="1:1" ht="13.8">
      <c r="A600" s="83"/>
    </row>
    <row r="601" spans="1:1" ht="13.8">
      <c r="A601" s="83"/>
    </row>
    <row r="602" spans="1:1" ht="13.8">
      <c r="A602" s="83"/>
    </row>
    <row r="603" spans="1:1" ht="13.8">
      <c r="A603" s="83"/>
    </row>
    <row r="604" spans="1:1" ht="13.8">
      <c r="A604" s="83"/>
    </row>
    <row r="605" spans="1:1" ht="13.8">
      <c r="A605" s="83"/>
    </row>
    <row r="606" spans="1:1" ht="13.8">
      <c r="A606" s="83"/>
    </row>
    <row r="607" spans="1:1" ht="13.8">
      <c r="A607" s="83"/>
    </row>
    <row r="608" spans="1:1" ht="13.8">
      <c r="A608" s="83"/>
    </row>
    <row r="609" spans="1:1" ht="13.8">
      <c r="A609" s="83"/>
    </row>
    <row r="610" spans="1:1" ht="13.8">
      <c r="A610" s="83"/>
    </row>
    <row r="611" spans="1:1" ht="13.8">
      <c r="A611" s="83"/>
    </row>
    <row r="612" spans="1:1" ht="13.8">
      <c r="A612" s="83"/>
    </row>
    <row r="613" spans="1:1" ht="13.8">
      <c r="A613" s="83"/>
    </row>
    <row r="614" spans="1:1" ht="13.8">
      <c r="A614" s="83"/>
    </row>
    <row r="615" spans="1:1" ht="13.8">
      <c r="A615" s="83"/>
    </row>
    <row r="616" spans="1:1" ht="13.8">
      <c r="A616" s="83"/>
    </row>
    <row r="617" spans="1:1" ht="13.8">
      <c r="A617" s="83"/>
    </row>
    <row r="618" spans="1:1" ht="13.8">
      <c r="A618" s="83"/>
    </row>
    <row r="619" spans="1:1" ht="13.8">
      <c r="A619" s="83"/>
    </row>
    <row r="620" spans="1:1" ht="13.8">
      <c r="A620" s="83"/>
    </row>
    <row r="621" spans="1:1" ht="13.8">
      <c r="A621" s="83"/>
    </row>
    <row r="622" spans="1:1" ht="13.8">
      <c r="A622" s="83"/>
    </row>
    <row r="623" spans="1:1" ht="13.8">
      <c r="A623" s="83"/>
    </row>
    <row r="624" spans="1:1" ht="13.8">
      <c r="A624" s="83"/>
    </row>
    <row r="625" spans="1:1" ht="13.8">
      <c r="A625" s="83"/>
    </row>
    <row r="626" spans="1:1" ht="13.8">
      <c r="A626" s="83"/>
    </row>
    <row r="627" spans="1:1" ht="13.8">
      <c r="A627" s="83"/>
    </row>
    <row r="628" spans="1:1" ht="13.8">
      <c r="A628" s="83"/>
    </row>
    <row r="629" spans="1:1" ht="13.8">
      <c r="A629" s="83"/>
    </row>
    <row r="630" spans="1:1" ht="13.8">
      <c r="A630" s="83"/>
    </row>
    <row r="631" spans="1:1" ht="13.8">
      <c r="A631" s="83"/>
    </row>
    <row r="632" spans="1:1" ht="13.8">
      <c r="A632" s="83"/>
    </row>
    <row r="633" spans="1:1" ht="13.8">
      <c r="A633" s="83"/>
    </row>
    <row r="634" spans="1:1" ht="13.8">
      <c r="A634" s="83"/>
    </row>
    <row r="635" spans="1:1" ht="13.8">
      <c r="A635" s="83"/>
    </row>
    <row r="636" spans="1:1" ht="13.8">
      <c r="A636" s="83"/>
    </row>
    <row r="637" spans="1:1" ht="13.8">
      <c r="A637" s="83"/>
    </row>
    <row r="638" spans="1:1" ht="13.8">
      <c r="A638" s="83"/>
    </row>
    <row r="639" spans="1:1" ht="13.8">
      <c r="A639" s="83"/>
    </row>
    <row r="640" spans="1:1" ht="13.8">
      <c r="A640" s="83"/>
    </row>
    <row r="641" spans="1:1" ht="13.8">
      <c r="A641" s="83"/>
    </row>
    <row r="642" spans="1:1" ht="13.8">
      <c r="A642" s="83"/>
    </row>
    <row r="643" spans="1:1" ht="13.8">
      <c r="A643" s="83"/>
    </row>
    <row r="644" spans="1:1" ht="13.8">
      <c r="A644" s="83"/>
    </row>
    <row r="645" spans="1:1" ht="13.8">
      <c r="A645" s="83"/>
    </row>
    <row r="646" spans="1:1" ht="13.8">
      <c r="A646" s="83"/>
    </row>
    <row r="647" spans="1:1" ht="13.8">
      <c r="A647" s="83"/>
    </row>
    <row r="648" spans="1:1" ht="13.8">
      <c r="A648" s="83"/>
    </row>
    <row r="649" spans="1:1" ht="13.8">
      <c r="A649" s="83"/>
    </row>
    <row r="650" spans="1:1" ht="13.8">
      <c r="A650" s="83"/>
    </row>
    <row r="651" spans="1:1" ht="13.8">
      <c r="A651" s="83"/>
    </row>
    <row r="652" spans="1:1" ht="13.8">
      <c r="A652" s="83"/>
    </row>
    <row r="653" spans="1:1" ht="13.8">
      <c r="A653" s="83"/>
    </row>
    <row r="654" spans="1:1" ht="13.8">
      <c r="A654" s="83"/>
    </row>
    <row r="655" spans="1:1" ht="13.8">
      <c r="A655" s="83"/>
    </row>
    <row r="656" spans="1:1" ht="13.8">
      <c r="A656" s="83"/>
    </row>
    <row r="657" spans="1:1" ht="13.8">
      <c r="A657" s="83"/>
    </row>
    <row r="658" spans="1:1" ht="13.8">
      <c r="A658" s="83"/>
    </row>
    <row r="659" spans="1:1" ht="13.8">
      <c r="A659" s="83"/>
    </row>
    <row r="660" spans="1:1" ht="13.8">
      <c r="A660" s="83"/>
    </row>
    <row r="661" spans="1:1" ht="13.8">
      <c r="A661" s="83"/>
    </row>
    <row r="662" spans="1:1" ht="13.8">
      <c r="A662" s="83"/>
    </row>
    <row r="663" spans="1:1" ht="13.8">
      <c r="A663" s="83"/>
    </row>
    <row r="664" spans="1:1" ht="13.8">
      <c r="A664" s="83"/>
    </row>
    <row r="665" spans="1:1" ht="13.8">
      <c r="A665" s="83"/>
    </row>
    <row r="666" spans="1:1" ht="13.8">
      <c r="A666" s="83"/>
    </row>
    <row r="667" spans="1:1" ht="13.8">
      <c r="A667" s="83"/>
    </row>
    <row r="668" spans="1:1" ht="13.8">
      <c r="A668" s="83"/>
    </row>
    <row r="669" spans="1:1" ht="13.8">
      <c r="A669" s="83"/>
    </row>
    <row r="670" spans="1:1" ht="13.8">
      <c r="A670" s="83"/>
    </row>
    <row r="671" spans="1:1" ht="13.8">
      <c r="A671" s="83"/>
    </row>
    <row r="672" spans="1:1" ht="13.8">
      <c r="A672" s="83"/>
    </row>
    <row r="673" spans="1:1" ht="13.8">
      <c r="A673" s="83"/>
    </row>
    <row r="674" spans="1:1" ht="13.8">
      <c r="A674" s="83"/>
    </row>
    <row r="675" spans="1:1" ht="13.8">
      <c r="A675" s="83"/>
    </row>
    <row r="676" spans="1:1" ht="13.8">
      <c r="A676" s="83"/>
    </row>
    <row r="677" spans="1:1" ht="13.8">
      <c r="A677" s="83"/>
    </row>
    <row r="678" spans="1:1" ht="13.8">
      <c r="A678" s="83"/>
    </row>
    <row r="679" spans="1:1" ht="13.8">
      <c r="A679" s="83"/>
    </row>
    <row r="680" spans="1:1" ht="13.8">
      <c r="A680" s="83"/>
    </row>
    <row r="681" spans="1:1" ht="13.8">
      <c r="A681" s="83"/>
    </row>
    <row r="682" spans="1:1" ht="13.8">
      <c r="A682" s="83"/>
    </row>
    <row r="683" spans="1:1" ht="13.8">
      <c r="A683" s="83"/>
    </row>
    <row r="684" spans="1:1" ht="13.8">
      <c r="A684" s="83"/>
    </row>
    <row r="685" spans="1:1" ht="13.8">
      <c r="A685" s="83"/>
    </row>
    <row r="686" spans="1:1" ht="13.8">
      <c r="A686" s="83"/>
    </row>
    <row r="687" spans="1:1" ht="13.8">
      <c r="A687" s="83"/>
    </row>
    <row r="688" spans="1:1" ht="13.8">
      <c r="A688" s="83"/>
    </row>
    <row r="689" spans="1:1" ht="13.8">
      <c r="A689" s="83"/>
    </row>
    <row r="690" spans="1:1" ht="13.8">
      <c r="A690" s="83"/>
    </row>
    <row r="691" spans="1:1" ht="13.8">
      <c r="A691" s="83"/>
    </row>
    <row r="692" spans="1:1" ht="13.8">
      <c r="A692" s="83"/>
    </row>
    <row r="693" spans="1:1" ht="13.8">
      <c r="A693" s="83"/>
    </row>
    <row r="694" spans="1:1" ht="13.8">
      <c r="A694" s="83"/>
    </row>
    <row r="695" spans="1:1" ht="13.8">
      <c r="A695" s="83"/>
    </row>
    <row r="696" spans="1:1" ht="13.8">
      <c r="A696" s="83"/>
    </row>
    <row r="697" spans="1:1" ht="13.8">
      <c r="A697" s="83"/>
    </row>
    <row r="698" spans="1:1" ht="13.8">
      <c r="A698" s="83"/>
    </row>
    <row r="699" spans="1:1" ht="13.8">
      <c r="A699" s="83"/>
    </row>
    <row r="700" spans="1:1" ht="13.8">
      <c r="A700" s="83"/>
    </row>
    <row r="701" spans="1:1" ht="13.8">
      <c r="A701" s="83"/>
    </row>
    <row r="702" spans="1:1" ht="13.8">
      <c r="A702" s="83"/>
    </row>
    <row r="703" spans="1:1" ht="13.8">
      <c r="A703" s="83"/>
    </row>
    <row r="704" spans="1:1" ht="13.8">
      <c r="A704" s="83"/>
    </row>
    <row r="705" spans="1:1" ht="13.8">
      <c r="A705" s="83"/>
    </row>
    <row r="706" spans="1:1" ht="13.8">
      <c r="A706" s="83"/>
    </row>
    <row r="707" spans="1:1" ht="13.8">
      <c r="A707" s="83"/>
    </row>
    <row r="708" spans="1:1" ht="13.8">
      <c r="A708" s="83"/>
    </row>
    <row r="709" spans="1:1" ht="13.8">
      <c r="A709" s="83"/>
    </row>
    <row r="710" spans="1:1" ht="13.8">
      <c r="A710" s="83"/>
    </row>
    <row r="711" spans="1:1" ht="13.8">
      <c r="A711" s="83"/>
    </row>
    <row r="712" spans="1:1" ht="13.8">
      <c r="A712" s="83"/>
    </row>
    <row r="713" spans="1:1" ht="13.8">
      <c r="A713" s="83"/>
    </row>
    <row r="714" spans="1:1" ht="13.8">
      <c r="A714" s="83"/>
    </row>
    <row r="715" spans="1:1" ht="13.8">
      <c r="A715" s="83"/>
    </row>
    <row r="716" spans="1:1" ht="13.8">
      <c r="A716" s="83"/>
    </row>
    <row r="717" spans="1:1" ht="13.8">
      <c r="A717" s="83"/>
    </row>
    <row r="718" spans="1:1" ht="13.8">
      <c r="A718" s="83"/>
    </row>
    <row r="719" spans="1:1" ht="13.8">
      <c r="A719" s="83"/>
    </row>
    <row r="720" spans="1:1" ht="13.8">
      <c r="A720" s="83"/>
    </row>
    <row r="721" spans="1:1" ht="13.8">
      <c r="A721" s="83"/>
    </row>
    <row r="722" spans="1:1" ht="13.8">
      <c r="A722" s="83"/>
    </row>
    <row r="723" spans="1:1" ht="13.8">
      <c r="A723" s="83"/>
    </row>
    <row r="724" spans="1:1" ht="13.8">
      <c r="A724" s="83"/>
    </row>
    <row r="725" spans="1:1" ht="13.8">
      <c r="A725" s="83"/>
    </row>
    <row r="726" spans="1:1" ht="13.8">
      <c r="A726" s="83"/>
    </row>
    <row r="727" spans="1:1" ht="13.8">
      <c r="A727" s="83"/>
    </row>
    <row r="728" spans="1:1" ht="13.8">
      <c r="A728" s="83"/>
    </row>
    <row r="729" spans="1:1" ht="13.8">
      <c r="A729" s="83"/>
    </row>
    <row r="730" spans="1:1" ht="13.8">
      <c r="A730" s="83"/>
    </row>
    <row r="731" spans="1:1" ht="13.8">
      <c r="A731" s="83"/>
    </row>
    <row r="732" spans="1:1" ht="13.8">
      <c r="A732" s="83"/>
    </row>
    <row r="733" spans="1:1" ht="13.8">
      <c r="A733" s="83"/>
    </row>
    <row r="734" spans="1:1" ht="13.8">
      <c r="A734" s="83"/>
    </row>
    <row r="735" spans="1:1" ht="13.8">
      <c r="A735" s="83"/>
    </row>
    <row r="736" spans="1:1" ht="13.8">
      <c r="A736" s="83"/>
    </row>
    <row r="737" spans="1:1" ht="13.8">
      <c r="A737" s="83"/>
    </row>
    <row r="738" spans="1:1" ht="13.8">
      <c r="A738" s="83"/>
    </row>
    <row r="739" spans="1:1" ht="13.8">
      <c r="A739" s="83"/>
    </row>
    <row r="740" spans="1:1" ht="13.8">
      <c r="A740" s="83"/>
    </row>
    <row r="741" spans="1:1" ht="13.8">
      <c r="A741" s="83"/>
    </row>
    <row r="742" spans="1:1" ht="13.8">
      <c r="A742" s="83"/>
    </row>
    <row r="743" spans="1:1" ht="13.8">
      <c r="A743" s="83"/>
    </row>
    <row r="744" spans="1:1" ht="13.8">
      <c r="A744" s="83"/>
    </row>
    <row r="745" spans="1:1" ht="13.8">
      <c r="A745" s="83"/>
    </row>
    <row r="746" spans="1:1" ht="13.8">
      <c r="A746" s="83"/>
    </row>
    <row r="747" spans="1:1" ht="13.8">
      <c r="A747" s="83"/>
    </row>
    <row r="748" spans="1:1" ht="13.8">
      <c r="A748" s="83"/>
    </row>
    <row r="749" spans="1:1" ht="13.8">
      <c r="A749" s="83"/>
    </row>
    <row r="750" spans="1:1" ht="13.8">
      <c r="A750" s="83"/>
    </row>
    <row r="751" spans="1:1" ht="13.8">
      <c r="A751" s="83"/>
    </row>
    <row r="752" spans="1:1" ht="13.8">
      <c r="A752" s="83"/>
    </row>
    <row r="753" spans="1:1" ht="13.8">
      <c r="A753" s="83"/>
    </row>
    <row r="754" spans="1:1" ht="13.8">
      <c r="A754" s="83"/>
    </row>
    <row r="755" spans="1:1" ht="13.8">
      <c r="A755" s="83"/>
    </row>
    <row r="756" spans="1:1" ht="13.8">
      <c r="A756" s="83"/>
    </row>
    <row r="757" spans="1:1" ht="13.8">
      <c r="A757" s="83"/>
    </row>
    <row r="758" spans="1:1" ht="13.8">
      <c r="A758" s="83"/>
    </row>
    <row r="759" spans="1:1" ht="13.8">
      <c r="A759" s="83"/>
    </row>
    <row r="760" spans="1:1" ht="13.8">
      <c r="A760" s="83"/>
    </row>
    <row r="761" spans="1:1" ht="13.8">
      <c r="A761" s="83"/>
    </row>
    <row r="762" spans="1:1" ht="13.8">
      <c r="A762" s="83"/>
    </row>
    <row r="763" spans="1:1" ht="13.8">
      <c r="A763" s="83"/>
    </row>
    <row r="764" spans="1:1" ht="13.8">
      <c r="A764" s="83"/>
    </row>
    <row r="765" spans="1:1" ht="13.8">
      <c r="A765" s="83"/>
    </row>
    <row r="766" spans="1:1" ht="13.8">
      <c r="A766" s="83"/>
    </row>
    <row r="767" spans="1:1" ht="13.8">
      <c r="A767" s="83"/>
    </row>
    <row r="768" spans="1:1" ht="13.8">
      <c r="A768" s="83"/>
    </row>
    <row r="769" spans="1:1" ht="13.8">
      <c r="A769" s="83"/>
    </row>
    <row r="770" spans="1:1" ht="13.8">
      <c r="A770" s="83"/>
    </row>
    <row r="771" spans="1:1" ht="13.8">
      <c r="A771" s="83"/>
    </row>
    <row r="772" spans="1:1" ht="13.8">
      <c r="A772" s="83"/>
    </row>
    <row r="773" spans="1:1" ht="13.8">
      <c r="A773" s="83"/>
    </row>
    <row r="774" spans="1:1" ht="13.8">
      <c r="A774" s="83"/>
    </row>
    <row r="775" spans="1:1" ht="13.8">
      <c r="A775" s="83"/>
    </row>
    <row r="776" spans="1:1" ht="13.8">
      <c r="A776" s="83"/>
    </row>
    <row r="777" spans="1:1" ht="13.8">
      <c r="A777" s="83"/>
    </row>
    <row r="778" spans="1:1" ht="13.8">
      <c r="A778" s="83"/>
    </row>
    <row r="779" spans="1:1" ht="13.8">
      <c r="A779" s="83"/>
    </row>
    <row r="780" spans="1:1" ht="13.8">
      <c r="A780" s="83"/>
    </row>
    <row r="781" spans="1:1" ht="13.8">
      <c r="A781" s="83"/>
    </row>
    <row r="782" spans="1:1" ht="13.8">
      <c r="A782" s="83"/>
    </row>
    <row r="783" spans="1:1" ht="13.8">
      <c r="A783" s="83"/>
    </row>
    <row r="784" spans="1:1" ht="13.8">
      <c r="A784" s="83"/>
    </row>
    <row r="785" spans="1:1" ht="13.8">
      <c r="A785" s="83"/>
    </row>
    <row r="786" spans="1:1" ht="13.8">
      <c r="A786" s="83"/>
    </row>
    <row r="787" spans="1:1" ht="13.8">
      <c r="A787" s="83"/>
    </row>
    <row r="788" spans="1:1" ht="13.8">
      <c r="A788" s="83"/>
    </row>
    <row r="789" spans="1:1" ht="13.8">
      <c r="A789" s="83"/>
    </row>
    <row r="790" spans="1:1" ht="13.8">
      <c r="A790" s="83"/>
    </row>
    <row r="791" spans="1:1" ht="13.8">
      <c r="A791" s="83"/>
    </row>
    <row r="792" spans="1:1" ht="13.8">
      <c r="A792" s="83"/>
    </row>
    <row r="793" spans="1:1" ht="13.8">
      <c r="A793" s="83"/>
    </row>
    <row r="794" spans="1:1" ht="13.8">
      <c r="A794" s="83"/>
    </row>
    <row r="795" spans="1:1" ht="13.8">
      <c r="A795" s="83"/>
    </row>
    <row r="796" spans="1:1" ht="13.8">
      <c r="A796" s="83"/>
    </row>
    <row r="797" spans="1:1" ht="13.8">
      <c r="A797" s="83"/>
    </row>
    <row r="798" spans="1:1" ht="13.8">
      <c r="A798" s="83"/>
    </row>
    <row r="799" spans="1:1" ht="13.8">
      <c r="A799" s="83"/>
    </row>
    <row r="800" spans="1:1" ht="13.8">
      <c r="A800" s="83"/>
    </row>
    <row r="801" spans="1:1" ht="13.8">
      <c r="A801" s="83"/>
    </row>
    <row r="802" spans="1:1" ht="13.8">
      <c r="A802" s="83"/>
    </row>
    <row r="803" spans="1:1" ht="13.8">
      <c r="A803" s="83"/>
    </row>
    <row r="804" spans="1:1" ht="13.8">
      <c r="A804" s="83"/>
    </row>
    <row r="805" spans="1:1" ht="13.8">
      <c r="A805" s="83"/>
    </row>
    <row r="806" spans="1:1" ht="13.8">
      <c r="A806" s="83"/>
    </row>
    <row r="807" spans="1:1" ht="13.8">
      <c r="A807" s="83"/>
    </row>
    <row r="808" spans="1:1" ht="13.8">
      <c r="A808" s="83"/>
    </row>
    <row r="809" spans="1:1" ht="13.8">
      <c r="A809" s="83"/>
    </row>
    <row r="810" spans="1:1" ht="13.8">
      <c r="A810" s="83"/>
    </row>
    <row r="811" spans="1:1" ht="13.8">
      <c r="A811" s="83"/>
    </row>
    <row r="812" spans="1:1" ht="13.8">
      <c r="A812" s="83"/>
    </row>
    <row r="813" spans="1:1" ht="13.8">
      <c r="A813" s="83"/>
    </row>
    <row r="814" spans="1:1" ht="13.8">
      <c r="A814" s="83"/>
    </row>
    <row r="815" spans="1:1" ht="13.8">
      <c r="A815" s="83"/>
    </row>
    <row r="816" spans="1:1" ht="13.8">
      <c r="A816" s="83"/>
    </row>
    <row r="817" spans="1:1" ht="13.8">
      <c r="A817" s="83"/>
    </row>
    <row r="818" spans="1:1" ht="13.8">
      <c r="A818" s="83"/>
    </row>
    <row r="819" spans="1:1" ht="13.8">
      <c r="A819" s="83"/>
    </row>
    <row r="820" spans="1:1" ht="13.8">
      <c r="A820" s="83"/>
    </row>
    <row r="821" spans="1:1" ht="13.8">
      <c r="A821" s="83"/>
    </row>
    <row r="822" spans="1:1" ht="13.8">
      <c r="A822" s="83"/>
    </row>
    <row r="823" spans="1:1" ht="13.8">
      <c r="A823" s="83"/>
    </row>
    <row r="824" spans="1:1" ht="13.8">
      <c r="A824" s="83"/>
    </row>
    <row r="825" spans="1:1" ht="13.8">
      <c r="A825" s="83"/>
    </row>
    <row r="826" spans="1:1" ht="13.8">
      <c r="A826" s="83"/>
    </row>
    <row r="827" spans="1:1" ht="13.8">
      <c r="A827" s="83"/>
    </row>
    <row r="828" spans="1:1" ht="13.8">
      <c r="A828" s="83"/>
    </row>
    <row r="829" spans="1:1" ht="13.8">
      <c r="A829" s="83"/>
    </row>
    <row r="830" spans="1:1" ht="13.8">
      <c r="A830" s="83"/>
    </row>
    <row r="831" spans="1:1" ht="13.8">
      <c r="A831" s="83"/>
    </row>
    <row r="832" spans="1:1" ht="13.8">
      <c r="A832" s="83"/>
    </row>
    <row r="833" spans="1:1" ht="13.8">
      <c r="A833" s="83"/>
    </row>
    <row r="834" spans="1:1" ht="13.8">
      <c r="A834" s="83"/>
    </row>
    <row r="835" spans="1:1" ht="13.8">
      <c r="A835" s="83"/>
    </row>
    <row r="836" spans="1:1" ht="13.8">
      <c r="A836" s="83"/>
    </row>
    <row r="837" spans="1:1" ht="13.8">
      <c r="A837" s="83"/>
    </row>
    <row r="838" spans="1:1" ht="13.8">
      <c r="A838" s="83"/>
    </row>
    <row r="839" spans="1:1" ht="13.8">
      <c r="A839" s="83"/>
    </row>
    <row r="840" spans="1:1" ht="13.8">
      <c r="A840" s="83"/>
    </row>
    <row r="841" spans="1:1" ht="13.8">
      <c r="A841" s="83"/>
    </row>
    <row r="842" spans="1:1" ht="13.8">
      <c r="A842" s="83"/>
    </row>
    <row r="843" spans="1:1" ht="13.8">
      <c r="A843" s="83"/>
    </row>
    <row r="844" spans="1:1" ht="13.8">
      <c r="A844" s="83"/>
    </row>
    <row r="845" spans="1:1" ht="13.8">
      <c r="A845" s="83"/>
    </row>
    <row r="846" spans="1:1" ht="13.8">
      <c r="A846" s="83"/>
    </row>
    <row r="847" spans="1:1" ht="13.8">
      <c r="A847" s="83"/>
    </row>
    <row r="848" spans="1:1" ht="13.8">
      <c r="A848" s="83"/>
    </row>
    <row r="849" spans="1:1" ht="13.8">
      <c r="A849" s="83"/>
    </row>
    <row r="850" spans="1:1" ht="13.8">
      <c r="A850" s="83"/>
    </row>
    <row r="851" spans="1:1" ht="13.8">
      <c r="A851" s="83"/>
    </row>
    <row r="852" spans="1:1" ht="13.8">
      <c r="A852" s="83"/>
    </row>
    <row r="853" spans="1:1" ht="13.8">
      <c r="A853" s="83"/>
    </row>
    <row r="854" spans="1:1" ht="13.8">
      <c r="A854" s="83"/>
    </row>
    <row r="855" spans="1:1" ht="13.8">
      <c r="A855" s="83"/>
    </row>
    <row r="856" spans="1:1" ht="13.8">
      <c r="A856" s="83"/>
    </row>
    <row r="857" spans="1:1" ht="13.8">
      <c r="A857" s="83"/>
    </row>
    <row r="858" spans="1:1" ht="13.8">
      <c r="A858" s="83"/>
    </row>
    <row r="859" spans="1:1" ht="13.8">
      <c r="A859" s="83"/>
    </row>
    <row r="860" spans="1:1" ht="13.8">
      <c r="A860" s="83"/>
    </row>
    <row r="861" spans="1:1" ht="13.8">
      <c r="A861" s="83"/>
    </row>
    <row r="862" spans="1:1" ht="13.8">
      <c r="A862" s="83"/>
    </row>
    <row r="863" spans="1:1" ht="13.8">
      <c r="A863" s="83"/>
    </row>
    <row r="864" spans="1:1" ht="13.8">
      <c r="A864" s="83"/>
    </row>
    <row r="865" spans="1:1" ht="13.8">
      <c r="A865" s="83"/>
    </row>
    <row r="866" spans="1:1" ht="13.8">
      <c r="A866" s="83"/>
    </row>
    <row r="867" spans="1:1" ht="13.8">
      <c r="A867" s="83"/>
    </row>
    <row r="868" spans="1:1" ht="13.8">
      <c r="A868" s="83"/>
    </row>
    <row r="869" spans="1:1" ht="13.8">
      <c r="A869" s="83"/>
    </row>
    <row r="870" spans="1:1" ht="13.8">
      <c r="A870" s="83"/>
    </row>
    <row r="871" spans="1:1" ht="13.8">
      <c r="A871" s="83"/>
    </row>
    <row r="872" spans="1:1" ht="13.8">
      <c r="A872" s="83"/>
    </row>
    <row r="873" spans="1:1" ht="13.8">
      <c r="A873" s="83"/>
    </row>
    <row r="874" spans="1:1" ht="13.8">
      <c r="A874" s="83"/>
    </row>
    <row r="875" spans="1:1" ht="13.8">
      <c r="A875" s="83"/>
    </row>
    <row r="876" spans="1:1" ht="13.8">
      <c r="A876" s="83"/>
    </row>
    <row r="877" spans="1:1" ht="13.8">
      <c r="A877" s="83"/>
    </row>
    <row r="878" spans="1:1" ht="13.8">
      <c r="A878" s="83"/>
    </row>
    <row r="879" spans="1:1" ht="13.8">
      <c r="A879" s="83"/>
    </row>
    <row r="880" spans="1:1" ht="13.8">
      <c r="A880" s="83"/>
    </row>
    <row r="881" spans="1:1" ht="13.8">
      <c r="A881" s="83"/>
    </row>
    <row r="882" spans="1:1" ht="13.8">
      <c r="A882" s="83"/>
    </row>
    <row r="883" spans="1:1" ht="13.8">
      <c r="A883" s="83"/>
    </row>
    <row r="884" spans="1:1" ht="13.8">
      <c r="A884" s="83"/>
    </row>
    <row r="885" spans="1:1" ht="13.8">
      <c r="A885" s="83"/>
    </row>
    <row r="886" spans="1:1" ht="13.8">
      <c r="A886" s="83"/>
    </row>
    <row r="887" spans="1:1" ht="13.8">
      <c r="A887" s="83"/>
    </row>
    <row r="888" spans="1:1" ht="13.8">
      <c r="A888" s="83"/>
    </row>
    <row r="889" spans="1:1" ht="13.8">
      <c r="A889" s="83"/>
    </row>
    <row r="890" spans="1:1" ht="13.8">
      <c r="A890" s="83"/>
    </row>
    <row r="891" spans="1:1" ht="13.8">
      <c r="A891" s="83"/>
    </row>
    <row r="892" spans="1:1" ht="13.8">
      <c r="A892" s="83"/>
    </row>
    <row r="893" spans="1:1" ht="13.8">
      <c r="A893" s="83"/>
    </row>
    <row r="894" spans="1:1" ht="13.8">
      <c r="A894" s="83"/>
    </row>
    <row r="895" spans="1:1" ht="13.8">
      <c r="A895" s="83"/>
    </row>
    <row r="896" spans="1:1" ht="13.8">
      <c r="A896" s="83"/>
    </row>
    <row r="897" spans="1:1" ht="13.8">
      <c r="A897" s="83"/>
    </row>
    <row r="898" spans="1:1" ht="13.8">
      <c r="A898" s="83"/>
    </row>
    <row r="899" spans="1:1" ht="13.8">
      <c r="A899" s="83"/>
    </row>
    <row r="900" spans="1:1" ht="13.8">
      <c r="A900" s="83"/>
    </row>
    <row r="901" spans="1:1" ht="13.8">
      <c r="A901" s="83"/>
    </row>
    <row r="902" spans="1:1" ht="13.8">
      <c r="A902" s="83"/>
    </row>
    <row r="903" spans="1:1" ht="13.8">
      <c r="A903" s="83"/>
    </row>
    <row r="904" spans="1:1" ht="13.8">
      <c r="A904" s="83"/>
    </row>
    <row r="905" spans="1:1" ht="13.8">
      <c r="A905" s="83"/>
    </row>
    <row r="906" spans="1:1" ht="13.8">
      <c r="A906" s="83"/>
    </row>
    <row r="907" spans="1:1" ht="13.8">
      <c r="A907" s="83"/>
    </row>
    <row r="908" spans="1:1" ht="13.8">
      <c r="A908" s="83"/>
    </row>
    <row r="909" spans="1:1" ht="13.8">
      <c r="A909" s="83"/>
    </row>
    <row r="910" spans="1:1" ht="13.8">
      <c r="A910" s="83"/>
    </row>
    <row r="911" spans="1:1" ht="13.8">
      <c r="A911" s="83"/>
    </row>
    <row r="912" spans="1:1" ht="13.8">
      <c r="A912" s="83"/>
    </row>
    <row r="913" spans="1:1" ht="13.8">
      <c r="A913" s="83"/>
    </row>
    <row r="914" spans="1:1" ht="13.8">
      <c r="A914" s="83"/>
    </row>
    <row r="915" spans="1:1" ht="13.8">
      <c r="A915" s="83"/>
    </row>
    <row r="916" spans="1:1" ht="13.8">
      <c r="A916" s="83"/>
    </row>
    <row r="917" spans="1:1" ht="13.8">
      <c r="A917" s="83"/>
    </row>
    <row r="918" spans="1:1" ht="13.8">
      <c r="A918" s="83"/>
    </row>
    <row r="919" spans="1:1" ht="13.8">
      <c r="A919" s="83"/>
    </row>
    <row r="920" spans="1:1" ht="13.8">
      <c r="A920" s="83"/>
    </row>
    <row r="921" spans="1:1" ht="13.8">
      <c r="A921" s="83"/>
    </row>
    <row r="922" spans="1:1" ht="13.8">
      <c r="A922" s="83"/>
    </row>
    <row r="923" spans="1:1" ht="13.8">
      <c r="A923" s="83"/>
    </row>
    <row r="924" spans="1:1" ht="13.8">
      <c r="A924" s="83"/>
    </row>
    <row r="925" spans="1:1" ht="13.8">
      <c r="A925" s="83"/>
    </row>
    <row r="926" spans="1:1" ht="13.8">
      <c r="A926" s="83"/>
    </row>
    <row r="927" spans="1:1" ht="13.8">
      <c r="A927" s="83"/>
    </row>
    <row r="928" spans="1:1" ht="13.8">
      <c r="A928" s="83"/>
    </row>
    <row r="929" spans="1:1" ht="13.8">
      <c r="A929" s="83"/>
    </row>
    <row r="930" spans="1:1" ht="13.8">
      <c r="A930" s="83"/>
    </row>
    <row r="931" spans="1:1" ht="13.8">
      <c r="A931" s="83"/>
    </row>
    <row r="932" spans="1:1" ht="13.8">
      <c r="A932" s="83"/>
    </row>
    <row r="933" spans="1:1" ht="13.8">
      <c r="A933" s="83"/>
    </row>
    <row r="934" spans="1:1" ht="13.8">
      <c r="A934" s="83"/>
    </row>
    <row r="935" spans="1:1" ht="13.8">
      <c r="A935" s="83"/>
    </row>
    <row r="936" spans="1:1" ht="13.8">
      <c r="A936" s="83"/>
    </row>
    <row r="937" spans="1:1" ht="13.8">
      <c r="A937" s="83"/>
    </row>
    <row r="938" spans="1:1" ht="13.8">
      <c r="A938" s="83"/>
    </row>
    <row r="939" spans="1:1" ht="13.8">
      <c r="A939" s="83"/>
    </row>
    <row r="940" spans="1:1" ht="13.8">
      <c r="A940" s="83"/>
    </row>
    <row r="941" spans="1:1" ht="13.8">
      <c r="A941" s="83"/>
    </row>
    <row r="942" spans="1:1" ht="13.8">
      <c r="A942" s="83"/>
    </row>
    <row r="943" spans="1:1" ht="13.8">
      <c r="A943" s="83"/>
    </row>
    <row r="944" spans="1:1" ht="13.8">
      <c r="A944" s="83"/>
    </row>
    <row r="945" spans="1:1" ht="13.8">
      <c r="A945" s="83"/>
    </row>
    <row r="946" spans="1:1" ht="13.8">
      <c r="A946" s="83"/>
    </row>
    <row r="947" spans="1:1" ht="13.8">
      <c r="A947" s="83"/>
    </row>
    <row r="948" spans="1:1" ht="13.8">
      <c r="A948" s="83"/>
    </row>
    <row r="949" spans="1:1" ht="13.8">
      <c r="A949" s="83"/>
    </row>
    <row r="950" spans="1:1" ht="13.8">
      <c r="A950" s="83"/>
    </row>
    <row r="951" spans="1:1" ht="13.8">
      <c r="A951" s="83"/>
    </row>
    <row r="952" spans="1:1" ht="13.8">
      <c r="A952" s="83"/>
    </row>
    <row r="953" spans="1:1" ht="13.8">
      <c r="A953" s="83"/>
    </row>
    <row r="954" spans="1:1" ht="13.8">
      <c r="A954" s="83"/>
    </row>
    <row r="955" spans="1:1" ht="13.8">
      <c r="A955" s="83"/>
    </row>
    <row r="956" spans="1:1" ht="13.8">
      <c r="A956" s="83"/>
    </row>
    <row r="957" spans="1:1" ht="13.8">
      <c r="A957" s="83"/>
    </row>
    <row r="958" spans="1:1" ht="13.8">
      <c r="A958" s="83"/>
    </row>
    <row r="959" spans="1:1" ht="13.8">
      <c r="A959" s="83"/>
    </row>
    <row r="960" spans="1:1" ht="13.8">
      <c r="A960" s="83"/>
    </row>
    <row r="961" spans="1:1" ht="13.8">
      <c r="A961" s="83"/>
    </row>
    <row r="962" spans="1:1" ht="13.8">
      <c r="A962" s="83"/>
    </row>
    <row r="963" spans="1:1" ht="13.8">
      <c r="A963" s="83"/>
    </row>
    <row r="964" spans="1:1" ht="13.8">
      <c r="A964" s="83"/>
    </row>
    <row r="965" spans="1:1" ht="13.8">
      <c r="A965" s="83"/>
    </row>
    <row r="966" spans="1:1" ht="13.8">
      <c r="A966" s="83"/>
    </row>
    <row r="967" spans="1:1" ht="13.8">
      <c r="A967" s="83"/>
    </row>
    <row r="968" spans="1:1" ht="13.8">
      <c r="A968" s="83"/>
    </row>
    <row r="969" spans="1:1" ht="13.8">
      <c r="A969" s="83"/>
    </row>
    <row r="970" spans="1:1" ht="13.8">
      <c r="A970" s="83"/>
    </row>
    <row r="971" spans="1:1" ht="13.8">
      <c r="A971" s="83"/>
    </row>
    <row r="972" spans="1:1" ht="13.8">
      <c r="A972" s="83"/>
    </row>
    <row r="973" spans="1:1" ht="13.8">
      <c r="A973" s="83"/>
    </row>
    <row r="974" spans="1:1" ht="13.8">
      <c r="A974" s="83"/>
    </row>
    <row r="975" spans="1:1" ht="13.8">
      <c r="A975" s="83"/>
    </row>
    <row r="976" spans="1:1" ht="13.8">
      <c r="A976" s="83"/>
    </row>
    <row r="977" spans="1:1" ht="13.8">
      <c r="A977" s="83"/>
    </row>
    <row r="978" spans="1:1" ht="13.8">
      <c r="A978" s="83"/>
    </row>
    <row r="979" spans="1:1" ht="13.8">
      <c r="A979" s="83"/>
    </row>
    <row r="980" spans="1:1" ht="13.8">
      <c r="A980" s="83"/>
    </row>
    <row r="981" spans="1:1" ht="13.8">
      <c r="A981" s="83"/>
    </row>
    <row r="982" spans="1:1" ht="13.8">
      <c r="A982" s="83"/>
    </row>
    <row r="983" spans="1:1" ht="13.8">
      <c r="A983" s="83"/>
    </row>
    <row r="984" spans="1:1" ht="13.8">
      <c r="A984" s="83"/>
    </row>
    <row r="985" spans="1:1" ht="13.8">
      <c r="A985" s="83"/>
    </row>
    <row r="986" spans="1:1" ht="13.8">
      <c r="A986" s="83"/>
    </row>
    <row r="987" spans="1:1" ht="13.8">
      <c r="A987" s="83"/>
    </row>
    <row r="988" spans="1:1" ht="13.8">
      <c r="A988" s="83"/>
    </row>
    <row r="989" spans="1:1" ht="13.8">
      <c r="A989" s="83"/>
    </row>
    <row r="990" spans="1:1" ht="13.8">
      <c r="A990" s="83"/>
    </row>
    <row r="991" spans="1:1" ht="13.8">
      <c r="A991" s="83"/>
    </row>
    <row r="992" spans="1:1" ht="13.8">
      <c r="A992" s="83"/>
    </row>
    <row r="993" spans="1:1" ht="13.8">
      <c r="A993" s="83"/>
    </row>
    <row r="994" spans="1:1" ht="13.8">
      <c r="A994" s="83"/>
    </row>
    <row r="995" spans="1:1" ht="13.8">
      <c r="A995" s="83"/>
    </row>
    <row r="996" spans="1:1" ht="13.8">
      <c r="A996" s="83"/>
    </row>
    <row r="997" spans="1:1" ht="13.8">
      <c r="A997" s="83"/>
    </row>
    <row r="998" spans="1:1" ht="13.8">
      <c r="A998" s="83"/>
    </row>
    <row r="999" spans="1:1" ht="13.8">
      <c r="A999" s="83"/>
    </row>
    <row r="1000" spans="1:1" ht="13.8">
      <c r="A1000" s="83"/>
    </row>
    <row r="1001" spans="1:1" ht="13.8">
      <c r="A1001" s="83"/>
    </row>
    <row r="1002" spans="1:1" ht="13.8">
      <c r="A1002" s="83"/>
    </row>
    <row r="1003" spans="1:1" ht="13.8">
      <c r="A1003" s="83"/>
    </row>
  </sheetData>
  <mergeCells count="2">
    <mergeCell ref="L52:L54"/>
    <mergeCell ref="B84:N86"/>
  </mergeCells>
  <conditionalFormatting sqref="C12:C34">
    <cfRule type="colorScale" priority="26">
      <colorScale>
        <cfvo type="min"/>
        <cfvo type="max"/>
        <color rgb="FFFFFFFF"/>
        <color rgb="FF57BB8A"/>
      </colorScale>
    </cfRule>
  </conditionalFormatting>
  <conditionalFormatting sqref="C44:E45">
    <cfRule type="colorScale" priority="3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C38:H41 J38:K40 L38 N38:N40 I40">
    <cfRule type="colorScale" priority="8">
      <colorScale>
        <cfvo type="min"/>
        <cfvo type="max"/>
        <color rgb="FFFFFFFF"/>
        <color rgb="FF57BB8A"/>
      </colorScale>
    </cfRule>
  </conditionalFormatting>
  <conditionalFormatting sqref="C38:H41 J38:K41 N38:N41 P38:P41">
    <cfRule type="colorScale" priority="3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8:H41">
    <cfRule type="colorScale" priority="3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1:D35">
    <cfRule type="colorScale" priority="38">
      <colorScale>
        <cfvo type="min"/>
        <cfvo type="max"/>
        <color rgb="FFE67C73"/>
        <color rgb="FFFFFFFF"/>
      </colorScale>
    </cfRule>
  </conditionalFormatting>
  <conditionalFormatting sqref="D38:D41 E41:H41">
    <cfRule type="colorScale" priority="9">
      <colorScale>
        <cfvo type="min"/>
        <cfvo type="max"/>
        <color rgb="FFFFFFFF"/>
        <color rgb="FFE67C73"/>
      </colorScale>
    </cfRule>
  </conditionalFormatting>
  <conditionalFormatting sqref="E12:E34">
    <cfRule type="colorScale" priority="27">
      <colorScale>
        <cfvo type="min"/>
        <cfvo type="max"/>
        <color rgb="FFFFFFFF"/>
        <color rgb="FFE67C73"/>
      </colorScale>
    </cfRule>
  </conditionalFormatting>
  <conditionalFormatting sqref="E38:E41 F41:H41">
    <cfRule type="colorScale" priority="10">
      <colorScale>
        <cfvo type="min"/>
        <cfvo type="max"/>
        <color rgb="FFFFFFFF"/>
        <color rgb="FFE67C73"/>
      </colorScale>
    </cfRule>
  </conditionalFormatting>
  <conditionalFormatting sqref="F12:F35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38:F41 K38:L38 J39 N39 G41:H41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44:F45">
    <cfRule type="colorScale" priority="3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2:G32">
    <cfRule type="colorScale" priority="1">
      <colorScale>
        <cfvo type="min"/>
        <cfvo type="max"/>
        <color rgb="FFFFD666"/>
        <color rgb="FFFFFFFF"/>
      </colorScale>
    </cfRule>
  </conditionalFormatting>
  <conditionalFormatting sqref="H12:H32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2:I33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8:I41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52:K52">
    <cfRule type="colorScale" priority="3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54:K54">
    <cfRule type="colorScale" priority="3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44:L44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5:L45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6:L46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9:L49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2:J32">
    <cfRule type="colorScale" priority="4">
      <colorScale>
        <cfvo type="min"/>
        <cfvo type="max"/>
        <color rgb="FFFFFFFF"/>
        <color rgb="FF57BB8A"/>
      </colorScale>
    </cfRule>
  </conditionalFormatting>
  <conditionalFormatting sqref="J38:J41 K41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2:K31">
    <cfRule type="colorScale" priority="5">
      <colorScale>
        <cfvo type="min"/>
        <cfvo type="max"/>
        <color rgb="FFFFFFFF"/>
        <color rgb="FF57BB8A"/>
      </colorScale>
    </cfRule>
  </conditionalFormatting>
  <conditionalFormatting sqref="K38:K41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2:L31">
    <cfRule type="colorScale" priority="6">
      <colorScale>
        <cfvo type="min"/>
        <cfvo type="max"/>
        <color rgb="FFFFFFFF"/>
        <color rgb="FFE67C73"/>
      </colorScale>
    </cfRule>
  </conditionalFormatting>
  <conditionalFormatting sqref="L38:L41 M41">
    <cfRule type="colorScale" priority="15">
      <colorScale>
        <cfvo type="min"/>
        <cfvo type="max"/>
        <color rgb="FFFFFFFF"/>
        <color rgb="FFE67C73"/>
      </colorScale>
    </cfRule>
  </conditionalFormatting>
  <conditionalFormatting sqref="M12:M31">
    <cfRule type="colorScale" priority="7">
      <colorScale>
        <cfvo type="min"/>
        <cfvo type="max"/>
        <color rgb="FFFFFFFF"/>
        <color rgb="FFE67C73"/>
      </colorScale>
    </cfRule>
  </conditionalFormatting>
  <conditionalFormatting sqref="N12:N35">
    <cfRule type="colorScale" priority="31">
      <colorScale>
        <cfvo type="min"/>
        <cfvo type="max"/>
        <color rgb="FFFFFFFF"/>
        <color rgb="FF57BB8A"/>
      </colorScale>
    </cfRule>
  </conditionalFormatting>
  <conditionalFormatting sqref="N38:N41">
    <cfRule type="colorScale" priority="16">
      <colorScale>
        <cfvo type="min"/>
        <cfvo type="max"/>
        <color rgb="FFFFFFFF"/>
        <color rgb="FF57BB8A"/>
      </colorScale>
    </cfRule>
  </conditionalFormatting>
  <conditionalFormatting sqref="O12:O35">
    <cfRule type="colorScale" priority="20">
      <colorScale>
        <cfvo type="min"/>
        <cfvo type="max"/>
        <color rgb="FFFFFFFF"/>
        <color rgb="FF57BB8A"/>
      </colorScale>
    </cfRule>
  </conditionalFormatting>
  <conditionalFormatting sqref="O38:O41">
    <cfRule type="colorScale" priority="37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P12:P35">
    <cfRule type="colorScale" priority="21">
      <colorScale>
        <cfvo type="min"/>
        <cfvo type="max"/>
        <color rgb="FFFFFFFF"/>
        <color rgb="FF57BB8A"/>
      </colorScale>
    </cfRule>
  </conditionalFormatting>
  <conditionalFormatting sqref="R44:R55 W44:W51 AB44:AB50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54:R64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54:S64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54:X56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54:Y58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84" r:id="rId1" xr:uid="{EC1E9845-842B-49E9-9270-44DA5F9D9E3F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5A9D-F6D8-4870-BC4E-8FA73A437FF8}">
  <sheetPr>
    <outlinePr summaryBelow="0" summaryRight="0"/>
  </sheetPr>
  <dimension ref="A2:AO269"/>
  <sheetViews>
    <sheetView workbookViewId="0"/>
  </sheetViews>
  <sheetFormatPr defaultColWidth="12.6640625" defaultRowHeight="15.75" customHeight="1"/>
  <cols>
    <col min="1" max="1" width="7.33203125" customWidth="1"/>
    <col min="28" max="28" width="15" customWidth="1"/>
    <col min="29" max="29" width="13.6640625" customWidth="1"/>
    <col min="30" max="30" width="16.33203125" customWidth="1"/>
    <col min="31" max="31" width="16.21875" customWidth="1"/>
    <col min="32" max="32" width="15.33203125" customWidth="1"/>
  </cols>
  <sheetData>
    <row r="2" spans="2:22" ht="13.8">
      <c r="B2" s="145" t="s">
        <v>155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2:22" ht="15.75" customHeight="1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6" spans="2:22" ht="13.8">
      <c r="L6" s="45" t="s">
        <v>156</v>
      </c>
    </row>
    <row r="8" spans="2:22" ht="13.8">
      <c r="Q8" s="45">
        <v>1023100</v>
      </c>
      <c r="R8" s="45"/>
      <c r="S8" s="45"/>
      <c r="T8" s="45"/>
      <c r="U8" s="45"/>
      <c r="V8" s="45"/>
    </row>
    <row r="21" spans="1:1" ht="13.8">
      <c r="A21" s="45" t="s">
        <v>157</v>
      </c>
    </row>
    <row r="38" spans="1:11" ht="13.8">
      <c r="A38" s="146" t="s">
        <v>158</v>
      </c>
      <c r="B38" s="147" t="s">
        <v>3</v>
      </c>
      <c r="C38" s="148" t="s">
        <v>159</v>
      </c>
      <c r="F38" s="149" t="s">
        <v>3</v>
      </c>
      <c r="G38" s="149" t="s">
        <v>160</v>
      </c>
      <c r="J38" s="149" t="s">
        <v>3</v>
      </c>
      <c r="K38" s="149" t="s">
        <v>161</v>
      </c>
    </row>
    <row r="39" spans="1:11" ht="15.75" customHeight="1">
      <c r="B39" s="150" t="s">
        <v>24</v>
      </c>
      <c r="C39" s="151">
        <v>59829.623480299997</v>
      </c>
      <c r="F39" s="21" t="s">
        <v>24</v>
      </c>
      <c r="G39" s="152">
        <v>12481</v>
      </c>
      <c r="J39" s="21" t="s">
        <v>24</v>
      </c>
      <c r="K39" s="152">
        <v>248</v>
      </c>
    </row>
    <row r="40" spans="1:11" ht="15.75" customHeight="1">
      <c r="B40" s="150" t="s">
        <v>162</v>
      </c>
      <c r="C40" s="151">
        <v>34543.2696</v>
      </c>
      <c r="F40" s="21" t="s">
        <v>162</v>
      </c>
      <c r="G40" s="152">
        <v>9685</v>
      </c>
      <c r="J40" s="21" t="s">
        <v>162</v>
      </c>
      <c r="K40" s="152">
        <v>414</v>
      </c>
    </row>
    <row r="41" spans="1:11" ht="15.75" customHeight="1">
      <c r="B41" s="150" t="s">
        <v>163</v>
      </c>
      <c r="C41" s="151">
        <v>30196.157727500002</v>
      </c>
      <c r="F41" s="21" t="s">
        <v>163</v>
      </c>
      <c r="G41" s="152">
        <v>7313</v>
      </c>
      <c r="J41" s="21" t="s">
        <v>163</v>
      </c>
      <c r="K41" s="152">
        <v>442</v>
      </c>
    </row>
    <row r="42" spans="1:11" ht="15.75" customHeight="1">
      <c r="B42" s="150" t="s">
        <v>164</v>
      </c>
      <c r="C42" s="151">
        <v>27931.711110799999</v>
      </c>
      <c r="F42" s="21" t="s">
        <v>164</v>
      </c>
      <c r="G42" s="152">
        <v>6830</v>
      </c>
      <c r="J42" s="21" t="s">
        <v>164</v>
      </c>
      <c r="K42" s="152">
        <v>224</v>
      </c>
    </row>
    <row r="43" spans="1:11" ht="15.75" customHeight="1">
      <c r="B43" s="150" t="s">
        <v>165</v>
      </c>
      <c r="C43" s="151">
        <v>20229.606449999999</v>
      </c>
      <c r="F43" s="21" t="s">
        <v>165</v>
      </c>
      <c r="G43" s="152">
        <v>4857</v>
      </c>
      <c r="J43" s="21" t="s">
        <v>165</v>
      </c>
      <c r="K43" s="152">
        <v>258</v>
      </c>
    </row>
    <row r="44" spans="1:11" ht="15.75" customHeight="1">
      <c r="B44" s="150" t="s">
        <v>166</v>
      </c>
      <c r="C44" s="151">
        <v>15091.71998</v>
      </c>
      <c r="F44" s="21" t="s">
        <v>166</v>
      </c>
      <c r="G44" s="152">
        <v>6730</v>
      </c>
      <c r="J44" s="21" t="s">
        <v>166</v>
      </c>
      <c r="K44" s="152">
        <v>140</v>
      </c>
    </row>
    <row r="45" spans="1:11" ht="15.75" customHeight="1">
      <c r="B45" s="150" t="s">
        <v>167</v>
      </c>
      <c r="C45" s="151">
        <v>13031.0978</v>
      </c>
      <c r="F45" s="21" t="s">
        <v>167</v>
      </c>
      <c r="G45" s="152">
        <v>2678</v>
      </c>
      <c r="J45" s="21" t="s">
        <v>168</v>
      </c>
      <c r="K45" s="152">
        <v>225</v>
      </c>
    </row>
    <row r="46" spans="1:11" ht="15.75" customHeight="1">
      <c r="B46" s="150" t="s">
        <v>168</v>
      </c>
      <c r="C46" s="151">
        <v>11301.466667500001</v>
      </c>
      <c r="F46" s="21" t="s">
        <v>168</v>
      </c>
      <c r="G46" s="152">
        <v>4639</v>
      </c>
      <c r="J46" s="21" t="s">
        <v>167</v>
      </c>
      <c r="K46" s="152">
        <v>132</v>
      </c>
    </row>
    <row r="47" spans="1:11" ht="15.75" customHeight="1">
      <c r="B47" s="153" t="s">
        <v>169</v>
      </c>
      <c r="C47" s="154">
        <v>9628.4922698999999</v>
      </c>
      <c r="F47" s="21" t="s">
        <v>169</v>
      </c>
      <c r="G47" s="152">
        <v>2189</v>
      </c>
      <c r="J47" s="21" t="s">
        <v>169</v>
      </c>
      <c r="K47" s="152">
        <v>92</v>
      </c>
    </row>
    <row r="48" spans="1:11" ht="15.75" customHeight="1">
      <c r="B48" s="153" t="s">
        <v>170</v>
      </c>
      <c r="C48" s="154">
        <f>C53-221783</f>
        <v>30872</v>
      </c>
      <c r="F48" s="21" t="s">
        <v>171</v>
      </c>
      <c r="G48" s="152">
        <v>4437</v>
      </c>
      <c r="J48" s="21" t="s">
        <v>171</v>
      </c>
      <c r="K48" s="152">
        <v>50</v>
      </c>
    </row>
    <row r="49" spans="2:11" ht="15.75" customHeight="1">
      <c r="B49" s="21"/>
      <c r="C49" s="155"/>
      <c r="F49" s="21" t="s">
        <v>172</v>
      </c>
      <c r="G49" s="152">
        <v>1918</v>
      </c>
      <c r="J49" s="21" t="s">
        <v>173</v>
      </c>
      <c r="K49" s="152">
        <v>-75</v>
      </c>
    </row>
    <row r="50" spans="2:11" ht="15.75" customHeight="1">
      <c r="B50" s="21"/>
      <c r="C50" s="155"/>
      <c r="F50" s="21" t="s">
        <v>173</v>
      </c>
      <c r="G50" s="152">
        <v>2812</v>
      </c>
      <c r="J50" s="21" t="s">
        <v>172</v>
      </c>
      <c r="K50" s="152">
        <v>75</v>
      </c>
    </row>
    <row r="51" spans="2:11" ht="15.75" customHeight="1">
      <c r="B51" s="21"/>
      <c r="C51" s="155"/>
      <c r="F51" s="24"/>
      <c r="G51" s="156"/>
      <c r="J51" s="24"/>
      <c r="K51" s="156"/>
    </row>
    <row r="52" spans="2:11" ht="15.75" customHeight="1">
      <c r="B52" s="21"/>
      <c r="C52" s="155"/>
    </row>
    <row r="53" spans="2:11" ht="13.8">
      <c r="B53" s="157" t="s">
        <v>174</v>
      </c>
      <c r="C53" s="158">
        <v>252655</v>
      </c>
      <c r="F53" s="157" t="s">
        <v>174</v>
      </c>
      <c r="G53" s="158">
        <f>SUM(G39:G51)</f>
        <v>66569</v>
      </c>
      <c r="J53" s="157" t="s">
        <v>174</v>
      </c>
      <c r="K53" s="158">
        <f>SUM(K39:K51)</f>
        <v>2225</v>
      </c>
    </row>
    <row r="54" spans="2:11" ht="15.75" customHeight="1">
      <c r="B54" s="21"/>
      <c r="C54" s="155"/>
    </row>
    <row r="55" spans="2:11" ht="15.75" customHeight="1">
      <c r="B55" s="21"/>
      <c r="C55" s="155"/>
    </row>
    <row r="56" spans="2:11" ht="15.75" customHeight="1">
      <c r="B56" s="21"/>
      <c r="C56" s="155"/>
    </row>
    <row r="57" spans="2:11" ht="15.75" customHeight="1">
      <c r="B57" s="21"/>
      <c r="C57" s="155"/>
    </row>
    <row r="58" spans="2:11" ht="15.75" customHeight="1">
      <c r="B58" s="21"/>
      <c r="C58" s="155"/>
    </row>
    <row r="59" spans="2:11" ht="13.8">
      <c r="B59" s="159"/>
      <c r="C59" s="159"/>
    </row>
    <row r="70" spans="2:7" ht="13.8">
      <c r="B70" s="160" t="s">
        <v>26</v>
      </c>
    </row>
    <row r="71" spans="2:7" ht="13.8">
      <c r="B71" s="161" t="s">
        <v>3</v>
      </c>
      <c r="C71" s="161" t="s">
        <v>175</v>
      </c>
      <c r="D71" s="161" t="s">
        <v>176</v>
      </c>
      <c r="E71" s="161" t="s">
        <v>177</v>
      </c>
      <c r="F71" s="161" t="s">
        <v>178</v>
      </c>
      <c r="G71" s="161" t="s">
        <v>179</v>
      </c>
    </row>
    <row r="72" spans="2:7" ht="15.75" customHeight="1">
      <c r="B72" s="162" t="s">
        <v>24</v>
      </c>
      <c r="C72" s="95">
        <v>7.3208782676350781E-2</v>
      </c>
      <c r="D72" s="95">
        <v>9.0126388952265879E-2</v>
      </c>
      <c r="E72" s="95">
        <v>0.13272819726262419</v>
      </c>
      <c r="F72" s="95">
        <v>0.32790722417278428</v>
      </c>
      <c r="G72" s="95">
        <v>0.46500000000000002</v>
      </c>
    </row>
    <row r="73" spans="2:7" ht="15.75" customHeight="1">
      <c r="B73" s="162" t="s">
        <v>162</v>
      </c>
      <c r="C73" s="95">
        <v>9.3819072264084147E-2</v>
      </c>
      <c r="D73" s="95">
        <v>0.12761542415210347</v>
      </c>
      <c r="E73" s="95">
        <v>0.13097545916799369</v>
      </c>
      <c r="F73" s="95">
        <v>0.21411558229910987</v>
      </c>
      <c r="G73" s="95">
        <v>0.28710000000000002</v>
      </c>
    </row>
    <row r="74" spans="2:7" ht="15.75" customHeight="1">
      <c r="B74" s="162" t="s">
        <v>163</v>
      </c>
      <c r="C74" s="95"/>
      <c r="D74" s="95"/>
      <c r="E74" s="95">
        <v>0.10301876830180134</v>
      </c>
      <c r="F74" s="95">
        <v>0.25890859011878131</v>
      </c>
      <c r="G74" s="95">
        <v>0.1391</v>
      </c>
    </row>
    <row r="75" spans="2:7" ht="15.75" customHeight="1">
      <c r="B75" s="162" t="s">
        <v>164</v>
      </c>
      <c r="C75" s="95">
        <v>9.9510526380277131E-2</v>
      </c>
      <c r="D75" s="95">
        <v>9.1948323315094616E-2</v>
      </c>
      <c r="E75" s="95">
        <v>4.8222933402863877E-2</v>
      </c>
      <c r="F75" s="95">
        <v>5.1508462104488117E-3</v>
      </c>
      <c r="G75" s="95">
        <v>0.2397</v>
      </c>
    </row>
    <row r="76" spans="2:7" ht="15.75" customHeight="1">
      <c r="B76" s="162" t="s">
        <v>165</v>
      </c>
      <c r="C76" s="95">
        <v>0.19980886937079312</v>
      </c>
      <c r="D76" s="95">
        <v>0.12340991425492054</v>
      </c>
      <c r="E76" s="95">
        <v>0.13365165490728304</v>
      </c>
      <c r="F76" s="95">
        <v>0.17688393506178812</v>
      </c>
      <c r="G76" s="95">
        <v>0.21659999999999999</v>
      </c>
    </row>
    <row r="77" spans="2:7" ht="15.75" customHeight="1">
      <c r="B77" s="162" t="s">
        <v>166</v>
      </c>
      <c r="C77" s="95"/>
      <c r="D77" s="95"/>
      <c r="E77" s="95">
        <v>0.25196892467078458</v>
      </c>
      <c r="F77" s="95">
        <v>-2.8439439872960826E-2</v>
      </c>
      <c r="G77" s="95">
        <v>0.41410000000000002</v>
      </c>
    </row>
    <row r="78" spans="2:7" ht="15.75" customHeight="1">
      <c r="B78" s="162" t="s">
        <v>167</v>
      </c>
      <c r="C78" s="95">
        <v>0.13495265899809428</v>
      </c>
      <c r="D78" s="95">
        <v>7.3632051948961497E-2</v>
      </c>
      <c r="E78" s="95">
        <v>4.9229375598962788E-2</v>
      </c>
      <c r="F78" s="95">
        <v>-3.5649981994958613E-2</v>
      </c>
      <c r="G78" s="95">
        <v>1.8E-3</v>
      </c>
    </row>
    <row r="79" spans="2:7" ht="15.75" customHeight="1">
      <c r="B79" s="163" t="s">
        <v>168</v>
      </c>
      <c r="C79" s="95"/>
      <c r="D79" s="95">
        <v>1.4880081248613175E-2</v>
      </c>
      <c r="E79" s="95">
        <v>-6.9658890383399452E-2</v>
      </c>
      <c r="F79" s="95">
        <v>-0.14551482777675451</v>
      </c>
      <c r="G79" s="95">
        <v>3.8600000000000002E-2</v>
      </c>
    </row>
    <row r="80" spans="2:7" ht="15.75" customHeight="1">
      <c r="B80" s="163" t="s">
        <v>169</v>
      </c>
      <c r="C80" s="95"/>
      <c r="D80" s="95"/>
      <c r="E80" s="95"/>
      <c r="F80" s="95">
        <v>5.0383877159309032E-2</v>
      </c>
      <c r="G80" s="95">
        <v>9.4E-2</v>
      </c>
    </row>
    <row r="81" spans="2:9" ht="15.75" customHeight="1">
      <c r="B81" s="163" t="s">
        <v>171</v>
      </c>
      <c r="C81" s="95">
        <v>0.1617773495214534</v>
      </c>
      <c r="D81" s="95">
        <v>0.15826082737948743</v>
      </c>
      <c r="E81" s="95">
        <v>0.10783279735903029</v>
      </c>
      <c r="F81" s="95">
        <v>5.7939914163090078E-2</v>
      </c>
      <c r="G81" s="95">
        <v>0.17299999999999999</v>
      </c>
    </row>
    <row r="82" spans="2:9" ht="15.75" customHeight="1">
      <c r="B82" s="163" t="s">
        <v>172</v>
      </c>
      <c r="C82" s="95">
        <v>9.8289208417648988E-2</v>
      </c>
      <c r="D82" s="95">
        <v>4.8100533323297112E-2</v>
      </c>
      <c r="E82" s="95">
        <v>-3.0648360318455192E-2</v>
      </c>
      <c r="F82" s="95">
        <v>-0.19546979865771807</v>
      </c>
      <c r="G82" s="95"/>
    </row>
    <row r="83" spans="2:9" ht="15.75" customHeight="1" thickBot="1">
      <c r="B83" s="164" t="s">
        <v>173</v>
      </c>
      <c r="C83" s="165"/>
      <c r="D83" s="165"/>
      <c r="E83" s="165">
        <v>8.5710109305209947E-2</v>
      </c>
      <c r="F83" s="165">
        <v>0.11190193752471322</v>
      </c>
      <c r="G83" s="165">
        <v>6.9800000000000001E-2</v>
      </c>
    </row>
    <row r="84" spans="2:9" ht="14.4" thickBot="1">
      <c r="B84" s="45"/>
      <c r="C84" s="95"/>
      <c r="E84" s="95"/>
    </row>
    <row r="85" spans="2:9" ht="13.8">
      <c r="B85" s="166" t="s">
        <v>174</v>
      </c>
      <c r="C85" s="167">
        <v>0.13359151196270291</v>
      </c>
      <c r="D85" s="167">
        <v>0.12723400109186822</v>
      </c>
      <c r="E85" s="167">
        <v>9.5775747701204672E-2</v>
      </c>
      <c r="F85" s="167">
        <v>0.10157038606013469</v>
      </c>
      <c r="G85" s="167">
        <v>0.3029313428193765</v>
      </c>
    </row>
    <row r="88" spans="2:9" ht="13.8">
      <c r="B88" s="168" t="s">
        <v>29</v>
      </c>
    </row>
    <row r="89" spans="2:9" ht="13.8">
      <c r="B89" s="169" t="s">
        <v>3</v>
      </c>
      <c r="C89" s="169" t="s">
        <v>180</v>
      </c>
      <c r="D89" s="169" t="s">
        <v>181</v>
      </c>
      <c r="E89" s="169" t="s">
        <v>182</v>
      </c>
      <c r="F89" s="169" t="s">
        <v>183</v>
      </c>
      <c r="G89" s="169" t="s">
        <v>184</v>
      </c>
      <c r="H89" s="169" t="s">
        <v>185</v>
      </c>
      <c r="I89" s="169" t="s">
        <v>186</v>
      </c>
    </row>
    <row r="90" spans="2:9" ht="15.75" customHeight="1">
      <c r="B90" s="2" t="s">
        <v>24</v>
      </c>
      <c r="C90" s="123">
        <v>6.8099999999999994E-2</v>
      </c>
      <c r="D90" s="123">
        <v>3.8399999999999997E-2</v>
      </c>
      <c r="E90" s="123">
        <v>1.9870202708116336E-2</v>
      </c>
      <c r="F90" s="123">
        <v>1.4469624428130653E-2</v>
      </c>
      <c r="G90" s="123">
        <v>6.9326161661437319E-2</v>
      </c>
      <c r="H90" s="123">
        <v>4.6524876566654008E-2</v>
      </c>
      <c r="I90" s="123">
        <v>5.8728323699421964E-2</v>
      </c>
    </row>
    <row r="91" spans="2:9" ht="15.75" customHeight="1">
      <c r="B91" s="2" t="s">
        <v>162</v>
      </c>
      <c r="C91" s="123">
        <v>5.8999999999999997E-2</v>
      </c>
      <c r="D91" s="123">
        <v>3.73E-2</v>
      </c>
      <c r="E91" s="123">
        <v>4.2746515229736708E-2</v>
      </c>
      <c r="F91" s="123">
        <v>5.0144164472859472E-2</v>
      </c>
      <c r="G91" s="123">
        <v>3.6301108139090564E-2</v>
      </c>
      <c r="H91" s="123">
        <v>2.6424159231297185E-2</v>
      </c>
      <c r="I91" s="123">
        <v>7.1343638525564801E-2</v>
      </c>
    </row>
    <row r="92" spans="2:9" ht="15.75" customHeight="1">
      <c r="B92" s="2" t="s">
        <v>163</v>
      </c>
      <c r="C92" s="123">
        <v>7.1099999999999997E-2</v>
      </c>
      <c r="D92" s="123">
        <v>6.5000000000000002E-2</v>
      </c>
      <c r="E92" s="123">
        <v>6.0440311773553947E-2</v>
      </c>
      <c r="F92" s="123">
        <v>8.1769667756928899E-2</v>
      </c>
      <c r="G92" s="123">
        <v>8.9528912703728508E-2</v>
      </c>
      <c r="H92" s="123"/>
      <c r="I92" s="123"/>
    </row>
    <row r="93" spans="2:9" ht="15.75" customHeight="1">
      <c r="B93" s="2" t="s">
        <v>164</v>
      </c>
      <c r="C93" s="123">
        <v>5.62E-2</v>
      </c>
      <c r="D93" s="123">
        <v>3.2199999999999999E-2</v>
      </c>
      <c r="E93" s="123">
        <v>3.2796486090775991E-2</v>
      </c>
      <c r="F93" s="123">
        <v>3.2818248712288445E-2</v>
      </c>
      <c r="G93" s="123">
        <v>7.5782842319807295E-2</v>
      </c>
      <c r="H93" s="123">
        <v>4.3048694424841216E-2</v>
      </c>
      <c r="I93" s="123">
        <v>9.113001215066828E-3</v>
      </c>
    </row>
    <row r="94" spans="2:9" ht="15.75" customHeight="1">
      <c r="B94" s="2" t="s">
        <v>165</v>
      </c>
      <c r="C94" s="123">
        <v>6.7000000000000004E-2</v>
      </c>
      <c r="D94" s="123">
        <v>5.2699999999999997E-2</v>
      </c>
      <c r="E94" s="123">
        <v>5.3119209388511425E-2</v>
      </c>
      <c r="F94" s="123">
        <v>4.5795977707778046E-2</v>
      </c>
      <c r="G94" s="123">
        <v>6.4764841942945253E-2</v>
      </c>
      <c r="H94" s="123">
        <v>4.6143704680290047E-2</v>
      </c>
      <c r="I94" s="123">
        <v>5.3797468354430382E-2</v>
      </c>
    </row>
    <row r="95" spans="2:9" ht="15.75" customHeight="1">
      <c r="B95" s="2" t="s">
        <v>166</v>
      </c>
      <c r="C95" s="123">
        <v>4.0899999999999999E-2</v>
      </c>
      <c r="D95" s="123">
        <v>2.75E-2</v>
      </c>
      <c r="E95" s="123">
        <v>2.0802377414561663E-2</v>
      </c>
      <c r="F95" s="123">
        <v>2.3531110148693517E-2</v>
      </c>
      <c r="G95" s="123">
        <v>4.2047531992687383E-2</v>
      </c>
      <c r="H95" s="123"/>
      <c r="I95" s="123"/>
    </row>
    <row r="96" spans="2:9" ht="15.75" customHeight="1">
      <c r="B96" s="2" t="s">
        <v>167</v>
      </c>
      <c r="C96" s="123">
        <v>8.5099999999999995E-2</v>
      </c>
      <c r="D96" s="123">
        <v>9.1800000000000007E-2</v>
      </c>
      <c r="E96" s="123">
        <v>8.4017923823749063E-2</v>
      </c>
      <c r="F96" s="123">
        <v>9.1825711199135754E-2</v>
      </c>
      <c r="G96" s="123">
        <v>9.1168091168091173E-2</v>
      </c>
      <c r="H96" s="123">
        <v>8.5106382978723402E-2</v>
      </c>
      <c r="I96" s="123">
        <v>5.4862842892768077E-2</v>
      </c>
    </row>
    <row r="97" spans="2:11" ht="15.75" customHeight="1">
      <c r="B97" s="2" t="s">
        <v>168</v>
      </c>
      <c r="C97" s="123">
        <v>2.4299999999999999E-2</v>
      </c>
      <c r="D97" s="123"/>
      <c r="E97" s="123">
        <v>2.8454408277646046E-2</v>
      </c>
      <c r="F97" s="123">
        <v>3.9602136673420517E-2</v>
      </c>
      <c r="G97" s="123">
        <v>2.5090144230769232E-2</v>
      </c>
      <c r="H97" s="123">
        <v>-1.2493753123438282E-3</v>
      </c>
      <c r="I97" s="123"/>
    </row>
    <row r="98" spans="2:11" ht="15.75" customHeight="1">
      <c r="B98" s="2" t="s">
        <v>169</v>
      </c>
      <c r="C98" s="123">
        <v>5.6099999999999997E-2</v>
      </c>
      <c r="D98" s="123"/>
      <c r="E98" s="123">
        <v>4.202832343535861E-2</v>
      </c>
      <c r="F98" s="123">
        <v>1.0076775431861805E-2</v>
      </c>
      <c r="G98" s="123">
        <v>-3.8461538461538464E-2</v>
      </c>
      <c r="H98" s="123">
        <v>0</v>
      </c>
      <c r="I98" s="123"/>
    </row>
    <row r="99" spans="2:11" ht="15.75" customHeight="1">
      <c r="B99" s="2" t="s">
        <v>171</v>
      </c>
      <c r="C99" s="123">
        <v>3.1399999999999997E-2</v>
      </c>
      <c r="D99" s="123"/>
      <c r="E99" s="123">
        <v>1.1268875366238449E-2</v>
      </c>
      <c r="F99" s="123">
        <v>3.5765379113018598E-3</v>
      </c>
      <c r="G99" s="123">
        <v>2.6701767581797667E-2</v>
      </c>
      <c r="H99" s="123">
        <v>2.1547502448579822E-2</v>
      </c>
      <c r="I99" s="123">
        <v>6.6000000000000003E-2</v>
      </c>
    </row>
    <row r="100" spans="2:11" ht="15.75" customHeight="1">
      <c r="B100" s="2" t="s">
        <v>172</v>
      </c>
      <c r="C100" s="123"/>
      <c r="D100" s="123"/>
      <c r="E100" s="123">
        <v>-3.9103232533889469E-2</v>
      </c>
      <c r="F100" s="123">
        <v>-3.4395973154362415E-2</v>
      </c>
      <c r="G100" s="123">
        <v>3.792949576082106E-2</v>
      </c>
      <c r="H100" s="123">
        <v>6.672226855713094E-2</v>
      </c>
      <c r="I100" s="123">
        <v>4.4680851063829789E-2</v>
      </c>
    </row>
    <row r="101" spans="2:11" ht="15.75" customHeight="1" thickBot="1">
      <c r="B101" s="170" t="s">
        <v>173</v>
      </c>
      <c r="C101" s="171">
        <v>1.9E-2</v>
      </c>
      <c r="D101" s="171"/>
      <c r="E101" s="171">
        <v>2.6671408250355619E-2</v>
      </c>
      <c r="F101" s="171">
        <v>3.0051403716884143E-2</v>
      </c>
      <c r="G101" s="171">
        <v>3.7017167381974247E-2</v>
      </c>
      <c r="H101" s="171"/>
      <c r="I101" s="171"/>
    </row>
    <row r="102" spans="2:11" ht="14.4" thickBot="1">
      <c r="B102" s="45"/>
      <c r="E102" s="95"/>
      <c r="F102" s="95"/>
      <c r="G102" s="95"/>
      <c r="H102" s="95"/>
      <c r="I102" s="95"/>
    </row>
    <row r="103" spans="2:11" ht="13.8">
      <c r="B103" s="166" t="s">
        <v>174</v>
      </c>
      <c r="C103" s="172">
        <v>6.2E-2</v>
      </c>
      <c r="D103" s="172">
        <v>4.3999999999999997E-2</v>
      </c>
      <c r="E103" s="172">
        <v>3.3423966110351665E-2</v>
      </c>
      <c r="F103" s="172">
        <v>3.5035395909805978E-2</v>
      </c>
      <c r="G103" s="172">
        <v>6.6449913377791492E-2</v>
      </c>
      <c r="H103" s="172">
        <v>5.8267403094989303E-2</v>
      </c>
      <c r="I103" s="172">
        <v>8.5328603803330377E-2</v>
      </c>
    </row>
    <row r="105" spans="2:11" ht="13.8">
      <c r="B105" s="160" t="s">
        <v>187</v>
      </c>
    </row>
    <row r="106" spans="2:11" ht="13.8">
      <c r="B106" s="173" t="s">
        <v>3</v>
      </c>
      <c r="C106" s="173" t="s">
        <v>37</v>
      </c>
      <c r="F106" s="173" t="s">
        <v>3</v>
      </c>
      <c r="G106" s="173" t="s">
        <v>39</v>
      </c>
      <c r="J106" s="173" t="s">
        <v>3</v>
      </c>
      <c r="K106" s="173" t="s">
        <v>38</v>
      </c>
    </row>
    <row r="107" spans="2:11" ht="15.75" customHeight="1">
      <c r="B107" s="174" t="s">
        <v>24</v>
      </c>
      <c r="C107" s="175">
        <v>0.12250859106529209</v>
      </c>
      <c r="F107" s="174" t="s">
        <v>24</v>
      </c>
      <c r="G107" s="176">
        <v>1.4762516046213094</v>
      </c>
      <c r="J107" s="174" t="s">
        <v>24</v>
      </c>
      <c r="K107" s="176">
        <v>1.0621993127147766</v>
      </c>
    </row>
    <row r="108" spans="2:11" ht="15.75" customHeight="1">
      <c r="B108" s="174" t="s">
        <v>162</v>
      </c>
      <c r="C108" s="175">
        <v>6.4033742331288349E-2</v>
      </c>
      <c r="F108" s="174" t="s">
        <v>162</v>
      </c>
      <c r="G108" s="176">
        <v>9.7758620689655178</v>
      </c>
      <c r="J108" s="174" t="s">
        <v>162</v>
      </c>
      <c r="K108" s="176">
        <v>1.5356595092024541</v>
      </c>
    </row>
    <row r="109" spans="2:11" ht="15.75" customHeight="1">
      <c r="B109" s="174" t="s">
        <v>163</v>
      </c>
      <c r="C109" s="175">
        <v>0.19966666666666666</v>
      </c>
      <c r="F109" s="174" t="s">
        <v>163</v>
      </c>
      <c r="G109" s="176">
        <v>7.4050632911392409</v>
      </c>
      <c r="J109" s="174" t="s">
        <v>163</v>
      </c>
      <c r="K109" s="176">
        <v>0.87766666666666671</v>
      </c>
    </row>
    <row r="110" spans="2:11" ht="15.75" customHeight="1">
      <c r="B110" s="174" t="s">
        <v>164</v>
      </c>
      <c r="C110" s="175">
        <v>0</v>
      </c>
      <c r="F110" s="174" t="s">
        <v>164</v>
      </c>
      <c r="G110" s="176">
        <v>6.4</v>
      </c>
      <c r="J110" s="174" t="s">
        <v>164</v>
      </c>
      <c r="K110" s="176">
        <v>0.62239089184060725</v>
      </c>
    </row>
    <row r="111" spans="2:11" ht="15.75" customHeight="1">
      <c r="B111" s="174" t="s">
        <v>165</v>
      </c>
      <c r="C111" s="175">
        <v>0.16041896361631752</v>
      </c>
      <c r="F111" s="174" t="s">
        <v>165</v>
      </c>
      <c r="G111" s="176">
        <v>8.6750000000000007</v>
      </c>
      <c r="J111" s="174" t="s">
        <v>165</v>
      </c>
      <c r="K111" s="176">
        <v>0.74255788313120175</v>
      </c>
    </row>
    <row r="112" spans="2:11" ht="15.75" customHeight="1">
      <c r="B112" s="174" t="s">
        <v>166</v>
      </c>
      <c r="C112" s="175">
        <v>0.69443099273607745</v>
      </c>
      <c r="F112" s="174" t="s">
        <v>166</v>
      </c>
      <c r="G112" s="176">
        <v>1.8323353293413174</v>
      </c>
      <c r="J112" s="174" t="s">
        <v>166</v>
      </c>
      <c r="K112" s="176">
        <v>2.168038740920097</v>
      </c>
    </row>
    <row r="113" spans="2:11" ht="15.75" customHeight="1">
      <c r="B113" s="174" t="s">
        <v>168</v>
      </c>
      <c r="C113" s="175">
        <v>2.2509578544061302E-2</v>
      </c>
      <c r="F113" s="174" t="s">
        <v>168</v>
      </c>
      <c r="G113" s="176">
        <v>18.384615384615383</v>
      </c>
      <c r="J113" s="174" t="s">
        <v>168</v>
      </c>
      <c r="K113" s="176">
        <v>0.31369731800766282</v>
      </c>
    </row>
    <row r="114" spans="2:11" ht="15.75" customHeight="1">
      <c r="B114" s="174" t="s">
        <v>167</v>
      </c>
      <c r="C114" s="175">
        <v>0.15949554896142434</v>
      </c>
      <c r="F114" s="174" t="s">
        <v>167</v>
      </c>
      <c r="G114" s="176">
        <v>5.1269841269841274</v>
      </c>
      <c r="J114" s="174" t="s">
        <v>167</v>
      </c>
      <c r="K114" s="176">
        <v>1.8093471810089021</v>
      </c>
    </row>
    <row r="115" spans="2:11" ht="15.75" customHeight="1">
      <c r="B115" s="174" t="s">
        <v>169</v>
      </c>
      <c r="C115" s="175">
        <v>1.4692378328741965E-2</v>
      </c>
      <c r="F115" s="174" t="s">
        <v>169</v>
      </c>
      <c r="G115" s="176">
        <v>20.2</v>
      </c>
      <c r="J115" s="174" t="s">
        <v>169</v>
      </c>
      <c r="K115" s="176">
        <v>0.4428374655647383</v>
      </c>
    </row>
    <row r="116" spans="2:11" ht="15.75" customHeight="1">
      <c r="B116" s="174" t="s">
        <v>171</v>
      </c>
      <c r="C116" s="175">
        <v>9.7629009762900981E-2</v>
      </c>
      <c r="F116" s="174" t="s">
        <v>171</v>
      </c>
      <c r="G116" s="176">
        <v>3.2857142857142856</v>
      </c>
      <c r="J116" s="174" t="s">
        <v>171</v>
      </c>
      <c r="K116" s="176">
        <v>2.0390516039051603</v>
      </c>
    </row>
    <row r="117" spans="2:11" ht="15.75" customHeight="1">
      <c r="B117" s="174" t="s">
        <v>173</v>
      </c>
      <c r="C117" s="175">
        <v>0.08</v>
      </c>
      <c r="F117" s="174" t="s">
        <v>173</v>
      </c>
      <c r="G117" s="176">
        <v>-4.125</v>
      </c>
      <c r="J117" s="174" t="s">
        <v>173</v>
      </c>
      <c r="K117" s="176">
        <v>1.8453608247422681</v>
      </c>
    </row>
    <row r="118" spans="2:11" ht="15.75" customHeight="1">
      <c r="B118" s="174" t="s">
        <v>172</v>
      </c>
      <c r="C118" s="175">
        <v>3.1347962382445138E-2</v>
      </c>
      <c r="F118" s="174" t="s">
        <v>172</v>
      </c>
      <c r="G118" s="176">
        <v>3.6956521739130435</v>
      </c>
      <c r="J118" s="174" t="s">
        <v>172</v>
      </c>
      <c r="K118" s="176">
        <v>1.2727272727272727</v>
      </c>
    </row>
    <row r="119" spans="2:11" ht="15.75" customHeight="1">
      <c r="B119" s="174"/>
      <c r="C119" s="177"/>
      <c r="F119" s="174"/>
      <c r="G119" s="178"/>
      <c r="J119" s="174" t="s">
        <v>188</v>
      </c>
      <c r="K119" s="175">
        <v>0.55838926174496639</v>
      </c>
    </row>
    <row r="121" spans="2:11" ht="13.8">
      <c r="B121" s="157" t="s">
        <v>174</v>
      </c>
      <c r="C121" s="179">
        <v>0.12602262837249784</v>
      </c>
      <c r="F121" s="157" t="s">
        <v>174</v>
      </c>
      <c r="G121" s="157">
        <v>3.7</v>
      </c>
      <c r="J121" s="157" t="s">
        <v>174</v>
      </c>
      <c r="K121" s="157">
        <v>1</v>
      </c>
    </row>
    <row r="137" spans="2:6" ht="13.8">
      <c r="B137" s="160" t="s">
        <v>189</v>
      </c>
    </row>
    <row r="138" spans="2:6" ht="13.8">
      <c r="B138" s="173" t="s">
        <v>3</v>
      </c>
      <c r="C138" s="173" t="s">
        <v>190</v>
      </c>
      <c r="E138" s="173" t="s">
        <v>3</v>
      </c>
      <c r="F138" s="173" t="s">
        <v>191</v>
      </c>
    </row>
    <row r="139" spans="2:6" ht="15.75" customHeight="1">
      <c r="B139" s="174" t="s">
        <v>24</v>
      </c>
      <c r="C139" s="176">
        <v>1.4595278473836246</v>
      </c>
      <c r="E139" s="174" t="s">
        <v>24</v>
      </c>
      <c r="F139" s="178">
        <v>58.738631769337161</v>
      </c>
    </row>
    <row r="140" spans="2:6" ht="15.75" customHeight="1">
      <c r="B140" s="174" t="s">
        <v>162</v>
      </c>
      <c r="C140" s="176">
        <v>1.3615064810873532</v>
      </c>
      <c r="E140" s="174" t="s">
        <v>162</v>
      </c>
      <c r="F140" s="178">
        <v>56.952262755421842</v>
      </c>
    </row>
    <row r="141" spans="2:6" ht="15.75" customHeight="1">
      <c r="B141" s="174" t="s">
        <v>163</v>
      </c>
      <c r="C141" s="176">
        <v>1.1496140262238699</v>
      </c>
      <c r="E141" s="174" t="s">
        <v>163</v>
      </c>
      <c r="F141" s="178">
        <v>42.623127904975043</v>
      </c>
    </row>
    <row r="142" spans="2:6" ht="15.75" customHeight="1">
      <c r="B142" s="174" t="s">
        <v>164</v>
      </c>
      <c r="C142" s="176">
        <v>2.5179224579370887</v>
      </c>
      <c r="E142" s="174" t="s">
        <v>164</v>
      </c>
      <c r="F142" s="178">
        <v>10.796909492273731</v>
      </c>
    </row>
    <row r="143" spans="2:6" ht="15.75" customHeight="1">
      <c r="B143" s="174" t="s">
        <v>165</v>
      </c>
      <c r="C143" s="176">
        <v>1.7624555895232588</v>
      </c>
      <c r="E143" s="174" t="s">
        <v>165</v>
      </c>
      <c r="F143" s="178">
        <v>40.306542282529684</v>
      </c>
    </row>
    <row r="144" spans="2:6" ht="15.75" customHeight="1">
      <c r="B144" s="174" t="s">
        <v>166</v>
      </c>
      <c r="C144" s="176">
        <v>1.0830248545742993</v>
      </c>
      <c r="E144" s="174" t="s">
        <v>166</v>
      </c>
      <c r="F144" s="178">
        <v>36.937346614696118</v>
      </c>
    </row>
    <row r="145" spans="1:16" ht="15.75" customHeight="1">
      <c r="B145" s="174" t="s">
        <v>168</v>
      </c>
      <c r="C145" s="176">
        <v>1.1361161524500907</v>
      </c>
      <c r="E145" s="174" t="s">
        <v>168</v>
      </c>
      <c r="F145" s="178">
        <v>1.4790937557561246</v>
      </c>
    </row>
    <row r="146" spans="1:16" ht="15.75" customHeight="1">
      <c r="B146" s="174" t="s">
        <v>167</v>
      </c>
      <c r="C146" s="176">
        <v>3.2142857142857144</v>
      </c>
      <c r="E146" s="174" t="s">
        <v>167</v>
      </c>
      <c r="F146" s="178">
        <v>45.871444004321205</v>
      </c>
    </row>
    <row r="147" spans="1:16" ht="15.75" customHeight="1">
      <c r="B147" s="174" t="s">
        <v>169</v>
      </c>
      <c r="C147" s="176">
        <v>0.58273381294964033</v>
      </c>
      <c r="E147" s="174" t="s">
        <v>169</v>
      </c>
      <c r="F147" s="178">
        <v>28.548464491362765</v>
      </c>
    </row>
    <row r="148" spans="1:16" ht="15.75" customHeight="1">
      <c r="B148" s="174" t="s">
        <v>171</v>
      </c>
      <c r="C148" s="176">
        <v>1.0998005436793259</v>
      </c>
      <c r="E148" s="174" t="s">
        <v>171</v>
      </c>
      <c r="F148" s="178">
        <v>36.333774439675729</v>
      </c>
    </row>
    <row r="149" spans="1:16" ht="15.75" customHeight="1">
      <c r="B149" s="174" t="s">
        <v>173</v>
      </c>
      <c r="C149" s="176">
        <v>1.4731115758989624</v>
      </c>
      <c r="E149" s="174" t="s">
        <v>173</v>
      </c>
      <c r="F149" s="178">
        <v>44.573586397785682</v>
      </c>
    </row>
    <row r="150" spans="1:16" ht="15.75" customHeight="1">
      <c r="B150" s="174" t="s">
        <v>172</v>
      </c>
      <c r="C150" s="176">
        <v>1.3228962818003913</v>
      </c>
      <c r="E150" s="174" t="s">
        <v>172</v>
      </c>
      <c r="F150" s="178">
        <v>23.884228187919465</v>
      </c>
    </row>
    <row r="151" spans="1:16" ht="15.75" customHeight="1">
      <c r="B151" s="174" t="s">
        <v>188</v>
      </c>
      <c r="C151" s="176">
        <v>1.1489361702127661</v>
      </c>
      <c r="E151" s="174" t="s">
        <v>188</v>
      </c>
      <c r="F151" s="178">
        <v>77.554806070826302</v>
      </c>
    </row>
    <row r="152" spans="1:16" ht="13.8">
      <c r="C152" s="180"/>
    </row>
    <row r="153" spans="1:16" ht="13.8">
      <c r="B153" s="157" t="s">
        <v>174</v>
      </c>
      <c r="C153" s="181">
        <v>1.4</v>
      </c>
      <c r="E153" s="157" t="s">
        <v>174</v>
      </c>
      <c r="F153" s="157">
        <v>38</v>
      </c>
    </row>
    <row r="155" spans="1:16" ht="13.8">
      <c r="B155" s="173" t="s">
        <v>192</v>
      </c>
    </row>
    <row r="156" spans="1:16" ht="13.8">
      <c r="A156" s="45"/>
      <c r="B156" s="173" t="s">
        <v>3</v>
      </c>
      <c r="C156" s="173" t="s">
        <v>40</v>
      </c>
      <c r="E156" s="173" t="s">
        <v>3</v>
      </c>
      <c r="F156" s="173" t="s">
        <v>42</v>
      </c>
      <c r="I156" s="160" t="s">
        <v>30</v>
      </c>
      <c r="J156" s="149" t="s">
        <v>3</v>
      </c>
      <c r="K156" s="149" t="s">
        <v>43</v>
      </c>
      <c r="L156" s="149" t="s">
        <v>46</v>
      </c>
      <c r="O156" s="149" t="s">
        <v>3</v>
      </c>
      <c r="P156" s="149" t="s">
        <v>44</v>
      </c>
    </row>
    <row r="157" spans="1:16" ht="15.75" customHeight="1">
      <c r="B157" s="174" t="s">
        <v>24</v>
      </c>
      <c r="C157" s="182">
        <v>4.2611683848797252E-2</v>
      </c>
      <c r="D157" s="95"/>
      <c r="E157" s="174" t="s">
        <v>24</v>
      </c>
      <c r="F157" s="182">
        <v>2.0604852110335661E-2</v>
      </c>
      <c r="J157" s="21" t="s">
        <v>24</v>
      </c>
      <c r="K157" s="155">
        <v>129.65517241379311</v>
      </c>
      <c r="L157" s="155">
        <v>6.2312231155396933</v>
      </c>
      <c r="O157" s="21" t="s">
        <v>24</v>
      </c>
      <c r="P157" s="183">
        <v>7.7127659574468084E-3</v>
      </c>
    </row>
    <row r="158" spans="1:16" ht="15.75" customHeight="1">
      <c r="B158" s="174" t="s">
        <v>162</v>
      </c>
      <c r="C158" s="182">
        <v>0.15874233128834356</v>
      </c>
      <c r="D158" s="95"/>
      <c r="E158" s="174" t="s">
        <v>162</v>
      </c>
      <c r="F158" s="182">
        <v>6.2556663644605617E-2</v>
      </c>
      <c r="J158" s="21" t="s">
        <v>162</v>
      </c>
      <c r="K158" s="155">
        <v>52.853648593558908</v>
      </c>
      <c r="L158" s="155">
        <v>11.1224865329489</v>
      </c>
      <c r="O158" s="21" t="s">
        <v>162</v>
      </c>
      <c r="P158" s="183">
        <v>1.8920169687620517E-2</v>
      </c>
    </row>
    <row r="159" spans="1:16" ht="15.75" customHeight="1">
      <c r="B159" s="174" t="s">
        <v>163</v>
      </c>
      <c r="C159" s="182">
        <v>0.14733333333333334</v>
      </c>
      <c r="D159" s="95"/>
      <c r="E159" s="174" t="s">
        <v>163</v>
      </c>
      <c r="F159" s="182">
        <v>7.2673462676751066E-2</v>
      </c>
      <c r="J159" s="21" t="s">
        <v>163</v>
      </c>
      <c r="K159" s="155">
        <v>44.634703196347033</v>
      </c>
      <c r="L159" s="155">
        <v>5.6660787263968695</v>
      </c>
      <c r="O159" s="21" t="s">
        <v>163</v>
      </c>
      <c r="P159" s="183">
        <v>2.2404092071611256E-2</v>
      </c>
    </row>
    <row r="160" spans="1:16" ht="15.75" customHeight="1">
      <c r="B160" s="174" t="s">
        <v>164</v>
      </c>
      <c r="C160" s="182">
        <v>6.0721062618595827E-2</v>
      </c>
      <c r="D160" s="95"/>
      <c r="E160" s="174" t="s">
        <v>164</v>
      </c>
      <c r="F160" s="182">
        <v>3.6482084690553744E-2</v>
      </c>
      <c r="J160" s="21" t="s">
        <v>164</v>
      </c>
      <c r="K160" s="155">
        <v>81.744708146247604</v>
      </c>
      <c r="L160" s="155">
        <v>4.1995018162947586</v>
      </c>
      <c r="O160" s="21" t="s">
        <v>164</v>
      </c>
      <c r="P160" s="183">
        <v>1.223320778405524E-2</v>
      </c>
    </row>
    <row r="161" spans="2:16" ht="15.75" customHeight="1">
      <c r="B161" s="174" t="s">
        <v>165</v>
      </c>
      <c r="C161" s="182">
        <v>0.14222712238147739</v>
      </c>
      <c r="D161" s="95"/>
      <c r="E161" s="174" t="s">
        <v>165</v>
      </c>
      <c r="F161" s="182">
        <v>8.1619740588421391E-2</v>
      </c>
      <c r="J161" s="21" t="s">
        <v>165</v>
      </c>
      <c r="K161" s="155">
        <v>57.947761194029852</v>
      </c>
      <c r="L161" s="155">
        <v>7.801442725534506</v>
      </c>
      <c r="O161" s="21" t="s">
        <v>165</v>
      </c>
      <c r="P161" s="183">
        <v>1.7256922086284609E-2</v>
      </c>
    </row>
    <row r="162" spans="2:16" ht="15.75" customHeight="1">
      <c r="B162" s="174" t="s">
        <v>166</v>
      </c>
      <c r="C162" s="182">
        <v>6.7796610169491525E-2</v>
      </c>
      <c r="D162" s="95"/>
      <c r="E162" s="174" t="s">
        <v>166</v>
      </c>
      <c r="F162" s="182">
        <v>2.1234642802972849E-2</v>
      </c>
      <c r="J162" s="21" t="s">
        <v>166</v>
      </c>
      <c r="K162" s="155">
        <v>92.366050260787105</v>
      </c>
      <c r="L162" s="155">
        <v>6.314734774066797</v>
      </c>
      <c r="O162" s="21" t="s">
        <v>166</v>
      </c>
      <c r="P162" s="183">
        <v>1.0826488706365503E-2</v>
      </c>
    </row>
    <row r="163" spans="2:16" ht="15.75" customHeight="1">
      <c r="B163" s="174" t="s">
        <v>168</v>
      </c>
      <c r="C163" s="182">
        <v>0.10775862068965517</v>
      </c>
      <c r="D163" s="95"/>
      <c r="E163" s="174" t="s">
        <v>168</v>
      </c>
      <c r="F163" s="182">
        <v>8.2026977761574915E-2</v>
      </c>
      <c r="J163" s="21" t="s">
        <v>168</v>
      </c>
      <c r="K163" s="155">
        <v>75.570570570570567</v>
      </c>
      <c r="L163" s="155">
        <v>8.5874629080118687</v>
      </c>
      <c r="O163" s="21" t="s">
        <v>168</v>
      </c>
      <c r="P163" s="183">
        <v>1.3232664414861912E-2</v>
      </c>
    </row>
    <row r="164" spans="2:16" ht="15.75" customHeight="1">
      <c r="B164" s="174" t="s">
        <v>167</v>
      </c>
      <c r="C164" s="182">
        <v>9.7922848664688422E-2</v>
      </c>
      <c r="D164" s="95"/>
      <c r="E164" s="174" t="s">
        <v>167</v>
      </c>
      <c r="F164" s="182">
        <v>3.4856086612094009E-2</v>
      </c>
      <c r="J164" s="21" t="s">
        <v>167</v>
      </c>
      <c r="K164" s="155">
        <v>45.589480048367591</v>
      </c>
      <c r="L164" s="155">
        <v>4.9658814589665656</v>
      </c>
      <c r="O164" s="21" t="s">
        <v>167</v>
      </c>
      <c r="P164" s="183">
        <v>2.1934884954578609E-2</v>
      </c>
    </row>
    <row r="165" spans="2:16" ht="15.75" customHeight="1">
      <c r="B165" s="174" t="s">
        <v>169</v>
      </c>
      <c r="C165" s="182">
        <v>2.1120293847566574E-2</v>
      </c>
      <c r="D165" s="95"/>
      <c r="E165" s="174" t="s">
        <v>169</v>
      </c>
      <c r="F165" s="182">
        <v>1.5101772816808929E-2</v>
      </c>
      <c r="J165" s="21" t="s">
        <v>169</v>
      </c>
      <c r="K165" s="155">
        <v>97.620481927710827</v>
      </c>
      <c r="L165" s="155">
        <v>2.1539703856749313</v>
      </c>
      <c r="O165" s="21" t="s">
        <v>169</v>
      </c>
      <c r="P165" s="183">
        <v>1.0243751928417156E-2</v>
      </c>
    </row>
    <row r="166" spans="2:16" ht="15.75" customHeight="1">
      <c r="B166" s="174" t="s">
        <v>171</v>
      </c>
      <c r="C166" s="182">
        <v>6.9735006973500699E-2</v>
      </c>
      <c r="D166" s="95"/>
      <c r="E166" s="174" t="s">
        <v>171</v>
      </c>
      <c r="F166" s="182">
        <v>2.2946305644791189E-2</v>
      </c>
      <c r="J166" s="21" t="s">
        <v>171</v>
      </c>
      <c r="K166" s="155">
        <v>197.00854700854703</v>
      </c>
      <c r="L166" s="155">
        <v>7.8381899060903955</v>
      </c>
      <c r="O166" s="21" t="s">
        <v>171</v>
      </c>
      <c r="P166" s="183">
        <v>5.0759219088937092E-3</v>
      </c>
    </row>
    <row r="167" spans="2:16" ht="15.75" customHeight="1">
      <c r="B167" s="174" t="s">
        <v>173</v>
      </c>
      <c r="C167" s="182">
        <v>-0.12886597938144329</v>
      </c>
      <c r="D167" s="95"/>
      <c r="E167" s="174" t="s">
        <v>173</v>
      </c>
      <c r="F167" s="182">
        <v>-4.5262522631261314E-2</v>
      </c>
      <c r="J167" s="21" t="s">
        <v>173</v>
      </c>
      <c r="K167" s="155">
        <v>51.507352941176471</v>
      </c>
      <c r="L167" s="155">
        <v>7.04461357210179</v>
      </c>
      <c r="O167" s="21" t="s">
        <v>173</v>
      </c>
      <c r="P167" s="183">
        <v>1.9414703783012133E-2</v>
      </c>
    </row>
    <row r="168" spans="2:16" ht="15.75" customHeight="1">
      <c r="B168" s="174" t="s">
        <v>172</v>
      </c>
      <c r="C168" s="182">
        <v>0.11755485893416928</v>
      </c>
      <c r="D168" s="95"/>
      <c r="E168" s="174" t="s">
        <v>172</v>
      </c>
      <c r="F168" s="182">
        <v>5.1688490696071676E-2</v>
      </c>
      <c r="J168" s="21" t="s">
        <v>172</v>
      </c>
      <c r="K168" s="155">
        <v>-24.771595583459625</v>
      </c>
      <c r="L168" s="155">
        <v>5.4970462633451964</v>
      </c>
      <c r="O168" s="21" t="s">
        <v>172</v>
      </c>
      <c r="P168" s="183">
        <v>-4.0368816640447468E-2</v>
      </c>
    </row>
    <row r="169" spans="2:16" ht="15.75" customHeight="1">
      <c r="B169" s="174" t="s">
        <v>188</v>
      </c>
      <c r="C169" s="182">
        <v>0.1580547112462006</v>
      </c>
      <c r="D169" s="95"/>
      <c r="E169" s="174" t="s">
        <v>188</v>
      </c>
      <c r="F169" s="182">
        <v>6.9798657718120799E-2</v>
      </c>
      <c r="J169" s="24" t="s">
        <v>188</v>
      </c>
      <c r="K169" s="184">
        <v>44.08038444735692</v>
      </c>
      <c r="L169" s="184">
        <v>7.5523952095808387</v>
      </c>
      <c r="O169" s="24" t="s">
        <v>188</v>
      </c>
      <c r="P169" s="185">
        <v>2.2685827552031714E-2</v>
      </c>
    </row>
    <row r="170" spans="2:16" ht="13.8">
      <c r="P170" s="123"/>
    </row>
    <row r="171" spans="2:16" ht="13.8">
      <c r="B171" s="157" t="s">
        <v>174</v>
      </c>
      <c r="C171" s="186">
        <v>7.5999999999999998E-2</v>
      </c>
      <c r="D171" s="123"/>
      <c r="E171" s="157" t="s">
        <v>174</v>
      </c>
      <c r="F171" s="186">
        <v>0.04</v>
      </c>
      <c r="J171" s="157" t="s">
        <v>174</v>
      </c>
      <c r="K171" s="157">
        <v>58</v>
      </c>
      <c r="L171" s="157">
        <v>6</v>
      </c>
      <c r="O171" s="157" t="s">
        <v>174</v>
      </c>
      <c r="P171" s="187">
        <v>1.2999999999999999E-2</v>
      </c>
    </row>
    <row r="189" spans="2:9" ht="13.8">
      <c r="B189" s="160" t="s">
        <v>30</v>
      </c>
    </row>
    <row r="190" spans="2:9" ht="13.8">
      <c r="B190" s="149" t="s">
        <v>3</v>
      </c>
      <c r="C190" s="149" t="s">
        <v>43</v>
      </c>
      <c r="E190" s="149" t="s">
        <v>3</v>
      </c>
      <c r="F190" s="149" t="s">
        <v>46</v>
      </c>
      <c r="H190" s="149" t="s">
        <v>3</v>
      </c>
      <c r="I190" s="149" t="s">
        <v>44</v>
      </c>
    </row>
    <row r="191" spans="2:9" ht="15.75" customHeight="1">
      <c r="B191" s="21" t="s">
        <v>24</v>
      </c>
      <c r="C191" s="188">
        <v>129.10507246376812</v>
      </c>
      <c r="E191" s="21" t="s">
        <v>24</v>
      </c>
      <c r="F191" s="189">
        <v>10.102139175257731</v>
      </c>
      <c r="G191" s="123"/>
      <c r="H191" s="21" t="s">
        <v>24</v>
      </c>
      <c r="I191" s="190">
        <v>7.7456290517217185E-3</v>
      </c>
    </row>
    <row r="192" spans="2:9" ht="15.75" customHeight="1">
      <c r="B192" s="21" t="s">
        <v>162</v>
      </c>
      <c r="C192" s="191">
        <v>69.824775876120626</v>
      </c>
      <c r="E192" s="21" t="s">
        <v>162</v>
      </c>
      <c r="F192" s="192">
        <v>13.468845858895705</v>
      </c>
      <c r="G192" s="123"/>
      <c r="H192" s="21" t="s">
        <v>162</v>
      </c>
      <c r="I192" s="193">
        <v>1.432156405018967E-2</v>
      </c>
    </row>
    <row r="193" spans="2:9" ht="15.75" customHeight="1">
      <c r="B193" s="21" t="s">
        <v>163</v>
      </c>
      <c r="C193" s="194">
        <v>63.462059620596207</v>
      </c>
      <c r="E193" s="21" t="s">
        <v>163</v>
      </c>
      <c r="F193" s="195">
        <v>10.069525000000001</v>
      </c>
      <c r="G193" s="123"/>
      <c r="H193" s="21" t="s">
        <v>163</v>
      </c>
      <c r="I193" s="196">
        <v>1.5757446354222267E-2</v>
      </c>
    </row>
    <row r="194" spans="2:9" ht="15.75" customHeight="1">
      <c r="B194" s="21" t="s">
        <v>164</v>
      </c>
      <c r="C194" s="197">
        <v>97.65735815602838</v>
      </c>
      <c r="E194" s="21" t="s">
        <v>164</v>
      </c>
      <c r="F194" s="198">
        <v>7.5847126592572511</v>
      </c>
      <c r="G194" s="123"/>
      <c r="H194" s="21" t="s">
        <v>164</v>
      </c>
      <c r="I194" s="199">
        <v>1.023988380273699E-2</v>
      </c>
    </row>
    <row r="195" spans="2:9" ht="15.75" customHeight="1">
      <c r="B195" s="21" t="s">
        <v>165</v>
      </c>
      <c r="C195" s="200">
        <v>70.24024024024024</v>
      </c>
      <c r="E195" s="21" t="s">
        <v>165</v>
      </c>
      <c r="F195" s="201">
        <v>11.088974641675854</v>
      </c>
      <c r="G195" s="123"/>
      <c r="H195" s="21" t="s">
        <v>165</v>
      </c>
      <c r="I195" s="202">
        <v>1.4236853356135101E-2</v>
      </c>
    </row>
    <row r="196" spans="2:9" ht="15.75" customHeight="1">
      <c r="B196" s="21" t="s">
        <v>166</v>
      </c>
      <c r="C196" s="203">
        <v>94.914213090446935</v>
      </c>
      <c r="E196" s="21" t="s">
        <v>166</v>
      </c>
      <c r="F196" s="200">
        <v>7.377753026634382</v>
      </c>
      <c r="G196" s="123"/>
      <c r="H196" s="21" t="s">
        <v>166</v>
      </c>
      <c r="I196" s="204">
        <v>1.0535829855609365E-2</v>
      </c>
    </row>
    <row r="197" spans="2:9" ht="15.75" customHeight="1">
      <c r="B197" s="21" t="s">
        <v>168</v>
      </c>
      <c r="C197" s="205">
        <v>58.041172800998126</v>
      </c>
      <c r="E197" s="21" t="s">
        <v>168</v>
      </c>
      <c r="F197" s="206">
        <v>6.2383141762452103</v>
      </c>
      <c r="G197" s="123"/>
      <c r="H197" s="21" t="s">
        <v>168</v>
      </c>
      <c r="I197" s="207">
        <v>1.722914875322442E-2</v>
      </c>
    </row>
    <row r="198" spans="2:9" ht="15.75" customHeight="1">
      <c r="B198" s="21" t="s">
        <v>167</v>
      </c>
      <c r="C198" s="208">
        <v>92.273156899810957</v>
      </c>
      <c r="E198" s="21" t="s">
        <v>167</v>
      </c>
      <c r="F198" s="209">
        <v>8.3285422848664687</v>
      </c>
      <c r="G198" s="123"/>
      <c r="H198" s="21" t="s">
        <v>167</v>
      </c>
      <c r="I198" s="210">
        <v>1.0837387964148527E-2</v>
      </c>
    </row>
    <row r="199" spans="2:9" ht="15.75" customHeight="1">
      <c r="B199" s="21" t="s">
        <v>169</v>
      </c>
      <c r="C199" s="211">
        <v>92.362428842504755</v>
      </c>
      <c r="E199" s="21" t="s">
        <v>169</v>
      </c>
      <c r="F199" s="212">
        <v>2.156628787878788</v>
      </c>
      <c r="G199" s="123"/>
      <c r="H199" s="21" t="s">
        <v>169</v>
      </c>
      <c r="I199" s="213">
        <v>1.0826913199794555E-2</v>
      </c>
    </row>
    <row r="200" spans="2:9" ht="15.75" customHeight="1">
      <c r="B200" s="21" t="s">
        <v>171</v>
      </c>
      <c r="C200" s="192">
        <v>88.34020146520146</v>
      </c>
      <c r="E200" s="21" t="s">
        <v>171</v>
      </c>
      <c r="F200" s="214">
        <v>11.03254532775453</v>
      </c>
      <c r="G200" s="123"/>
      <c r="H200" s="21" t="s">
        <v>171</v>
      </c>
      <c r="I200" s="215">
        <v>1.1319874569155416E-2</v>
      </c>
    </row>
    <row r="201" spans="2:9" ht="15.75" customHeight="1">
      <c r="B201" s="21" t="s">
        <v>173</v>
      </c>
      <c r="C201" s="216">
        <v>3891</v>
      </c>
      <c r="E201" s="21" t="s">
        <v>173</v>
      </c>
      <c r="F201" s="217">
        <v>9.9280670103092792</v>
      </c>
      <c r="G201" s="123"/>
      <c r="H201" s="21" t="s">
        <v>173</v>
      </c>
      <c r="I201" s="218">
        <v>2.5700334104343357E-4</v>
      </c>
    </row>
    <row r="202" spans="2:9" ht="15.75" customHeight="1">
      <c r="B202" s="21" t="s">
        <v>172</v>
      </c>
      <c r="C202" s="212">
        <v>79.695121951219505</v>
      </c>
      <c r="E202" s="21" t="s">
        <v>172</v>
      </c>
      <c r="F202" s="219">
        <v>8.6040752351097183</v>
      </c>
      <c r="G202" s="123"/>
      <c r="H202" s="21" t="s">
        <v>172</v>
      </c>
      <c r="I202" s="220">
        <v>1.2547819433817903E-2</v>
      </c>
    </row>
    <row r="203" spans="2:9" ht="15.75" customHeight="1">
      <c r="B203" s="24" t="s">
        <v>188</v>
      </c>
      <c r="C203" s="221">
        <v>44.08038444735692</v>
      </c>
      <c r="E203" s="24" t="s">
        <v>188</v>
      </c>
      <c r="F203" s="222">
        <v>7.5523952095808387</v>
      </c>
      <c r="G203" s="123"/>
      <c r="H203" s="24" t="s">
        <v>188</v>
      </c>
      <c r="I203" s="223">
        <v>2.2685827552031714E-2</v>
      </c>
    </row>
    <row r="204" spans="2:9" ht="13.8">
      <c r="B204" s="159"/>
      <c r="C204" s="159"/>
      <c r="E204" s="159"/>
      <c r="F204" s="159"/>
      <c r="G204" s="123"/>
      <c r="H204" s="159"/>
      <c r="I204" s="224"/>
    </row>
    <row r="205" spans="2:9" ht="13.8">
      <c r="B205" s="157" t="s">
        <v>174</v>
      </c>
      <c r="C205" s="225">
        <v>58</v>
      </c>
      <c r="E205" s="157" t="s">
        <v>174</v>
      </c>
      <c r="F205" s="225">
        <v>9</v>
      </c>
      <c r="G205" s="123"/>
      <c r="H205" s="157" t="s">
        <v>174</v>
      </c>
      <c r="I205" s="186">
        <v>1.2999999999999999E-2</v>
      </c>
    </row>
    <row r="221" spans="2:41" ht="13.8">
      <c r="B221" s="161" t="s">
        <v>193</v>
      </c>
      <c r="F221" s="161" t="s">
        <v>194</v>
      </c>
      <c r="O221" s="161" t="s">
        <v>195</v>
      </c>
      <c r="AB221" s="161" t="s">
        <v>29</v>
      </c>
      <c r="AF221" s="161" t="s">
        <v>187</v>
      </c>
      <c r="AI221" s="161" t="s">
        <v>27</v>
      </c>
      <c r="AK221" s="161" t="s">
        <v>192</v>
      </c>
      <c r="AM221" s="161" t="s">
        <v>30</v>
      </c>
    </row>
    <row r="222" spans="2:41" ht="13.8">
      <c r="B222" s="161" t="s">
        <v>196</v>
      </c>
      <c r="C222" s="161" t="s">
        <v>3</v>
      </c>
      <c r="D222" s="161" t="s">
        <v>197</v>
      </c>
      <c r="E222" s="161" t="s">
        <v>159</v>
      </c>
      <c r="F222" s="161" t="s">
        <v>198</v>
      </c>
      <c r="G222" s="161" t="s">
        <v>199</v>
      </c>
      <c r="H222" s="161" t="s">
        <v>200</v>
      </c>
      <c r="I222" s="161" t="s">
        <v>201</v>
      </c>
      <c r="J222" s="161" t="s">
        <v>9</v>
      </c>
      <c r="K222" s="161" t="s">
        <v>202</v>
      </c>
      <c r="L222" s="161" t="s">
        <v>11</v>
      </c>
      <c r="M222" s="161" t="s">
        <v>203</v>
      </c>
      <c r="N222" s="161" t="s">
        <v>13</v>
      </c>
      <c r="O222" s="161" t="s">
        <v>160</v>
      </c>
      <c r="P222" s="161" t="s">
        <v>204</v>
      </c>
      <c r="Q222" s="161" t="s">
        <v>205</v>
      </c>
      <c r="R222" s="161" t="s">
        <v>206</v>
      </c>
      <c r="S222" s="161" t="s">
        <v>207</v>
      </c>
      <c r="T222" s="161" t="s">
        <v>161</v>
      </c>
      <c r="U222" s="161" t="s">
        <v>208</v>
      </c>
      <c r="V222" s="161" t="s">
        <v>209</v>
      </c>
      <c r="W222" s="161" t="s">
        <v>210</v>
      </c>
      <c r="X222" s="161" t="s">
        <v>211</v>
      </c>
      <c r="Y222" s="161" t="s">
        <v>212</v>
      </c>
      <c r="Z222" s="161" t="s">
        <v>143</v>
      </c>
      <c r="AA222" s="161" t="s">
        <v>213</v>
      </c>
      <c r="AB222" s="161" t="s">
        <v>214</v>
      </c>
      <c r="AC222" s="161" t="s">
        <v>215</v>
      </c>
      <c r="AD222" s="161" t="s">
        <v>216</v>
      </c>
      <c r="AE222" s="161" t="s">
        <v>217</v>
      </c>
      <c r="AF222" s="161" t="s">
        <v>37</v>
      </c>
      <c r="AG222" s="161" t="s">
        <v>39</v>
      </c>
      <c r="AH222" s="161" t="s">
        <v>38</v>
      </c>
      <c r="AI222" s="161" t="s">
        <v>218</v>
      </c>
      <c r="AJ222" s="161" t="s">
        <v>219</v>
      </c>
      <c r="AK222" s="173" t="s">
        <v>40</v>
      </c>
      <c r="AL222" s="173" t="s">
        <v>42</v>
      </c>
      <c r="AM222" s="149" t="s">
        <v>43</v>
      </c>
      <c r="AN222" s="149" t="s">
        <v>46</v>
      </c>
      <c r="AO222" s="149" t="s">
        <v>44</v>
      </c>
    </row>
    <row r="223" spans="2:41" ht="15.75" customHeight="1">
      <c r="B223" s="88">
        <v>500575</v>
      </c>
      <c r="C223" s="162" t="s">
        <v>24</v>
      </c>
      <c r="D223" s="96">
        <f ca="1">IFERROR(__xludf.DUMMYFUNCTION("GOOGLEFINANCE(""bom:""&amp;B223,""price"")"),1778.75)</f>
        <v>1778.75</v>
      </c>
      <c r="E223" s="52">
        <f ca="1">IFERROR(__xludf.DUMMYFUNCTION("GOOGLEFINANCE(""bom:""&amp;B223,""marketcap"")/10000000"),58851.1519341)</f>
        <v>58851.151934100002</v>
      </c>
      <c r="F223" s="52">
        <v>7725</v>
      </c>
      <c r="G223" s="52">
        <v>5756</v>
      </c>
      <c r="H223" s="52">
        <v>12036</v>
      </c>
      <c r="I223" s="52">
        <v>6182</v>
      </c>
      <c r="J223" s="52">
        <v>33</v>
      </c>
      <c r="K223" s="52">
        <v>5787</v>
      </c>
      <c r="L223" s="52">
        <v>713</v>
      </c>
      <c r="M223" s="52">
        <v>2533</v>
      </c>
      <c r="N223" s="96">
        <v>1</v>
      </c>
      <c r="O223" s="45">
        <v>12481</v>
      </c>
      <c r="P223" s="45">
        <v>9399</v>
      </c>
      <c r="Q223" s="45">
        <v>6693</v>
      </c>
      <c r="R223" s="45">
        <v>5266</v>
      </c>
      <c r="S223" s="45">
        <v>4325</v>
      </c>
      <c r="T223" s="45">
        <v>248</v>
      </c>
      <c r="U223" s="96">
        <v>136</v>
      </c>
      <c r="V223" s="96">
        <v>464</v>
      </c>
      <c r="W223" s="96">
        <v>245</v>
      </c>
      <c r="X223" s="96">
        <v>254</v>
      </c>
      <c r="Y223" s="226">
        <f ca="1">IFERROR(__xludf.DUMMYFUNCTION("GOOGLEFINANCE(""nse:""&amp;C223,""eps"")"),13.8)</f>
        <v>13.8</v>
      </c>
      <c r="Z223" s="96">
        <v>779</v>
      </c>
      <c r="AA223" s="96">
        <v>12110</v>
      </c>
      <c r="AB223" s="227">
        <v>6.8099999999999994E-2</v>
      </c>
      <c r="AC223" s="227">
        <v>3.8399999999999997E-2</v>
      </c>
      <c r="AD223" s="227">
        <f t="shared" ref="AD223:AD234" si="0">T223/O223</f>
        <v>1.9870202708116336E-2</v>
      </c>
      <c r="AE223" s="227">
        <f t="shared" ref="AE223:AE234" si="1">W223/R223</f>
        <v>4.6524876566654008E-2</v>
      </c>
      <c r="AF223" s="228">
        <f t="shared" ref="AF223:AF234" si="2">L223/(K223+J223)</f>
        <v>0.12250859106529209</v>
      </c>
      <c r="AG223" s="53">
        <f t="shared" ref="AG223:AG234" si="3">(O223-(AA223-Z223))/Z223</f>
        <v>1.4762516046213094</v>
      </c>
      <c r="AH223" s="53">
        <f t="shared" ref="AH223:AH234" si="4">I223/(J223+K223)</f>
        <v>1.0621993127147766</v>
      </c>
      <c r="AI223" s="180">
        <f t="shared" ref="AI223:AI234" si="5">F223/G223</f>
        <v>1.3420778318276581</v>
      </c>
      <c r="AJ223" s="100">
        <f t="shared" ref="AJ223:AJ234" si="6">(M223/O223)*365</f>
        <v>74.076195817642827</v>
      </c>
      <c r="AK223" s="95">
        <f t="shared" ref="AK223:AK234" si="7">T223/(J223+K223)</f>
        <v>4.2611683848797252E-2</v>
      </c>
      <c r="AL223" s="95">
        <f t="shared" ref="AL223:AL234" si="8">T223/H223</f>
        <v>2.0604852110335661E-2</v>
      </c>
      <c r="AM223" s="100">
        <f t="shared" ref="AM223:AM234" ca="1" si="9">D223/Y223</f>
        <v>128.89492753623188</v>
      </c>
      <c r="AN223" s="100">
        <f t="shared" ref="AN223:AN234" ca="1" si="10">D223/((K223+J223)/(J223/N223))</f>
        <v>10.085695876288659</v>
      </c>
      <c r="AO223" s="123">
        <f t="shared" ref="AO223:AO234" ca="1" si="11">Y223/D223</f>
        <v>7.7582572030920598E-3</v>
      </c>
    </row>
    <row r="224" spans="2:41" ht="15.75" customHeight="1">
      <c r="B224" s="88">
        <v>500067</v>
      </c>
      <c r="C224" s="162" t="s">
        <v>162</v>
      </c>
      <c r="D224" s="96">
        <f ca="1">IFERROR(__xludf.DUMMYFUNCTION("GOOGLEFINANCE(""bom:""&amp;B224,""price"")"),1707.85)</f>
        <v>1707.85</v>
      </c>
      <c r="E224" s="52">
        <f ca="1">IFERROR(__xludf.DUMMYFUNCTION("GOOGLEFINANCE(""bom:""&amp;B224,""marketcap"")/10000000"),35036.74488)</f>
        <v>35036.744879999998</v>
      </c>
      <c r="F224" s="52">
        <v>5040</v>
      </c>
      <c r="G224" s="52">
        <v>3879</v>
      </c>
      <c r="H224" s="52">
        <v>6618</v>
      </c>
      <c r="I224" s="52">
        <v>4005</v>
      </c>
      <c r="J224" s="52">
        <v>41</v>
      </c>
      <c r="K224" s="52">
        <v>2567</v>
      </c>
      <c r="L224" s="52">
        <v>167</v>
      </c>
      <c r="M224" s="52">
        <v>1952</v>
      </c>
      <c r="N224" s="96">
        <v>2</v>
      </c>
      <c r="O224" s="96">
        <v>9685</v>
      </c>
      <c r="P224" s="96">
        <v>7977</v>
      </c>
      <c r="Q224" s="96">
        <v>5234</v>
      </c>
      <c r="R224" s="96">
        <v>2914</v>
      </c>
      <c r="S224" s="96">
        <v>2523</v>
      </c>
      <c r="T224" s="96">
        <v>414</v>
      </c>
      <c r="U224" s="96">
        <v>400</v>
      </c>
      <c r="V224" s="96">
        <v>190</v>
      </c>
      <c r="W224" s="96">
        <v>77</v>
      </c>
      <c r="X224" s="96">
        <v>180</v>
      </c>
      <c r="Y224" s="226">
        <f ca="1">IFERROR(__xludf.DUMMYFUNCTION("GOOGLEFINANCE(""nse:""&amp;C224,""eps"")"),24.54)</f>
        <v>24.54</v>
      </c>
      <c r="Z224" s="96">
        <v>58</v>
      </c>
      <c r="AA224" s="96">
        <v>9176</v>
      </c>
      <c r="AB224" s="227">
        <v>5.8999999999999997E-2</v>
      </c>
      <c r="AC224" s="227">
        <v>3.73E-2</v>
      </c>
      <c r="AD224" s="227">
        <f t="shared" si="0"/>
        <v>4.2746515229736708E-2</v>
      </c>
      <c r="AE224" s="227">
        <f t="shared" si="1"/>
        <v>2.6424159231297185E-2</v>
      </c>
      <c r="AF224" s="228">
        <f t="shared" si="2"/>
        <v>6.4033742331288349E-2</v>
      </c>
      <c r="AG224" s="53">
        <f t="shared" si="3"/>
        <v>9.7758620689655178</v>
      </c>
      <c r="AH224" s="53">
        <f t="shared" si="4"/>
        <v>1.5356595092024541</v>
      </c>
      <c r="AI224" s="180">
        <f t="shared" si="5"/>
        <v>1.2993039443155452</v>
      </c>
      <c r="AJ224" s="100">
        <f t="shared" si="6"/>
        <v>73.565307176045437</v>
      </c>
      <c r="AK224" s="95">
        <f t="shared" si="7"/>
        <v>0.15874233128834356</v>
      </c>
      <c r="AL224" s="95">
        <f t="shared" si="8"/>
        <v>6.2556663644605617E-2</v>
      </c>
      <c r="AM224" s="100">
        <f t="shared" ca="1" si="9"/>
        <v>69.594539527302359</v>
      </c>
      <c r="AN224" s="100">
        <f t="shared" ca="1" si="10"/>
        <v>13.424434432515337</v>
      </c>
      <c r="AO224" s="123">
        <f t="shared" ca="1" si="11"/>
        <v>1.4368943408378956E-2</v>
      </c>
    </row>
    <row r="225" spans="2:41" ht="15.75" customHeight="1">
      <c r="B225" s="88">
        <v>539876</v>
      </c>
      <c r="C225" s="162" t="s">
        <v>163</v>
      </c>
      <c r="D225" s="96">
        <f ca="1">IFERROR(__xludf.DUMMYFUNCTION("GOOGLEFINANCE(""bom:""&amp;B225,""price"")"),466.35)</f>
        <v>466.35</v>
      </c>
      <c r="E225" s="52">
        <f ca="1">IFERROR(__xludf.DUMMYFUNCTION("GOOGLEFINANCE(""bom:""&amp;B225,""marketcap"")/10000000"),29932.3129835)</f>
        <v>29932.3129835</v>
      </c>
      <c r="F225" s="52">
        <v>2705</v>
      </c>
      <c r="G225" s="52">
        <v>2063</v>
      </c>
      <c r="H225" s="52">
        <v>6082</v>
      </c>
      <c r="I225" s="52">
        <v>2633</v>
      </c>
      <c r="J225" s="52">
        <v>129</v>
      </c>
      <c r="K225" s="52">
        <v>2871</v>
      </c>
      <c r="L225" s="52">
        <v>599</v>
      </c>
      <c r="M225" s="52">
        <v>721</v>
      </c>
      <c r="N225" s="96">
        <v>2</v>
      </c>
      <c r="O225" s="96">
        <v>7313</v>
      </c>
      <c r="P225" s="96">
        <v>5809</v>
      </c>
      <c r="Q225" s="96">
        <v>4479</v>
      </c>
      <c r="R225" s="96"/>
      <c r="S225" s="96"/>
      <c r="T225" s="96">
        <v>442</v>
      </c>
      <c r="U225" s="96">
        <v>475</v>
      </c>
      <c r="V225" s="96">
        <v>401</v>
      </c>
      <c r="W225" s="96"/>
      <c r="X225" s="96"/>
      <c r="Y225" s="226">
        <f ca="1">IFERROR(__xludf.DUMMYFUNCTION("GOOGLEFINANCE(""nse:""&amp;C225,""eps"")"),7.38)</f>
        <v>7.38</v>
      </c>
      <c r="Z225" s="96">
        <v>79</v>
      </c>
      <c r="AA225" s="96">
        <v>6807</v>
      </c>
      <c r="AB225" s="227">
        <v>7.1099999999999997E-2</v>
      </c>
      <c r="AC225" s="227">
        <v>6.5000000000000002E-2</v>
      </c>
      <c r="AD225" s="227">
        <f t="shared" si="0"/>
        <v>6.0440311773553947E-2</v>
      </c>
      <c r="AE225" s="227" t="e">
        <f t="shared" si="1"/>
        <v>#DIV/0!</v>
      </c>
      <c r="AF225" s="228">
        <f t="shared" si="2"/>
        <v>0.19966666666666666</v>
      </c>
      <c r="AG225" s="53">
        <f t="shared" si="3"/>
        <v>7.4050632911392409</v>
      </c>
      <c r="AH225" s="53">
        <f t="shared" si="4"/>
        <v>0.87766666666666671</v>
      </c>
      <c r="AI225" s="180">
        <f t="shared" si="5"/>
        <v>1.3111972855065439</v>
      </c>
      <c r="AJ225" s="100">
        <f t="shared" si="6"/>
        <v>35.985915492957744</v>
      </c>
      <c r="AK225" s="95">
        <f t="shared" si="7"/>
        <v>0.14733333333333334</v>
      </c>
      <c r="AL225" s="95">
        <f t="shared" si="8"/>
        <v>7.2673462676751066E-2</v>
      </c>
      <c r="AM225" s="100">
        <f t="shared" ca="1" si="9"/>
        <v>63.19105691056911</v>
      </c>
      <c r="AN225" s="100">
        <f t="shared" ca="1" si="10"/>
        <v>10.026525000000001</v>
      </c>
      <c r="AO225" s="123">
        <f t="shared" ca="1" si="11"/>
        <v>1.5825024123512381E-2</v>
      </c>
    </row>
    <row r="226" spans="2:41" ht="15.75" customHeight="1">
      <c r="B226" s="88">
        <v>500238</v>
      </c>
      <c r="C226" s="162" t="s">
        <v>164</v>
      </c>
      <c r="D226" s="96">
        <f ca="1">IFERROR(__xludf.DUMMYFUNCTION("GOOGLEFINANCE(""bom:""&amp;B226,""price"")"),2220)</f>
        <v>2220</v>
      </c>
      <c r="E226" s="52">
        <f ca="1">IFERROR(__xludf.DUMMYFUNCTION("GOOGLEFINANCE(""bom:""&amp;B226,""marketcap"")/10000000"),28162.367805)</f>
        <v>28162.367805000002</v>
      </c>
      <c r="F226" s="52">
        <v>4025</v>
      </c>
      <c r="G226" s="52">
        <v>1769</v>
      </c>
      <c r="H226" s="52">
        <v>6140</v>
      </c>
      <c r="I226" s="52">
        <v>2296</v>
      </c>
      <c r="J226" s="52">
        <v>127</v>
      </c>
      <c r="K226" s="52">
        <v>3562</v>
      </c>
      <c r="L226" s="52">
        <v>0</v>
      </c>
      <c r="M226" s="52">
        <v>340</v>
      </c>
      <c r="N226" s="96">
        <v>10</v>
      </c>
      <c r="O226" s="96">
        <v>6830</v>
      </c>
      <c r="P226" s="96">
        <v>6795</v>
      </c>
      <c r="Q226" s="96">
        <v>5397</v>
      </c>
      <c r="R226" s="96">
        <v>2834</v>
      </c>
      <c r="S226" s="96">
        <v>1646</v>
      </c>
      <c r="T226" s="96">
        <v>224</v>
      </c>
      <c r="U226" s="96">
        <v>223</v>
      </c>
      <c r="V226" s="96">
        <v>409</v>
      </c>
      <c r="W226" s="96">
        <v>122</v>
      </c>
      <c r="X226" s="96">
        <v>15</v>
      </c>
      <c r="Y226" s="226">
        <f ca="1">IFERROR(__xludf.DUMMYFUNCTION("GOOGLEFINANCE(""nse:""&amp;C226,""eps"")"),22.56)</f>
        <v>22.56</v>
      </c>
      <c r="Z226" s="96">
        <v>30</v>
      </c>
      <c r="AA226" s="96">
        <v>6668</v>
      </c>
      <c r="AB226" s="227">
        <v>5.62E-2</v>
      </c>
      <c r="AC226" s="227">
        <v>3.2199999999999999E-2</v>
      </c>
      <c r="AD226" s="227">
        <f t="shared" si="0"/>
        <v>3.2796486090775991E-2</v>
      </c>
      <c r="AE226" s="227">
        <f t="shared" si="1"/>
        <v>4.3048694424841216E-2</v>
      </c>
      <c r="AF226" s="228">
        <f t="shared" si="2"/>
        <v>0</v>
      </c>
      <c r="AG226" s="53">
        <f t="shared" si="3"/>
        <v>6.4</v>
      </c>
      <c r="AH226" s="53">
        <f t="shared" si="4"/>
        <v>0.62239089184060725</v>
      </c>
      <c r="AI226" s="180">
        <f t="shared" si="5"/>
        <v>2.2752967778405879</v>
      </c>
      <c r="AJ226" s="100">
        <f t="shared" si="6"/>
        <v>18.169838945827234</v>
      </c>
      <c r="AK226" s="95">
        <f t="shared" si="7"/>
        <v>6.0721062618595827E-2</v>
      </c>
      <c r="AL226" s="95">
        <f t="shared" si="8"/>
        <v>3.6482084690553744E-2</v>
      </c>
      <c r="AM226" s="100">
        <f t="shared" ca="1" si="9"/>
        <v>98.404255319148945</v>
      </c>
      <c r="AN226" s="100">
        <f t="shared" ca="1" si="10"/>
        <v>7.6427216047709408</v>
      </c>
      <c r="AO226" s="123">
        <f t="shared" ca="1" si="11"/>
        <v>1.0162162162162161E-2</v>
      </c>
    </row>
    <row r="227" spans="2:41" ht="15.75" customHeight="1">
      <c r="B227" s="88">
        <v>532953</v>
      </c>
      <c r="C227" s="162" t="s">
        <v>165</v>
      </c>
      <c r="D227" s="96">
        <f ca="1">IFERROR(__xludf.DUMMYFUNCTION("GOOGLEFINANCE(""bom:""&amp;B227,""price"")"),468.8)</f>
        <v>468.8</v>
      </c>
      <c r="E227" s="52">
        <f ca="1">IFERROR(__xludf.DUMMYFUNCTION("GOOGLEFINANCE(""bom:""&amp;B227,""marketcap"")/10000000"),20379.6976095)</f>
        <v>20379.697609499999</v>
      </c>
      <c r="F227" s="52">
        <v>1637</v>
      </c>
      <c r="G227" s="52">
        <v>1002</v>
      </c>
      <c r="H227" s="52">
        <v>3161</v>
      </c>
      <c r="I227" s="52">
        <v>1347</v>
      </c>
      <c r="J227" s="52">
        <v>43</v>
      </c>
      <c r="K227" s="52">
        <v>1771</v>
      </c>
      <c r="L227" s="52">
        <v>291</v>
      </c>
      <c r="M227" s="52">
        <v>596</v>
      </c>
      <c r="N227" s="96">
        <v>1</v>
      </c>
      <c r="O227" s="96">
        <v>4857</v>
      </c>
      <c r="P227" s="96">
        <v>4127</v>
      </c>
      <c r="Q227" s="96">
        <v>2594</v>
      </c>
      <c r="R227" s="96">
        <v>1517</v>
      </c>
      <c r="S227" s="96">
        <v>316</v>
      </c>
      <c r="T227" s="96">
        <v>258</v>
      </c>
      <c r="U227" s="96">
        <v>189</v>
      </c>
      <c r="V227" s="96">
        <v>168</v>
      </c>
      <c r="W227" s="96">
        <v>70</v>
      </c>
      <c r="X227" s="96">
        <v>17</v>
      </c>
      <c r="Y227" s="226">
        <f ca="1">IFERROR(__xludf.DUMMYFUNCTION("GOOGLEFINANCE(""nse:""&amp;C227,""eps"")"),6.66)</f>
        <v>6.66</v>
      </c>
      <c r="Z227" s="96">
        <v>40</v>
      </c>
      <c r="AA227" s="96">
        <v>4550</v>
      </c>
      <c r="AB227" s="227">
        <v>6.7000000000000004E-2</v>
      </c>
      <c r="AC227" s="227">
        <v>5.2699999999999997E-2</v>
      </c>
      <c r="AD227" s="227">
        <f t="shared" si="0"/>
        <v>5.3119209388511425E-2</v>
      </c>
      <c r="AE227" s="227">
        <f t="shared" si="1"/>
        <v>4.6143704680290047E-2</v>
      </c>
      <c r="AF227" s="228">
        <f t="shared" si="2"/>
        <v>0.16041896361631752</v>
      </c>
      <c r="AG227" s="53">
        <f t="shared" si="3"/>
        <v>8.6750000000000007</v>
      </c>
      <c r="AH227" s="53">
        <f t="shared" si="4"/>
        <v>0.74255788313120175</v>
      </c>
      <c r="AI227" s="180">
        <f t="shared" si="5"/>
        <v>1.6337325349301397</v>
      </c>
      <c r="AJ227" s="100">
        <f t="shared" si="6"/>
        <v>44.788964381305334</v>
      </c>
      <c r="AK227" s="95">
        <f t="shared" si="7"/>
        <v>0.14222712238147739</v>
      </c>
      <c r="AL227" s="95">
        <f t="shared" si="8"/>
        <v>8.1619740588421391E-2</v>
      </c>
      <c r="AM227" s="100">
        <f t="shared" ca="1" si="9"/>
        <v>70.390390390390394</v>
      </c>
      <c r="AN227" s="100">
        <f t="shared" ca="1" si="10"/>
        <v>11.112679162072768</v>
      </c>
      <c r="AO227" s="123">
        <f t="shared" ca="1" si="11"/>
        <v>1.4206484641638225E-2</v>
      </c>
    </row>
    <row r="228" spans="2:41" ht="15.75" customHeight="1">
      <c r="B228" s="88">
        <v>540902</v>
      </c>
      <c r="C228" s="162" t="s">
        <v>166</v>
      </c>
      <c r="D228" s="96">
        <f ca="1">IFERROR(__xludf.DUMMYFUNCTION("GOOGLEFINANCE(""bom:""&amp;B228,""price"")"),4485)</f>
        <v>4485</v>
      </c>
      <c r="E228" s="52">
        <f ca="1">IFERROR(__xludf.DUMMYFUNCTION("GOOGLEFINANCE(""bom:""&amp;B228,""marketcap"")/10000000"),15134.7472649)</f>
        <v>15134.747264899999</v>
      </c>
      <c r="F228" s="52">
        <v>3355</v>
      </c>
      <c r="G228" s="52">
        <v>3285</v>
      </c>
      <c r="H228" s="52">
        <v>6593</v>
      </c>
      <c r="I228" s="52">
        <v>4477</v>
      </c>
      <c r="J228" s="52">
        <v>34</v>
      </c>
      <c r="K228" s="52">
        <v>2031</v>
      </c>
      <c r="L228" s="52">
        <v>1434</v>
      </c>
      <c r="M228" s="52">
        <v>1569</v>
      </c>
      <c r="N228" s="96">
        <v>10</v>
      </c>
      <c r="O228" s="96">
        <v>6730</v>
      </c>
      <c r="P228" s="96">
        <v>6927</v>
      </c>
      <c r="Q228" s="96">
        <v>2188</v>
      </c>
      <c r="R228" s="96"/>
      <c r="S228" s="96"/>
      <c r="T228" s="96">
        <v>140</v>
      </c>
      <c r="U228" s="96">
        <v>163</v>
      </c>
      <c r="V228" s="96">
        <v>92</v>
      </c>
      <c r="W228" s="96"/>
      <c r="X228" s="96"/>
      <c r="Y228" s="226">
        <f ca="1">IFERROR(__xludf.DUMMYFUNCTION("GOOGLEFINANCE(""nse:""&amp;C228,""eps"")"),47.21)</f>
        <v>47.21</v>
      </c>
      <c r="Z228" s="96">
        <v>167</v>
      </c>
      <c r="AA228" s="96">
        <v>6591</v>
      </c>
      <c r="AB228" s="227">
        <v>4.0899999999999999E-2</v>
      </c>
      <c r="AC228" s="227">
        <v>2.75E-2</v>
      </c>
      <c r="AD228" s="227">
        <f t="shared" si="0"/>
        <v>2.0802377414561663E-2</v>
      </c>
      <c r="AE228" s="227" t="e">
        <f t="shared" si="1"/>
        <v>#DIV/0!</v>
      </c>
      <c r="AF228" s="228">
        <f t="shared" si="2"/>
        <v>0.69443099273607745</v>
      </c>
      <c r="AG228" s="53">
        <f t="shared" si="3"/>
        <v>1.8323353293413174</v>
      </c>
      <c r="AH228" s="53">
        <f t="shared" si="4"/>
        <v>2.168038740920097</v>
      </c>
      <c r="AI228" s="180">
        <f t="shared" si="5"/>
        <v>1.0213089802130899</v>
      </c>
      <c r="AJ228" s="100">
        <f t="shared" si="6"/>
        <v>85.094353640416045</v>
      </c>
      <c r="AK228" s="95">
        <f t="shared" si="7"/>
        <v>6.7796610169491525E-2</v>
      </c>
      <c r="AL228" s="95">
        <f t="shared" si="8"/>
        <v>2.1234642802972849E-2</v>
      </c>
      <c r="AM228" s="100">
        <f t="shared" ca="1" si="9"/>
        <v>95.001059097648806</v>
      </c>
      <c r="AN228" s="100">
        <f t="shared" ca="1" si="10"/>
        <v>7.3845036319612589</v>
      </c>
      <c r="AO228" s="123">
        <f t="shared" ca="1" si="11"/>
        <v>1.0526198439241918E-2</v>
      </c>
    </row>
    <row r="229" spans="2:41" ht="15.75" customHeight="1">
      <c r="B229" s="88">
        <v>517506</v>
      </c>
      <c r="C229" s="162" t="s">
        <v>167</v>
      </c>
      <c r="D229" s="96">
        <f ca="1">IFERROR(__xludf.DUMMYFUNCTION("GOOGLEFINANCE(""bom:""&amp;B229,""price"")"),926.85)</f>
        <v>926.85</v>
      </c>
      <c r="E229" s="52">
        <f ca="1">IFERROR(__xludf.DUMMYFUNCTION("GOOGLEFINANCE(""bom:""&amp;B229,""marketcap"")/10000000"),12822.4879007)</f>
        <v>12822.4879007</v>
      </c>
      <c r="F229" s="52">
        <v>1944</v>
      </c>
      <c r="G229" s="52">
        <v>507</v>
      </c>
      <c r="H229" s="52">
        <v>2743</v>
      </c>
      <c r="I229" s="52">
        <v>655</v>
      </c>
      <c r="J229" s="52">
        <v>14</v>
      </c>
      <c r="K229" s="52">
        <v>2074</v>
      </c>
      <c r="L229" s="52">
        <v>47</v>
      </c>
      <c r="M229" s="52">
        <v>294</v>
      </c>
      <c r="N229" s="96">
        <v>1</v>
      </c>
      <c r="O229" s="96">
        <v>2678</v>
      </c>
      <c r="P229" s="96">
        <v>2777</v>
      </c>
      <c r="Q229" s="96">
        <v>2106</v>
      </c>
      <c r="R229" s="96">
        <v>1316</v>
      </c>
      <c r="S229" s="96">
        <v>401</v>
      </c>
      <c r="T229" s="96">
        <v>225</v>
      </c>
      <c r="U229" s="96">
        <v>255</v>
      </c>
      <c r="V229" s="96">
        <v>192</v>
      </c>
      <c r="W229" s="96">
        <v>112</v>
      </c>
      <c r="X229" s="96">
        <v>22</v>
      </c>
      <c r="Y229" s="226">
        <f ca="1">IFERROR(__xludf.DUMMYFUNCTION("GOOGLEFINANCE(""nse:""&amp;C229,""eps"")"),16.03)</f>
        <v>16.03</v>
      </c>
      <c r="Z229" s="96">
        <v>13</v>
      </c>
      <c r="AA229" s="96">
        <v>2452</v>
      </c>
      <c r="AB229" s="227">
        <v>8.5099999999999995E-2</v>
      </c>
      <c r="AC229" s="227">
        <v>9.1800000000000007E-2</v>
      </c>
      <c r="AD229" s="227">
        <f t="shared" si="0"/>
        <v>8.4017923823749063E-2</v>
      </c>
      <c r="AE229" s="227">
        <f t="shared" si="1"/>
        <v>8.5106382978723402E-2</v>
      </c>
      <c r="AF229" s="228">
        <f t="shared" si="2"/>
        <v>2.2509578544061302E-2</v>
      </c>
      <c r="AG229" s="53">
        <f t="shared" si="3"/>
        <v>18.384615384615383</v>
      </c>
      <c r="AH229" s="53">
        <f t="shared" si="4"/>
        <v>0.31369731800766282</v>
      </c>
      <c r="AI229" s="180">
        <f t="shared" si="5"/>
        <v>3.834319526627219</v>
      </c>
      <c r="AJ229" s="100">
        <f t="shared" si="6"/>
        <v>40.070948469006723</v>
      </c>
      <c r="AK229" s="95">
        <f t="shared" si="7"/>
        <v>0.10775862068965517</v>
      </c>
      <c r="AL229" s="95">
        <f t="shared" si="8"/>
        <v>8.2026977761574915E-2</v>
      </c>
      <c r="AM229" s="100">
        <f t="shared" ca="1" si="9"/>
        <v>57.819713038053649</v>
      </c>
      <c r="AN229" s="100">
        <f t="shared" ca="1" si="10"/>
        <v>6.2145114942528741</v>
      </c>
      <c r="AO229" s="123">
        <f t="shared" ca="1" si="11"/>
        <v>1.7295139450828074E-2</v>
      </c>
    </row>
    <row r="230" spans="2:41" ht="15.75" customHeight="1">
      <c r="B230" s="88">
        <v>500031</v>
      </c>
      <c r="C230" s="163" t="s">
        <v>168</v>
      </c>
      <c r="D230" s="96">
        <f ca="1">IFERROR(__xludf.DUMMYFUNCTION("GOOGLEFINANCE(""bom:""&amp;B230,""price"")"),975.6)</f>
        <v>975.6</v>
      </c>
      <c r="E230" s="52">
        <f ca="1">IFERROR(__xludf.DUMMYFUNCTION("GOOGLEFINANCE(""bom:""&amp;B230,""marketcap"")/10000000"),11220.2276136)</f>
        <v>11220.2276136</v>
      </c>
      <c r="F230" s="52">
        <v>2504</v>
      </c>
      <c r="G230" s="52">
        <v>2204</v>
      </c>
      <c r="H230" s="52">
        <v>3787</v>
      </c>
      <c r="I230" s="52">
        <v>2439</v>
      </c>
      <c r="J230" s="52">
        <v>23</v>
      </c>
      <c r="K230" s="52">
        <v>1325</v>
      </c>
      <c r="L230" s="52">
        <v>215</v>
      </c>
      <c r="M230" s="52">
        <v>22</v>
      </c>
      <c r="N230" s="96">
        <v>2</v>
      </c>
      <c r="O230" s="45">
        <v>4639</v>
      </c>
      <c r="P230" s="96">
        <v>5429</v>
      </c>
      <c r="Q230" s="45">
        <v>6656</v>
      </c>
      <c r="R230" s="45">
        <v>4002</v>
      </c>
      <c r="T230" s="45">
        <v>132</v>
      </c>
      <c r="U230" s="96">
        <v>215</v>
      </c>
      <c r="V230" s="96">
        <v>167</v>
      </c>
      <c r="W230" s="96">
        <v>-5</v>
      </c>
      <c r="X230" s="96"/>
      <c r="Y230" s="226">
        <f ca="1">IFERROR(__xludf.DUMMYFUNCTION("GOOGLEFINANCE(""nse:""&amp;C230,""eps"")"),10.58)</f>
        <v>10.58</v>
      </c>
      <c r="Z230" s="96">
        <v>63</v>
      </c>
      <c r="AA230" s="96">
        <v>4379</v>
      </c>
      <c r="AB230" s="96"/>
      <c r="AC230" s="96"/>
      <c r="AD230" s="227">
        <f t="shared" si="0"/>
        <v>2.8454408277646046E-2</v>
      </c>
      <c r="AE230" s="227">
        <f t="shared" si="1"/>
        <v>-1.2493753123438282E-3</v>
      </c>
      <c r="AF230" s="228">
        <f t="shared" si="2"/>
        <v>0.15949554896142434</v>
      </c>
      <c r="AG230" s="53">
        <f t="shared" si="3"/>
        <v>5.1269841269841274</v>
      </c>
      <c r="AH230" s="53">
        <f t="shared" si="4"/>
        <v>1.8093471810089021</v>
      </c>
      <c r="AI230" s="180">
        <f t="shared" si="5"/>
        <v>1.1361161524500907</v>
      </c>
      <c r="AJ230" s="100">
        <f t="shared" si="6"/>
        <v>1.730976503556801</v>
      </c>
      <c r="AK230" s="95">
        <f t="shared" si="7"/>
        <v>9.7922848664688422E-2</v>
      </c>
      <c r="AL230" s="95">
        <f t="shared" si="8"/>
        <v>3.4856086612094009E-2</v>
      </c>
      <c r="AM230" s="100">
        <f t="shared" ca="1" si="9"/>
        <v>92.211720226843099</v>
      </c>
      <c r="AN230" s="100">
        <f t="shared" ca="1" si="10"/>
        <v>8.3229970326409504</v>
      </c>
      <c r="AO230" s="123">
        <f t="shared" ca="1" si="11"/>
        <v>1.0844608446084461E-2</v>
      </c>
    </row>
    <row r="231" spans="2:41" ht="15.75" customHeight="1">
      <c r="B231" s="88">
        <v>543482</v>
      </c>
      <c r="C231" s="163" t="s">
        <v>169</v>
      </c>
      <c r="D231" s="96">
        <f ca="1">IFERROR(__xludf.DUMMYFUNCTION("GOOGLEFINANCE(""bom:""&amp;B231,""price"")"),490.7)</f>
        <v>490.7</v>
      </c>
      <c r="E231" s="52">
        <f ca="1">IFERROR(__xludf.DUMMYFUNCTION("GOOGLEFINANCE(""bom:""&amp;B231,""marketcap"")/10000000"),9509.50268)</f>
        <v>9509.5026799999996</v>
      </c>
      <c r="F231" s="52">
        <v>567</v>
      </c>
      <c r="G231" s="52">
        <v>973</v>
      </c>
      <c r="H231" s="52">
        <v>6092</v>
      </c>
      <c r="I231" s="52">
        <v>1929</v>
      </c>
      <c r="J231" s="52">
        <v>193</v>
      </c>
      <c r="K231" s="52">
        <v>4163</v>
      </c>
      <c r="L231" s="52">
        <v>64</v>
      </c>
      <c r="M231" s="52">
        <v>163</v>
      </c>
      <c r="N231" s="96">
        <v>10</v>
      </c>
      <c r="O231" s="45">
        <v>2189</v>
      </c>
      <c r="P231" s="96">
        <v>2084</v>
      </c>
      <c r="Q231" s="45">
        <v>26</v>
      </c>
      <c r="R231" s="45">
        <v>28</v>
      </c>
      <c r="T231" s="45">
        <v>92</v>
      </c>
      <c r="U231" s="96">
        <v>21</v>
      </c>
      <c r="V231" s="96">
        <v>-1</v>
      </c>
      <c r="W231" s="96">
        <v>0</v>
      </c>
      <c r="X231" s="96"/>
      <c r="Y231" s="226">
        <f ca="1">IFERROR(__xludf.DUMMYFUNCTION("GOOGLEFINANCE(""BOM:""&amp;B231,""eps"")"),5.27)</f>
        <v>5.27</v>
      </c>
      <c r="Z231" s="96">
        <v>10</v>
      </c>
      <c r="AA231" s="96">
        <v>1997</v>
      </c>
      <c r="AB231" s="96"/>
      <c r="AC231" s="96"/>
      <c r="AD231" s="227">
        <f t="shared" si="0"/>
        <v>4.202832343535861E-2</v>
      </c>
      <c r="AE231" s="227">
        <f t="shared" si="1"/>
        <v>0</v>
      </c>
      <c r="AF231" s="228">
        <f t="shared" si="2"/>
        <v>1.4692378328741965E-2</v>
      </c>
      <c r="AG231" s="53">
        <f t="shared" si="3"/>
        <v>20.2</v>
      </c>
      <c r="AH231" s="53">
        <f t="shared" si="4"/>
        <v>0.4428374655647383</v>
      </c>
      <c r="AI231" s="180">
        <f t="shared" si="5"/>
        <v>0.58273381294964033</v>
      </c>
      <c r="AJ231" s="100">
        <f t="shared" si="6"/>
        <v>27.17907720420283</v>
      </c>
      <c r="AK231" s="95">
        <f t="shared" si="7"/>
        <v>2.1120293847566574E-2</v>
      </c>
      <c r="AL231" s="95">
        <f t="shared" si="8"/>
        <v>1.5101772816808929E-2</v>
      </c>
      <c r="AM231" s="100">
        <f t="shared" ca="1" si="9"/>
        <v>93.111954459203048</v>
      </c>
      <c r="AN231" s="100">
        <f t="shared" ca="1" si="10"/>
        <v>2.174129935720845</v>
      </c>
      <c r="AO231" s="123">
        <f t="shared" ca="1" si="11"/>
        <v>1.0739759527206032E-2</v>
      </c>
    </row>
    <row r="232" spans="2:41" ht="15.75" customHeight="1">
      <c r="B232" s="88">
        <v>505726</v>
      </c>
      <c r="C232" s="163" t="s">
        <v>171</v>
      </c>
      <c r="D232" s="96">
        <f ca="1">IFERROR(__xludf.DUMMYFUNCTION("GOOGLEFINANCE(""bom:""&amp;B232,""price"")"),1918.05)</f>
        <v>1918.05</v>
      </c>
      <c r="E232" s="52">
        <f ca="1">IFERROR(__xludf.DUMMYFUNCTION("GOOGLEFINANCE(""bom:""&amp;B232,""marketcap"")/10000000"),7750.2315572)</f>
        <v>7750.2315571999998</v>
      </c>
      <c r="F232" s="52">
        <v>1418.5</v>
      </c>
      <c r="G232" s="52">
        <v>1215</v>
      </c>
      <c r="H232" s="52">
        <v>2179</v>
      </c>
      <c r="I232" s="52">
        <v>1462</v>
      </c>
      <c r="J232" s="52">
        <v>41</v>
      </c>
      <c r="K232" s="52">
        <v>676</v>
      </c>
      <c r="L232" s="52">
        <v>70</v>
      </c>
      <c r="M232" s="52">
        <v>417</v>
      </c>
      <c r="N232" s="96">
        <v>10</v>
      </c>
      <c r="O232" s="96">
        <v>4437</v>
      </c>
      <c r="P232" s="96">
        <v>4194</v>
      </c>
      <c r="Q232" s="96">
        <v>2659</v>
      </c>
      <c r="R232" s="96">
        <v>1021</v>
      </c>
      <c r="S232" s="96">
        <v>468</v>
      </c>
      <c r="T232" s="96">
        <v>50</v>
      </c>
      <c r="U232" s="96">
        <v>15</v>
      </c>
      <c r="V232" s="96">
        <v>71</v>
      </c>
      <c r="W232" s="96">
        <v>22</v>
      </c>
      <c r="X232" s="96">
        <v>315</v>
      </c>
      <c r="Y232" s="226">
        <f ca="1">IFERROR(__xludf.DUMMYFUNCTION("GOOGLEFINANCE(""nse:""&amp;C232,""eps"")"),21.84)</f>
        <v>21.84</v>
      </c>
      <c r="Z232" s="96">
        <v>28</v>
      </c>
      <c r="AA232" s="96">
        <v>4373</v>
      </c>
      <c r="AB232" s="96"/>
      <c r="AC232" s="96"/>
      <c r="AD232" s="227">
        <f t="shared" si="0"/>
        <v>1.1268875366238449E-2</v>
      </c>
      <c r="AE232" s="227">
        <f t="shared" si="1"/>
        <v>2.1547502448579822E-2</v>
      </c>
      <c r="AF232" s="228">
        <f t="shared" si="2"/>
        <v>9.7629009762900981E-2</v>
      </c>
      <c r="AG232" s="53">
        <f t="shared" si="3"/>
        <v>3.2857142857142856</v>
      </c>
      <c r="AH232" s="53">
        <f t="shared" si="4"/>
        <v>2.0390516039051603</v>
      </c>
      <c r="AI232" s="180">
        <f t="shared" si="5"/>
        <v>1.1674897119341563</v>
      </c>
      <c r="AJ232" s="100">
        <f t="shared" si="6"/>
        <v>34.303583502366465</v>
      </c>
      <c r="AK232" s="95">
        <f t="shared" si="7"/>
        <v>6.9735006973500699E-2</v>
      </c>
      <c r="AL232" s="95">
        <f t="shared" si="8"/>
        <v>2.2946305644791189E-2</v>
      </c>
      <c r="AM232" s="100">
        <f t="shared" ca="1" si="9"/>
        <v>87.82280219780219</v>
      </c>
      <c r="AN232" s="100">
        <f t="shared" ca="1" si="10"/>
        <v>10.967928870292885</v>
      </c>
      <c r="AO232" s="123">
        <f t="shared" ca="1" si="11"/>
        <v>1.1386564479549542E-2</v>
      </c>
    </row>
    <row r="233" spans="2:41" ht="15.75" customHeight="1">
      <c r="B233" s="88">
        <v>523398</v>
      </c>
      <c r="C233" s="163" t="s">
        <v>172</v>
      </c>
      <c r="D233" s="96">
        <f ca="1">IFERROR(__xludf.DUMMYFUNCTION("GOOGLEFINANCE(""bom:""&amp;B233,""price"")"),2117.45)</f>
        <v>2117.4499999999998</v>
      </c>
      <c r="E233" s="52">
        <f ca="1">IFERROR(__xludf.DUMMYFUNCTION("GOOGLEFINANCE(""bom:""&amp;B233,""marketcap"")/10000000"),5745.5690311)</f>
        <v>5745.5690310999998</v>
      </c>
      <c r="F233" s="52">
        <v>1162</v>
      </c>
      <c r="G233" s="52">
        <v>968</v>
      </c>
      <c r="H233" s="52">
        <v>1657</v>
      </c>
      <c r="I233" s="52">
        <v>1074</v>
      </c>
      <c r="J233" s="52">
        <v>27</v>
      </c>
      <c r="K233" s="52">
        <v>555</v>
      </c>
      <c r="L233" s="52">
        <v>48</v>
      </c>
      <c r="M233" s="52">
        <v>156</v>
      </c>
      <c r="N233" s="96">
        <v>10</v>
      </c>
      <c r="O233" s="96">
        <v>1918</v>
      </c>
      <c r="P233" s="96">
        <v>2384</v>
      </c>
      <c r="Q233" s="96">
        <v>2241</v>
      </c>
      <c r="R233" s="96">
        <v>1199</v>
      </c>
      <c r="S233" s="96">
        <v>470</v>
      </c>
      <c r="T233" s="96">
        <v>-75</v>
      </c>
      <c r="U233" s="96">
        <v>-82</v>
      </c>
      <c r="V233" s="96">
        <v>85</v>
      </c>
      <c r="W233" s="96">
        <v>80</v>
      </c>
      <c r="X233" s="96">
        <v>21</v>
      </c>
      <c r="Y233" s="226">
        <f ca="1">IFERROR(__xludf.DUMMYFUNCTION("GOOGLEFINANCE(""nse:""&amp;C233,""eps"")"),0.55)</f>
        <v>0.55000000000000004</v>
      </c>
      <c r="Z233" s="96">
        <v>16</v>
      </c>
      <c r="AA233" s="96">
        <v>2000</v>
      </c>
      <c r="AB233" s="96"/>
      <c r="AC233" s="96"/>
      <c r="AD233" s="227">
        <f t="shared" si="0"/>
        <v>-3.9103232533889469E-2</v>
      </c>
      <c r="AE233" s="227">
        <f t="shared" si="1"/>
        <v>6.672226855713094E-2</v>
      </c>
      <c r="AF233" s="228">
        <f t="shared" si="2"/>
        <v>8.247422680412371E-2</v>
      </c>
      <c r="AG233" s="53">
        <f t="shared" si="3"/>
        <v>-4.125</v>
      </c>
      <c r="AH233" s="53">
        <f t="shared" si="4"/>
        <v>1.8453608247422681</v>
      </c>
      <c r="AI233" s="180">
        <f t="shared" si="5"/>
        <v>1.2004132231404958</v>
      </c>
      <c r="AJ233" s="100">
        <f t="shared" si="6"/>
        <v>29.687174139728885</v>
      </c>
      <c r="AK233" s="95">
        <f t="shared" si="7"/>
        <v>-0.12886597938144329</v>
      </c>
      <c r="AL233" s="95">
        <f t="shared" si="8"/>
        <v>-4.5262522631261314E-2</v>
      </c>
      <c r="AM233" s="100">
        <f t="shared" ca="1" si="9"/>
        <v>3849.9090909090901</v>
      </c>
      <c r="AN233" s="100">
        <f t="shared" ca="1" si="10"/>
        <v>9.8232216494845357</v>
      </c>
      <c r="AO233" s="123">
        <f t="shared" ca="1" si="11"/>
        <v>2.5974639306713271E-4</v>
      </c>
    </row>
    <row r="234" spans="2:41" ht="15.75" customHeight="1">
      <c r="B234" s="88">
        <v>541301</v>
      </c>
      <c r="C234" s="163" t="s">
        <v>173</v>
      </c>
      <c r="D234" s="96">
        <f ca="1">IFERROR(__xludf.DUMMYFUNCTION("GOOGLEFINANCE(""bom:""&amp;B234,""price"")"),262.35)</f>
        <v>262.35000000000002</v>
      </c>
      <c r="E234" s="52">
        <f ca="1">IFERROR(__xludf.DUMMYFUNCTION("GOOGLEFINANCE(""bom:""&amp;B234,""marketcap"")/10000000"),5591.253149)</f>
        <v>5591.2531490000001</v>
      </c>
      <c r="F234" s="52">
        <v>919</v>
      </c>
      <c r="G234" s="52">
        <v>718</v>
      </c>
      <c r="H234" s="52">
        <v>1451</v>
      </c>
      <c r="I234" s="52">
        <v>812</v>
      </c>
      <c r="J234" s="52">
        <v>21</v>
      </c>
      <c r="K234" s="52">
        <v>617</v>
      </c>
      <c r="L234" s="52">
        <v>20</v>
      </c>
      <c r="M234" s="52">
        <v>309</v>
      </c>
      <c r="N234" s="96">
        <v>1</v>
      </c>
      <c r="O234" s="96">
        <v>2812</v>
      </c>
      <c r="P234" s="96">
        <v>2529</v>
      </c>
      <c r="Q234" s="96">
        <v>1864</v>
      </c>
      <c r="R234" s="96"/>
      <c r="S234" s="96"/>
      <c r="T234" s="96">
        <v>75</v>
      </c>
      <c r="U234" s="96">
        <v>76</v>
      </c>
      <c r="V234" s="96">
        <v>69</v>
      </c>
      <c r="W234" s="96"/>
      <c r="X234" s="96"/>
      <c r="Y234" s="226">
        <f ca="1">IFERROR(__xludf.DUMMYFUNCTION("GOOGLEFINANCE(""nse:""&amp;C234,""eps"")"),3.28)</f>
        <v>3.28</v>
      </c>
      <c r="Z234" s="96">
        <v>23</v>
      </c>
      <c r="AA234" s="96">
        <v>2750</v>
      </c>
      <c r="AB234" s="96"/>
      <c r="AC234" s="96"/>
      <c r="AD234" s="227">
        <f t="shared" si="0"/>
        <v>2.6671408250355619E-2</v>
      </c>
      <c r="AE234" s="227" t="e">
        <f t="shared" si="1"/>
        <v>#DIV/0!</v>
      </c>
      <c r="AF234" s="228">
        <f t="shared" si="2"/>
        <v>3.1347962382445138E-2</v>
      </c>
      <c r="AG234" s="53">
        <f t="shared" si="3"/>
        <v>3.6956521739130435</v>
      </c>
      <c r="AH234" s="53">
        <f t="shared" si="4"/>
        <v>1.2727272727272727</v>
      </c>
      <c r="AI234" s="180">
        <f t="shared" si="5"/>
        <v>1.2799442896935933</v>
      </c>
      <c r="AJ234" s="100">
        <f t="shared" si="6"/>
        <v>40.108463726884779</v>
      </c>
      <c r="AK234" s="95">
        <f t="shared" si="7"/>
        <v>0.11755485893416928</v>
      </c>
      <c r="AL234" s="95">
        <f t="shared" si="8"/>
        <v>5.1688490696071676E-2</v>
      </c>
      <c r="AM234" s="100">
        <f t="shared" ca="1" si="9"/>
        <v>79.984756097560989</v>
      </c>
      <c r="AN234" s="100">
        <f t="shared" ca="1" si="10"/>
        <v>8.6353448275862075</v>
      </c>
      <c r="AO234" s="123">
        <f t="shared" ca="1" si="11"/>
        <v>1.2502382313703066E-2</v>
      </c>
    </row>
    <row r="235" spans="2:41" ht="15.75" customHeight="1">
      <c r="B235" s="88">
        <v>543260</v>
      </c>
      <c r="C235" s="163" t="s">
        <v>220</v>
      </c>
      <c r="D235" s="96">
        <f ca="1">IFERROR(__xludf.DUMMYFUNCTION("GOOGLEFINANCE(""bom:""&amp;B235,""price"")"),816.65)</f>
        <v>816.65</v>
      </c>
      <c r="E235" s="52">
        <f ca="1">IFERROR(__xludf.DUMMYFUNCTION("GOOGLEFINANCE(""bom:""&amp;B235,""marketcap"")/10000000"),2696.197322)</f>
        <v>2696.197322</v>
      </c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</row>
    <row r="236" spans="2:41" ht="15.75" customHeight="1">
      <c r="B236" s="88">
        <v>524091</v>
      </c>
      <c r="C236" s="163" t="s">
        <v>188</v>
      </c>
      <c r="D236" s="96">
        <f ca="1">IFERROR(__xludf.DUMMYFUNCTION("GOOGLEFINANCE(""bom:""&amp;B236,""price"")"),892.55)</f>
        <v>892.55</v>
      </c>
      <c r="E236" s="52">
        <f ca="1">IFERROR(__xludf.DUMMYFUNCTION("GOOGLEFINANCE(""bom:""&amp;B236,""marketcap"")/10000000"),2528.2788997)</f>
        <v>2528.2788996999998</v>
      </c>
      <c r="F236" s="100"/>
      <c r="G236" s="100"/>
      <c r="H236" s="100"/>
      <c r="I236" s="100"/>
      <c r="J236" s="100"/>
      <c r="K236" s="100"/>
      <c r="L236" s="100"/>
      <c r="M236" s="100"/>
      <c r="O236" s="45"/>
      <c r="Q236" s="45"/>
      <c r="R236" s="45"/>
      <c r="S236" s="45"/>
      <c r="T236" s="45"/>
      <c r="AF236" s="229"/>
      <c r="AG236" s="180"/>
      <c r="AH236" s="180"/>
    </row>
    <row r="237" spans="2:41" ht="15.75" customHeight="1">
      <c r="B237" s="88">
        <v>543449</v>
      </c>
      <c r="C237" s="163" t="s">
        <v>221</v>
      </c>
      <c r="D237" s="96">
        <f ca="1">IFERROR(__xludf.DUMMYFUNCTION("GOOGLEFINANCE(""bom:""&amp;B237,""price"")"),1386.1)</f>
        <v>1386.1</v>
      </c>
      <c r="E237" s="52">
        <f ca="1">IFERROR(__xludf.DUMMYFUNCTION("GOOGLEFINANCE(""bom:""&amp;B237,""marketcap"")/10000000"),1847.1597107)</f>
        <v>1847.1597107</v>
      </c>
    </row>
    <row r="238" spans="2:41" ht="15.75" customHeight="1">
      <c r="B238" s="88">
        <v>517421</v>
      </c>
      <c r="C238" s="163" t="s">
        <v>222</v>
      </c>
      <c r="D238" s="96">
        <f ca="1">IFERROR(__xludf.DUMMYFUNCTION("GOOGLEFINANCE(""bom:""&amp;B238,""price"")"),949)</f>
        <v>949</v>
      </c>
      <c r="E238" s="52">
        <f ca="1">IFERROR(__xludf.DUMMYFUNCTION("GOOGLEFINANCE(""bom:""&amp;B238,""marketcap"")/10000000"),1701.6861712)</f>
        <v>1701.6861712</v>
      </c>
    </row>
    <row r="239" spans="2:41" ht="15.75" customHeight="1">
      <c r="B239" s="88">
        <v>543725</v>
      </c>
      <c r="C239" s="163" t="s">
        <v>223</v>
      </c>
      <c r="D239" s="96">
        <f ca="1">IFERROR(__xludf.DUMMYFUNCTION("GOOGLEFINANCE(""bom:""&amp;B239,""price"")"),261.35)</f>
        <v>261.35000000000002</v>
      </c>
      <c r="E239" s="52">
        <f ca="1">IFERROR(__xludf.DUMMYFUNCTION("GOOGLEFINANCE(""bom:""&amp;B239,""marketcap"")/10000000"),1296.1550887)</f>
        <v>1296.1550887000001</v>
      </c>
    </row>
    <row r="240" spans="2:41" ht="15.75" customHeight="1">
      <c r="B240" s="88">
        <v>502865</v>
      </c>
      <c r="C240" s="163" t="s">
        <v>224</v>
      </c>
      <c r="D240" s="96">
        <f ca="1">IFERROR(__xludf.DUMMYFUNCTION("GOOGLEFINANCE(""bom:""&amp;B240,""price"")"),620.85)</f>
        <v>620.85</v>
      </c>
      <c r="E240" s="52">
        <f ca="1">IFERROR(__xludf.DUMMYFUNCTION("GOOGLEFINANCE(""bom:""&amp;B240,""marketcap"")/10000000"),800.8101703)</f>
        <v>800.81017029999998</v>
      </c>
    </row>
    <row r="241" spans="2:41" ht="15.75" customHeight="1">
      <c r="B241" s="88">
        <v>505729</v>
      </c>
      <c r="C241" s="163" t="s">
        <v>225</v>
      </c>
      <c r="D241" s="96">
        <f ca="1">IFERROR(__xludf.DUMMYFUNCTION("GOOGLEFINANCE(""bom:""&amp;B241,""price"")"),95.03)</f>
        <v>95.03</v>
      </c>
      <c r="E241" s="52">
        <f ca="1">IFERROR(__xludf.DUMMYFUNCTION("GOOGLEFINANCE(""bom:""&amp;B241,""marketcap"")/10000000"),581.5173566)</f>
        <v>581.51735659999997</v>
      </c>
    </row>
    <row r="242" spans="2:41" ht="15.75" customHeight="1">
      <c r="B242" s="88">
        <v>505840</v>
      </c>
      <c r="C242" s="163" t="s">
        <v>226</v>
      </c>
      <c r="D242" s="96">
        <f ca="1">IFERROR(__xludf.DUMMYFUNCTION("GOOGLEFINANCE(""bom:""&amp;B242,""price"")"),38.4)</f>
        <v>38.4</v>
      </c>
      <c r="E242" s="52">
        <f ca="1">IFERROR(__xludf.DUMMYFUNCTION("GOOGLEFINANCE(""bom:""&amp;B242,""marketcap"")/10000000"),23.4233865)</f>
        <v>23.423386499999999</v>
      </c>
    </row>
    <row r="244" spans="2:41" ht="13.8">
      <c r="B244" s="230"/>
      <c r="C244" s="230" t="s">
        <v>174</v>
      </c>
      <c r="D244" s="230">
        <f t="shared" ref="D244:M244" ca="1" si="12">SUM(D223:D242)</f>
        <v>22877.679999999997</v>
      </c>
      <c r="E244" s="231">
        <f t="shared" ca="1" si="12"/>
        <v>251611.52251430007</v>
      </c>
      <c r="F244" s="231">
        <f t="shared" si="12"/>
        <v>33001.5</v>
      </c>
      <c r="G244" s="231">
        <f t="shared" si="12"/>
        <v>24339</v>
      </c>
      <c r="H244" s="231">
        <f t="shared" si="12"/>
        <v>58539</v>
      </c>
      <c r="I244" s="231">
        <f t="shared" si="12"/>
        <v>29311</v>
      </c>
      <c r="J244" s="231">
        <f t="shared" si="12"/>
        <v>726</v>
      </c>
      <c r="K244" s="231">
        <f t="shared" si="12"/>
        <v>27999</v>
      </c>
      <c r="L244" s="231">
        <f t="shared" si="12"/>
        <v>3668</v>
      </c>
      <c r="M244" s="231">
        <f t="shared" si="12"/>
        <v>9072</v>
      </c>
      <c r="N244" s="232">
        <f>AVERAGE(N223:N236)</f>
        <v>5</v>
      </c>
      <c r="O244" s="230">
        <f t="shared" ref="O244:AA244" si="13">SUM(O223:O242)</f>
        <v>66569</v>
      </c>
      <c r="P244" s="230">
        <f t="shared" si="13"/>
        <v>60431</v>
      </c>
      <c r="Q244" s="230">
        <f t="shared" si="13"/>
        <v>42137</v>
      </c>
      <c r="R244" s="230">
        <f t="shared" si="13"/>
        <v>20097</v>
      </c>
      <c r="S244" s="230">
        <f t="shared" si="13"/>
        <v>10149</v>
      </c>
      <c r="T244" s="230">
        <f t="shared" si="13"/>
        <v>2225</v>
      </c>
      <c r="U244" s="230">
        <f t="shared" si="13"/>
        <v>2086</v>
      </c>
      <c r="V244" s="230">
        <f t="shared" si="13"/>
        <v>2307</v>
      </c>
      <c r="W244" s="230">
        <f t="shared" si="13"/>
        <v>723</v>
      </c>
      <c r="X244" s="230">
        <f t="shared" si="13"/>
        <v>824</v>
      </c>
      <c r="Y244" s="231">
        <f t="shared" ca="1" si="13"/>
        <v>179.70000000000005</v>
      </c>
      <c r="Z244" s="230">
        <f t="shared" si="13"/>
        <v>1306</v>
      </c>
      <c r="AA244" s="230">
        <f t="shared" si="13"/>
        <v>63853</v>
      </c>
      <c r="AD244" s="95">
        <f>T244/O244</f>
        <v>3.3423966110351665E-2</v>
      </c>
      <c r="AE244" s="95">
        <f>W244/R244</f>
        <v>3.5975518734139421E-2</v>
      </c>
      <c r="AF244" s="229">
        <f>L244/(K244+J244)</f>
        <v>0.12769364664926022</v>
      </c>
      <c r="AG244" s="180">
        <f>(O244-(AA244-Z244))/Z244</f>
        <v>3.0796324655436447</v>
      </c>
      <c r="AH244" s="180">
        <f>I244/(J244+K244)</f>
        <v>1.0204003481288078</v>
      </c>
      <c r="AI244" s="180">
        <f>F244/G244</f>
        <v>1.3559102674719585</v>
      </c>
      <c r="AJ244" s="100">
        <f>(M244/O244)*365</f>
        <v>49.742072135678768</v>
      </c>
      <c r="AK244" s="95">
        <f>T244/(J244+K244)</f>
        <v>7.7458659704090507E-2</v>
      </c>
      <c r="AL244" s="95">
        <f>T244/H244</f>
        <v>3.8008848801653596E-2</v>
      </c>
      <c r="AM244" s="100">
        <f ca="1">D244/Y244</f>
        <v>127.31040623260985</v>
      </c>
      <c r="AN244" s="100">
        <f t="shared" ref="AN244:AO244" ca="1" si="14">MEDIAN(AN223:AN234)</f>
        <v>9.2292832385353716</v>
      </c>
      <c r="AO244" s="123">
        <f t="shared" ca="1" si="14"/>
        <v>1.1115586462817002E-2</v>
      </c>
    </row>
    <row r="245" spans="2:41" ht="13.8">
      <c r="AK245" s="95"/>
    </row>
    <row r="246" spans="2:41" ht="13.8">
      <c r="AK246" s="95"/>
    </row>
    <row r="247" spans="2:41" ht="13.8">
      <c r="B247" s="161" t="s">
        <v>227</v>
      </c>
      <c r="AK247" s="95"/>
    </row>
    <row r="248" spans="2:41" ht="13.8">
      <c r="C248" s="161" t="s">
        <v>26</v>
      </c>
      <c r="J248" s="168" t="s">
        <v>29</v>
      </c>
      <c r="S248" s="168" t="s">
        <v>228</v>
      </c>
      <c r="X248" s="168" t="s">
        <v>27</v>
      </c>
      <c r="AB248" s="168" t="s">
        <v>27</v>
      </c>
      <c r="AG248" s="161" t="s">
        <v>30</v>
      </c>
      <c r="AK248" s="95"/>
    </row>
    <row r="249" spans="2:41" ht="13.8">
      <c r="C249" s="161" t="s">
        <v>3</v>
      </c>
      <c r="D249" s="161" t="s">
        <v>175</v>
      </c>
      <c r="E249" s="161" t="s">
        <v>176</v>
      </c>
      <c r="F249" s="161" t="s">
        <v>177</v>
      </c>
      <c r="G249" s="161" t="s">
        <v>178</v>
      </c>
      <c r="H249" s="161" t="s">
        <v>179</v>
      </c>
      <c r="J249" s="169" t="s">
        <v>3</v>
      </c>
      <c r="K249" s="169" t="s">
        <v>180</v>
      </c>
      <c r="L249" s="169" t="s">
        <v>181</v>
      </c>
      <c r="M249" s="169" t="s">
        <v>182</v>
      </c>
      <c r="N249" s="169" t="s">
        <v>183</v>
      </c>
      <c r="O249" s="169" t="s">
        <v>184</v>
      </c>
      <c r="P249" s="169" t="s">
        <v>185</v>
      </c>
      <c r="Q249" s="169" t="s">
        <v>186</v>
      </c>
      <c r="S249" s="169" t="s">
        <v>3</v>
      </c>
      <c r="T249" s="169" t="s">
        <v>37</v>
      </c>
      <c r="U249" s="169" t="s">
        <v>39</v>
      </c>
      <c r="V249" s="169" t="s">
        <v>38</v>
      </c>
      <c r="X249" s="169" t="s">
        <v>3</v>
      </c>
      <c r="Y249" s="161" t="s">
        <v>218</v>
      </c>
      <c r="Z249" s="161" t="s">
        <v>219</v>
      </c>
      <c r="AB249" s="169" t="s">
        <v>3</v>
      </c>
      <c r="AC249" s="173" t="s">
        <v>40</v>
      </c>
      <c r="AD249" s="173" t="s">
        <v>42</v>
      </c>
      <c r="AF249" s="169" t="s">
        <v>3</v>
      </c>
      <c r="AG249" s="149" t="s">
        <v>43</v>
      </c>
      <c r="AI249" s="169" t="s">
        <v>3</v>
      </c>
      <c r="AJ249" s="149" t="s">
        <v>46</v>
      </c>
      <c r="AK249" s="95"/>
      <c r="AL249" s="169" t="s">
        <v>3</v>
      </c>
      <c r="AM249" s="149" t="s">
        <v>44</v>
      </c>
    </row>
    <row r="250" spans="2:41" ht="15.75" customHeight="1">
      <c r="C250" s="163" t="s">
        <v>24</v>
      </c>
      <c r="D250" s="95">
        <v>7.3208782676350781E-2</v>
      </c>
      <c r="E250" s="95">
        <v>9.0126388952265879E-2</v>
      </c>
      <c r="F250" s="95">
        <v>0.13272819726262419</v>
      </c>
      <c r="G250" s="95">
        <f t="shared" ref="G250:G261" si="15">(O223/P223)-1</f>
        <v>0.32790722417278428</v>
      </c>
      <c r="H250" s="95">
        <v>0.46500000000000002</v>
      </c>
      <c r="J250" s="2" t="s">
        <v>24</v>
      </c>
      <c r="K250" s="95">
        <v>6.8099999999999994E-2</v>
      </c>
      <c r="L250" s="95">
        <v>3.8399999999999997E-2</v>
      </c>
      <c r="M250" s="95">
        <v>1.9870202708116336E-2</v>
      </c>
      <c r="N250" s="95">
        <v>1.4469624428130653E-2</v>
      </c>
      <c r="O250" s="95">
        <v>6.9326161661437319E-2</v>
      </c>
      <c r="P250" s="95">
        <v>4.6524876566654008E-2</v>
      </c>
      <c r="Q250" s="95">
        <v>5.8728323699421964E-2</v>
      </c>
      <c r="S250" s="2" t="s">
        <v>24</v>
      </c>
      <c r="T250" s="229">
        <v>0.12250859106529209</v>
      </c>
      <c r="U250" s="180">
        <v>1.4762516046213094</v>
      </c>
      <c r="V250" s="180">
        <v>1.0621993127147766</v>
      </c>
      <c r="X250" s="2" t="s">
        <v>24</v>
      </c>
      <c r="Y250" s="180">
        <v>1.3420778318276581</v>
      </c>
      <c r="Z250" s="100">
        <v>74.076195817642827</v>
      </c>
      <c r="AB250" s="2" t="s">
        <v>24</v>
      </c>
      <c r="AC250" s="95">
        <v>4.2611683848797252E-2</v>
      </c>
      <c r="AD250" s="95">
        <v>2.0604852110335661E-2</v>
      </c>
      <c r="AF250" s="2" t="s">
        <v>24</v>
      </c>
      <c r="AG250" s="100">
        <v>129.10507246376812</v>
      </c>
      <c r="AI250" s="2" t="s">
        <v>24</v>
      </c>
      <c r="AJ250" s="100">
        <v>10.102139175257731</v>
      </c>
      <c r="AK250" s="95"/>
      <c r="AL250" s="2" t="s">
        <v>24</v>
      </c>
      <c r="AM250" s="123">
        <v>7.7456290517217185E-3</v>
      </c>
    </row>
    <row r="251" spans="2:41" ht="15.75" customHeight="1">
      <c r="C251" s="163" t="s">
        <v>162</v>
      </c>
      <c r="D251" s="95">
        <v>9.3819072264084147E-2</v>
      </c>
      <c r="E251" s="95">
        <v>0.12761542415210347</v>
      </c>
      <c r="F251" s="95">
        <v>0.13097545916799369</v>
      </c>
      <c r="G251" s="95">
        <f t="shared" si="15"/>
        <v>0.21411558229910987</v>
      </c>
      <c r="H251" s="95">
        <v>0.28710000000000002</v>
      </c>
      <c r="J251" s="2" t="s">
        <v>162</v>
      </c>
      <c r="K251" s="95">
        <v>5.8999999999999997E-2</v>
      </c>
      <c r="L251" s="95">
        <v>3.73E-2</v>
      </c>
      <c r="M251" s="95">
        <v>4.2746515229736708E-2</v>
      </c>
      <c r="N251" s="95">
        <v>5.0144164472859472E-2</v>
      </c>
      <c r="O251" s="95">
        <v>3.6301108139090564E-2</v>
      </c>
      <c r="P251" s="95">
        <v>2.6424159231297185E-2</v>
      </c>
      <c r="Q251" s="95">
        <v>7.1343638525564801E-2</v>
      </c>
      <c r="S251" s="2" t="s">
        <v>162</v>
      </c>
      <c r="T251" s="229">
        <v>6.4033742331288349E-2</v>
      </c>
      <c r="U251" s="180">
        <v>9.7758620689655178</v>
      </c>
      <c r="V251" s="180">
        <v>1.5356595092024541</v>
      </c>
      <c r="X251" s="2" t="s">
        <v>162</v>
      </c>
      <c r="Y251" s="180">
        <v>1.2993039443155452</v>
      </c>
      <c r="Z251" s="100">
        <v>73.565307176045437</v>
      </c>
      <c r="AB251" s="2" t="s">
        <v>162</v>
      </c>
      <c r="AC251" s="95">
        <v>0.15874233128834356</v>
      </c>
      <c r="AD251" s="95">
        <v>6.2556663644605617E-2</v>
      </c>
      <c r="AF251" s="2" t="s">
        <v>162</v>
      </c>
      <c r="AG251" s="100">
        <v>69.824775876120626</v>
      </c>
      <c r="AI251" s="2" t="s">
        <v>162</v>
      </c>
      <c r="AJ251" s="100">
        <v>13.468845858895705</v>
      </c>
      <c r="AK251" s="95"/>
      <c r="AL251" s="2" t="s">
        <v>162</v>
      </c>
      <c r="AM251" s="123">
        <v>1.432156405018967E-2</v>
      </c>
    </row>
    <row r="252" spans="2:41" ht="15.75" customHeight="1">
      <c r="C252" s="163" t="s">
        <v>163</v>
      </c>
      <c r="D252" s="95"/>
      <c r="E252" s="95"/>
      <c r="F252" s="95">
        <v>0.10301876830180134</v>
      </c>
      <c r="G252" s="95">
        <f t="shared" si="15"/>
        <v>0.25890859011878131</v>
      </c>
      <c r="H252" s="95">
        <v>0.1391</v>
      </c>
      <c r="J252" s="2" t="s">
        <v>163</v>
      </c>
      <c r="K252" s="95">
        <v>7.1099999999999997E-2</v>
      </c>
      <c r="L252" s="95">
        <v>6.5000000000000002E-2</v>
      </c>
      <c r="M252" s="95">
        <v>6.0440311773553947E-2</v>
      </c>
      <c r="N252" s="95">
        <v>8.1769667756928899E-2</v>
      </c>
      <c r="O252" s="95">
        <v>8.9528912703728508E-2</v>
      </c>
      <c r="P252" s="95"/>
      <c r="Q252" s="95"/>
      <c r="S252" s="2" t="s">
        <v>163</v>
      </c>
      <c r="T252" s="229">
        <v>0.19966666666666666</v>
      </c>
      <c r="U252" s="180">
        <v>7.4050632911392409</v>
      </c>
      <c r="V252" s="180">
        <v>0.87766666666666671</v>
      </c>
      <c r="X252" s="2" t="s">
        <v>163</v>
      </c>
      <c r="Y252" s="180">
        <v>1.3111972855065439</v>
      </c>
      <c r="Z252" s="100">
        <v>35.985915492957744</v>
      </c>
      <c r="AB252" s="2" t="s">
        <v>163</v>
      </c>
      <c r="AC252" s="95">
        <v>0.14733333333333334</v>
      </c>
      <c r="AD252" s="95">
        <v>7.2673462676751066E-2</v>
      </c>
      <c r="AF252" s="2" t="s">
        <v>163</v>
      </c>
      <c r="AG252" s="100">
        <v>63.462059620596207</v>
      </c>
      <c r="AI252" s="2" t="s">
        <v>163</v>
      </c>
      <c r="AJ252" s="100">
        <v>10.069525000000001</v>
      </c>
      <c r="AK252" s="95"/>
      <c r="AL252" s="2" t="s">
        <v>163</v>
      </c>
      <c r="AM252" s="123">
        <v>1.5757446354222267E-2</v>
      </c>
    </row>
    <row r="253" spans="2:41" ht="15.75" customHeight="1">
      <c r="C253" s="163" t="s">
        <v>164</v>
      </c>
      <c r="D253" s="95">
        <v>9.9510526380277131E-2</v>
      </c>
      <c r="E253" s="95">
        <v>9.1948323315094616E-2</v>
      </c>
      <c r="F253" s="95">
        <v>4.8222933402863877E-2</v>
      </c>
      <c r="G253" s="95">
        <f t="shared" si="15"/>
        <v>5.1508462104488117E-3</v>
      </c>
      <c r="H253" s="95">
        <v>0.2397</v>
      </c>
      <c r="J253" s="2" t="s">
        <v>164</v>
      </c>
      <c r="K253" s="95">
        <v>5.62E-2</v>
      </c>
      <c r="L253" s="95">
        <v>3.2199999999999999E-2</v>
      </c>
      <c r="M253" s="95">
        <v>3.2796486090775991E-2</v>
      </c>
      <c r="N253" s="95">
        <v>3.2818248712288445E-2</v>
      </c>
      <c r="O253" s="95">
        <v>7.5782842319807295E-2</v>
      </c>
      <c r="P253" s="95">
        <v>4.3048694424841216E-2</v>
      </c>
      <c r="Q253" s="95">
        <v>9.113001215066828E-3</v>
      </c>
      <c r="S253" s="2" t="s">
        <v>164</v>
      </c>
      <c r="T253" s="229">
        <v>0</v>
      </c>
      <c r="U253" s="180">
        <v>6.4</v>
      </c>
      <c r="V253" s="180">
        <v>0.62239089184060725</v>
      </c>
      <c r="X253" s="2" t="s">
        <v>164</v>
      </c>
      <c r="Y253" s="180">
        <v>2.2752967778405879</v>
      </c>
      <c r="Z253" s="100">
        <v>18.169838945827234</v>
      </c>
      <c r="AB253" s="2" t="s">
        <v>164</v>
      </c>
      <c r="AC253" s="95">
        <v>6.0721062618595827E-2</v>
      </c>
      <c r="AD253" s="95">
        <v>3.6482084690553744E-2</v>
      </c>
      <c r="AF253" s="2" t="s">
        <v>164</v>
      </c>
      <c r="AG253" s="100">
        <v>97.65735815602838</v>
      </c>
      <c r="AI253" s="2" t="s">
        <v>164</v>
      </c>
      <c r="AJ253" s="100">
        <v>7.5847126592572511</v>
      </c>
      <c r="AK253" s="95"/>
      <c r="AL253" s="2" t="s">
        <v>164</v>
      </c>
      <c r="AM253" s="123">
        <v>1.023988380273699E-2</v>
      </c>
    </row>
    <row r="254" spans="2:41" ht="15.75" customHeight="1">
      <c r="C254" s="163" t="s">
        <v>165</v>
      </c>
      <c r="D254" s="95">
        <v>0.19980886937079312</v>
      </c>
      <c r="E254" s="95">
        <v>0.12340991425492054</v>
      </c>
      <c r="F254" s="95">
        <v>0.13365165490728304</v>
      </c>
      <c r="G254" s="95">
        <f t="shared" si="15"/>
        <v>0.17688393506178812</v>
      </c>
      <c r="H254" s="95">
        <v>0.21659999999999999</v>
      </c>
      <c r="J254" s="2" t="s">
        <v>165</v>
      </c>
      <c r="K254" s="95">
        <v>6.7000000000000004E-2</v>
      </c>
      <c r="L254" s="95">
        <v>5.2699999999999997E-2</v>
      </c>
      <c r="M254" s="95">
        <v>5.3119209388511425E-2</v>
      </c>
      <c r="N254" s="95">
        <v>4.5795977707778046E-2</v>
      </c>
      <c r="O254" s="95">
        <v>6.4764841942945253E-2</v>
      </c>
      <c r="P254" s="95">
        <v>4.6143704680290047E-2</v>
      </c>
      <c r="Q254" s="95">
        <v>5.3797468354430382E-2</v>
      </c>
      <c r="S254" s="2" t="s">
        <v>165</v>
      </c>
      <c r="T254" s="229">
        <v>0.16041896361631752</v>
      </c>
      <c r="U254" s="180">
        <v>8.6750000000000007</v>
      </c>
      <c r="V254" s="180">
        <v>0.74255788313120175</v>
      </c>
      <c r="X254" s="2" t="s">
        <v>165</v>
      </c>
      <c r="Y254" s="180">
        <v>1.6337325349301397</v>
      </c>
      <c r="Z254" s="100">
        <v>44.788964381305334</v>
      </c>
      <c r="AB254" s="2" t="s">
        <v>165</v>
      </c>
      <c r="AC254" s="95">
        <v>0.14222712238147739</v>
      </c>
      <c r="AD254" s="95">
        <v>8.1619740588421391E-2</v>
      </c>
      <c r="AF254" s="2" t="s">
        <v>165</v>
      </c>
      <c r="AG254" s="100">
        <v>70.24024024024024</v>
      </c>
      <c r="AI254" s="2" t="s">
        <v>165</v>
      </c>
      <c r="AJ254" s="100">
        <v>11.088974641675854</v>
      </c>
      <c r="AK254" s="95"/>
      <c r="AL254" s="2" t="s">
        <v>165</v>
      </c>
      <c r="AM254" s="123">
        <v>1.4236853356135101E-2</v>
      </c>
    </row>
    <row r="255" spans="2:41" ht="15.75" customHeight="1">
      <c r="C255" s="163" t="s">
        <v>166</v>
      </c>
      <c r="D255" s="95"/>
      <c r="E255" s="95"/>
      <c r="F255" s="95">
        <v>0.25196892467078458</v>
      </c>
      <c r="G255" s="95">
        <f t="shared" si="15"/>
        <v>-2.8439439872960826E-2</v>
      </c>
      <c r="H255" s="95">
        <v>0.41410000000000002</v>
      </c>
      <c r="J255" s="2" t="s">
        <v>166</v>
      </c>
      <c r="K255" s="95">
        <v>4.0899999999999999E-2</v>
      </c>
      <c r="L255" s="95">
        <v>2.75E-2</v>
      </c>
      <c r="M255" s="95">
        <v>2.0802377414561663E-2</v>
      </c>
      <c r="N255" s="95">
        <v>2.3531110148693517E-2</v>
      </c>
      <c r="O255" s="95">
        <v>4.2047531992687383E-2</v>
      </c>
      <c r="P255" s="95"/>
      <c r="Q255" s="95"/>
      <c r="S255" s="2" t="s">
        <v>166</v>
      </c>
      <c r="T255" s="229">
        <v>0.69443099273607745</v>
      </c>
      <c r="U255" s="180">
        <v>1.8323353293413174</v>
      </c>
      <c r="V255" s="180">
        <v>2.168038740920097</v>
      </c>
      <c r="X255" s="2" t="s">
        <v>166</v>
      </c>
      <c r="Y255" s="180">
        <v>1.0213089802130899</v>
      </c>
      <c r="Z255" s="100">
        <v>85.094353640416045</v>
      </c>
      <c r="AB255" s="2" t="s">
        <v>166</v>
      </c>
      <c r="AC255" s="95">
        <v>6.7796610169491525E-2</v>
      </c>
      <c r="AD255" s="95">
        <v>2.1234642802972849E-2</v>
      </c>
      <c r="AF255" s="2" t="s">
        <v>166</v>
      </c>
      <c r="AG255" s="100">
        <v>94.914213090446935</v>
      </c>
      <c r="AI255" s="2" t="s">
        <v>166</v>
      </c>
      <c r="AJ255" s="100">
        <v>7.377753026634382</v>
      </c>
      <c r="AK255" s="95"/>
      <c r="AL255" s="2" t="s">
        <v>166</v>
      </c>
      <c r="AM255" s="123">
        <v>1.0535829855609365E-2</v>
      </c>
    </row>
    <row r="256" spans="2:41" ht="15.75" customHeight="1">
      <c r="C256" s="163" t="s">
        <v>167</v>
      </c>
      <c r="D256" s="95">
        <v>0.13495265899809428</v>
      </c>
      <c r="E256" s="95">
        <v>7.3632051948961497E-2</v>
      </c>
      <c r="F256" s="95">
        <v>4.9229375598962788E-2</v>
      </c>
      <c r="G256" s="95">
        <f t="shared" si="15"/>
        <v>-3.5649981994958613E-2</v>
      </c>
      <c r="H256" s="95">
        <v>1.8E-3</v>
      </c>
      <c r="J256" s="2" t="s">
        <v>167</v>
      </c>
      <c r="K256" s="95">
        <v>8.5099999999999995E-2</v>
      </c>
      <c r="L256" s="95">
        <v>9.1800000000000007E-2</v>
      </c>
      <c r="M256" s="95">
        <v>8.4017923823749063E-2</v>
      </c>
      <c r="N256" s="95">
        <v>9.1825711199135754E-2</v>
      </c>
      <c r="O256" s="95">
        <v>9.1168091168091173E-2</v>
      </c>
      <c r="P256" s="95">
        <v>8.5106382978723402E-2</v>
      </c>
      <c r="Q256" s="95">
        <v>5.4862842892768077E-2</v>
      </c>
      <c r="S256" s="2" t="s">
        <v>167</v>
      </c>
      <c r="T256" s="229">
        <v>2.2509578544061302E-2</v>
      </c>
      <c r="U256" s="180">
        <v>18.384615384615383</v>
      </c>
      <c r="V256" s="180">
        <v>0.31369731800766282</v>
      </c>
      <c r="X256" s="2" t="s">
        <v>167</v>
      </c>
      <c r="Y256" s="180">
        <v>3.834319526627219</v>
      </c>
      <c r="Z256" s="100">
        <v>40.070948469006723</v>
      </c>
      <c r="AB256" s="2" t="s">
        <v>167</v>
      </c>
      <c r="AC256" s="95">
        <v>0.10775862068965517</v>
      </c>
      <c r="AD256" s="95">
        <v>8.2026977761574915E-2</v>
      </c>
      <c r="AF256" s="2" t="s">
        <v>167</v>
      </c>
      <c r="AG256" s="100">
        <v>58.041172800998126</v>
      </c>
      <c r="AI256" s="2" t="s">
        <v>167</v>
      </c>
      <c r="AJ256" s="100">
        <v>6.2383141762452103</v>
      </c>
      <c r="AL256" s="2" t="s">
        <v>167</v>
      </c>
      <c r="AM256" s="123">
        <v>1.722914875322442E-2</v>
      </c>
    </row>
    <row r="257" spans="3:39" ht="15.75" customHeight="1">
      <c r="C257" s="163" t="s">
        <v>168</v>
      </c>
      <c r="D257" s="95"/>
      <c r="E257" s="95">
        <v>1.4880081248613175E-2</v>
      </c>
      <c r="F257" s="95">
        <v>-6.9658890383399452E-2</v>
      </c>
      <c r="G257" s="95">
        <f t="shared" si="15"/>
        <v>-0.14551482777675451</v>
      </c>
      <c r="H257" s="95">
        <v>3.8600000000000002E-2</v>
      </c>
      <c r="J257" s="2" t="s">
        <v>168</v>
      </c>
      <c r="K257" s="95">
        <v>2.4299999999999999E-2</v>
      </c>
      <c r="M257" s="95">
        <v>2.8454408277646046E-2</v>
      </c>
      <c r="N257" s="95">
        <v>3.9602136673420517E-2</v>
      </c>
      <c r="O257" s="95">
        <v>2.5090144230769232E-2</v>
      </c>
      <c r="P257" s="95">
        <v>-1.2493753123438282E-3</v>
      </c>
      <c r="Q257" s="95"/>
      <c r="S257" s="2" t="s">
        <v>168</v>
      </c>
      <c r="T257" s="229">
        <v>0.15949554896142434</v>
      </c>
      <c r="U257" s="180">
        <v>5.1269841269841274</v>
      </c>
      <c r="V257" s="180">
        <v>1.8093471810089021</v>
      </c>
      <c r="X257" s="2" t="s">
        <v>168</v>
      </c>
      <c r="Y257" s="180">
        <v>1.1361161524500907</v>
      </c>
      <c r="Z257" s="100">
        <v>1.730976503556801</v>
      </c>
      <c r="AB257" s="2" t="s">
        <v>168</v>
      </c>
      <c r="AC257" s="95">
        <v>9.7922848664688422E-2</v>
      </c>
      <c r="AD257" s="95">
        <v>3.4856086612094009E-2</v>
      </c>
      <c r="AF257" s="2" t="s">
        <v>168</v>
      </c>
      <c r="AG257" s="100">
        <v>92.273156899810957</v>
      </c>
      <c r="AI257" s="2" t="s">
        <v>168</v>
      </c>
      <c r="AJ257" s="100">
        <v>8.3285422848664687</v>
      </c>
      <c r="AL257" s="2" t="s">
        <v>168</v>
      </c>
      <c r="AM257" s="123">
        <v>1.0837387964148527E-2</v>
      </c>
    </row>
    <row r="258" spans="3:39" ht="15.75" customHeight="1">
      <c r="C258" s="163" t="s">
        <v>169</v>
      </c>
      <c r="D258" s="95"/>
      <c r="E258" s="95"/>
      <c r="F258" s="95"/>
      <c r="G258" s="95">
        <f t="shared" si="15"/>
        <v>5.0383877159309032E-2</v>
      </c>
      <c r="H258" s="95">
        <v>9.4E-2</v>
      </c>
      <c r="J258" s="2" t="s">
        <v>169</v>
      </c>
      <c r="K258" s="95">
        <v>5.6099999999999997E-2</v>
      </c>
      <c r="M258" s="95">
        <v>4.202832343535861E-2</v>
      </c>
      <c r="N258" s="95">
        <v>1.0076775431861805E-2</v>
      </c>
      <c r="O258" s="95">
        <v>-3.8461538461538464E-2</v>
      </c>
      <c r="P258" s="95">
        <v>0</v>
      </c>
      <c r="Q258" s="95"/>
      <c r="S258" s="2" t="s">
        <v>169</v>
      </c>
      <c r="T258" s="229">
        <v>1.4692378328741965E-2</v>
      </c>
      <c r="U258" s="180">
        <v>20.2</v>
      </c>
      <c r="V258" s="180">
        <v>0.4428374655647383</v>
      </c>
      <c r="X258" s="2" t="s">
        <v>169</v>
      </c>
      <c r="Y258" s="180">
        <v>0.58273381294964033</v>
      </c>
      <c r="Z258" s="100">
        <v>27.17907720420283</v>
      </c>
      <c r="AB258" s="2" t="s">
        <v>169</v>
      </c>
      <c r="AC258" s="95">
        <v>2.1120293847566574E-2</v>
      </c>
      <c r="AD258" s="95">
        <v>1.5101772816808929E-2</v>
      </c>
      <c r="AF258" s="2" t="s">
        <v>169</v>
      </c>
      <c r="AG258" s="100">
        <v>92.362428842504755</v>
      </c>
      <c r="AI258" s="2" t="s">
        <v>169</v>
      </c>
      <c r="AJ258" s="100">
        <v>2.156628787878788</v>
      </c>
      <c r="AL258" s="2" t="s">
        <v>169</v>
      </c>
      <c r="AM258" s="123">
        <v>1.0826913199794555E-2</v>
      </c>
    </row>
    <row r="259" spans="3:39" ht="15.75" customHeight="1">
      <c r="C259" s="163" t="s">
        <v>171</v>
      </c>
      <c r="D259" s="95">
        <v>0.1617773495214534</v>
      </c>
      <c r="E259" s="95">
        <v>0.15826082737948743</v>
      </c>
      <c r="F259" s="95">
        <v>0.10783279735903029</v>
      </c>
      <c r="G259" s="95">
        <f t="shared" si="15"/>
        <v>5.7939914163090078E-2</v>
      </c>
      <c r="H259" s="95">
        <v>0.17299999999999999</v>
      </c>
      <c r="J259" s="2" t="s">
        <v>171</v>
      </c>
      <c r="K259" s="95">
        <v>3.1399999999999997E-2</v>
      </c>
      <c r="M259" s="95">
        <v>1.1268875366238449E-2</v>
      </c>
      <c r="N259" s="95">
        <v>3.5765379113018598E-3</v>
      </c>
      <c r="O259" s="95">
        <v>2.6701767581797667E-2</v>
      </c>
      <c r="P259" s="95">
        <v>2.1547502448579822E-2</v>
      </c>
      <c r="Q259" s="95">
        <v>6.6000000000000003E-2</v>
      </c>
      <c r="S259" s="2" t="s">
        <v>171</v>
      </c>
      <c r="T259" s="229">
        <v>9.7629009762900981E-2</v>
      </c>
      <c r="U259" s="180">
        <v>3.2857142857142856</v>
      </c>
      <c r="V259" s="180">
        <v>2.0390516039051603</v>
      </c>
      <c r="X259" s="2" t="s">
        <v>171</v>
      </c>
      <c r="Y259" s="180">
        <v>1.1674897119341563</v>
      </c>
      <c r="Z259" s="100">
        <v>34.303583502366465</v>
      </c>
      <c r="AB259" s="2" t="s">
        <v>171</v>
      </c>
      <c r="AC259" s="95">
        <v>6.9735006973500699E-2</v>
      </c>
      <c r="AD259" s="95">
        <v>2.2946305644791189E-2</v>
      </c>
      <c r="AF259" s="2" t="s">
        <v>171</v>
      </c>
      <c r="AG259" s="100">
        <v>88.34020146520146</v>
      </c>
      <c r="AI259" s="2" t="s">
        <v>171</v>
      </c>
      <c r="AJ259" s="100">
        <v>11.03254532775453</v>
      </c>
      <c r="AL259" s="2" t="s">
        <v>171</v>
      </c>
      <c r="AM259" s="123">
        <v>1.1319874569155416E-2</v>
      </c>
    </row>
    <row r="260" spans="3:39" ht="15.75" customHeight="1">
      <c r="C260" s="163" t="s">
        <v>172</v>
      </c>
      <c r="D260" s="95">
        <v>9.8289208417648988E-2</v>
      </c>
      <c r="E260" s="95">
        <v>4.8100533323297112E-2</v>
      </c>
      <c r="F260" s="95">
        <v>-3.0648360318455192E-2</v>
      </c>
      <c r="G260" s="95">
        <f t="shared" si="15"/>
        <v>-0.19546979865771807</v>
      </c>
      <c r="H260" s="95"/>
      <c r="J260" s="2" t="s">
        <v>172</v>
      </c>
      <c r="K260" s="95"/>
      <c r="M260" s="95">
        <v>-3.9103232533889469E-2</v>
      </c>
      <c r="N260" s="95">
        <v>-3.4395973154362415E-2</v>
      </c>
      <c r="O260" s="95">
        <v>3.792949576082106E-2</v>
      </c>
      <c r="P260" s="95">
        <v>6.672226855713094E-2</v>
      </c>
      <c r="Q260" s="95">
        <v>4.4680851063829789E-2</v>
      </c>
      <c r="S260" s="2" t="s">
        <v>172</v>
      </c>
      <c r="T260" s="229">
        <v>0.08</v>
      </c>
      <c r="U260" s="180">
        <v>-4.125</v>
      </c>
      <c r="V260" s="180">
        <v>1.8453608247422681</v>
      </c>
      <c r="X260" s="2" t="s">
        <v>172</v>
      </c>
      <c r="Y260" s="180">
        <v>1.2004132231404958</v>
      </c>
      <c r="Z260" s="100">
        <v>29.687174139728885</v>
      </c>
      <c r="AB260" s="2" t="s">
        <v>172</v>
      </c>
      <c r="AC260" s="95">
        <v>-0.12886597938144329</v>
      </c>
      <c r="AD260" s="95">
        <v>-4.5262522631261314E-2</v>
      </c>
      <c r="AF260" s="2" t="s">
        <v>172</v>
      </c>
      <c r="AG260" s="100">
        <v>3891</v>
      </c>
      <c r="AI260" s="2" t="s">
        <v>172</v>
      </c>
      <c r="AJ260" s="100">
        <v>9.9280670103092792</v>
      </c>
      <c r="AL260" s="2" t="s">
        <v>172</v>
      </c>
      <c r="AM260" s="123">
        <v>2.5700334104343357E-4</v>
      </c>
    </row>
    <row r="261" spans="3:39" ht="15.75" customHeight="1" thickBot="1">
      <c r="C261" s="164" t="s">
        <v>173</v>
      </c>
      <c r="D261" s="165"/>
      <c r="E261" s="165"/>
      <c r="F261" s="165">
        <v>8.5710109305209947E-2</v>
      </c>
      <c r="G261" s="165">
        <f t="shared" si="15"/>
        <v>0.11190193752471322</v>
      </c>
      <c r="H261" s="165">
        <v>6.9800000000000001E-2</v>
      </c>
      <c r="J261" s="170" t="s">
        <v>173</v>
      </c>
      <c r="K261" s="165">
        <v>1.9E-2</v>
      </c>
      <c r="L261" s="233"/>
      <c r="M261" s="165">
        <v>2.6671408250355619E-2</v>
      </c>
      <c r="N261" s="165">
        <v>3.0051403716884143E-2</v>
      </c>
      <c r="O261" s="165">
        <v>3.7017167381974247E-2</v>
      </c>
      <c r="P261" s="165"/>
      <c r="Q261" s="165"/>
      <c r="S261" s="170" t="s">
        <v>173</v>
      </c>
      <c r="T261" s="234">
        <v>3.1347962382445138E-2</v>
      </c>
      <c r="U261" s="235">
        <v>3.6956521739130435</v>
      </c>
      <c r="V261" s="235">
        <v>1.2727272727272727</v>
      </c>
      <c r="X261" s="170" t="s">
        <v>173</v>
      </c>
      <c r="Y261" s="235">
        <v>1.2799442896935933</v>
      </c>
      <c r="Z261" s="236">
        <v>40.108463726884779</v>
      </c>
      <c r="AB261" s="170" t="s">
        <v>173</v>
      </c>
      <c r="AC261" s="165">
        <v>0.11755485893416928</v>
      </c>
      <c r="AD261" s="165">
        <v>5.1688490696071676E-2</v>
      </c>
      <c r="AF261" s="170" t="s">
        <v>173</v>
      </c>
      <c r="AG261" s="236">
        <v>79.695121951219505</v>
      </c>
      <c r="AI261" s="170" t="s">
        <v>173</v>
      </c>
      <c r="AJ261" s="236">
        <v>8.6040752351097183</v>
      </c>
      <c r="AL261" s="170" t="s">
        <v>173</v>
      </c>
      <c r="AM261" s="171">
        <v>1.2547819433817903E-2</v>
      </c>
    </row>
    <row r="262" spans="3:39" ht="13.8">
      <c r="C262" s="45"/>
      <c r="D262" s="95"/>
      <c r="F262" s="95"/>
      <c r="J262" s="45"/>
      <c r="M262" s="95"/>
      <c r="N262" s="95"/>
      <c r="O262" s="95"/>
      <c r="P262" s="95"/>
      <c r="Q262" s="95"/>
      <c r="S262" s="45"/>
      <c r="X262" s="45"/>
      <c r="AB262" s="45"/>
      <c r="AF262" s="45"/>
      <c r="AI262" s="45"/>
      <c r="AL262" s="45"/>
    </row>
    <row r="263" spans="3:39" ht="14.4" thickBot="1">
      <c r="C263" s="45"/>
      <c r="D263" s="95"/>
      <c r="E263" s="95"/>
      <c r="F263" s="95"/>
      <c r="J263" s="45"/>
      <c r="K263" s="95"/>
      <c r="M263" s="95"/>
      <c r="N263" s="95"/>
      <c r="O263" s="95"/>
      <c r="P263" s="95"/>
      <c r="Q263" s="95"/>
      <c r="S263" s="45"/>
      <c r="X263" s="45"/>
      <c r="AB263" s="45"/>
      <c r="AF263" s="45"/>
      <c r="AI263" s="45"/>
      <c r="AL263" s="45"/>
    </row>
    <row r="264" spans="3:39" ht="13.8">
      <c r="C264" s="166" t="s">
        <v>174</v>
      </c>
      <c r="D264" s="167">
        <v>0.13359151196270291</v>
      </c>
      <c r="E264" s="167">
        <v>0.12723400109186822</v>
      </c>
      <c r="F264" s="167">
        <v>9.5775747701204672E-2</v>
      </c>
      <c r="G264" s="167">
        <f>(O244/P244)-1</f>
        <v>0.10157038606013469</v>
      </c>
      <c r="H264" s="167">
        <v>0.3029313428193765</v>
      </c>
      <c r="J264" s="166" t="s">
        <v>174</v>
      </c>
      <c r="K264" s="167">
        <v>6.2E-2</v>
      </c>
      <c r="L264" s="167">
        <v>4.3999999999999997E-2</v>
      </c>
      <c r="M264" s="167">
        <v>3.3423966110351665E-2</v>
      </c>
      <c r="N264" s="167">
        <v>3.5035395909805978E-2</v>
      </c>
      <c r="O264" s="167">
        <v>6.6449913377791492E-2</v>
      </c>
      <c r="P264" s="167">
        <v>5.8267403094989303E-2</v>
      </c>
      <c r="Q264" s="167">
        <v>8.5328603803330377E-2</v>
      </c>
      <c r="S264" s="166" t="s">
        <v>174</v>
      </c>
      <c r="T264" s="237">
        <v>0.12602262837249784</v>
      </c>
      <c r="U264" s="238">
        <v>3.1</v>
      </c>
      <c r="V264" s="238">
        <v>10</v>
      </c>
      <c r="X264" s="166" t="s">
        <v>174</v>
      </c>
      <c r="Y264" s="238">
        <v>1.4</v>
      </c>
      <c r="Z264" s="238">
        <v>50</v>
      </c>
      <c r="AB264" s="166" t="s">
        <v>174</v>
      </c>
      <c r="AC264" s="167">
        <v>7.7499999999999999E-2</v>
      </c>
      <c r="AD264" s="167">
        <v>3.7999999999999999E-2</v>
      </c>
      <c r="AF264" s="166" t="s">
        <v>174</v>
      </c>
      <c r="AG264" s="238">
        <v>127</v>
      </c>
      <c r="AI264" s="166" t="s">
        <v>174</v>
      </c>
      <c r="AJ264" s="166">
        <v>9</v>
      </c>
      <c r="AL264" s="166" t="s">
        <v>174</v>
      </c>
      <c r="AM264" s="166">
        <v>9</v>
      </c>
    </row>
    <row r="265" spans="3:39" ht="13.8">
      <c r="C265" s="45"/>
    </row>
    <row r="266" spans="3:39" ht="13.8">
      <c r="C266" s="45"/>
    </row>
    <row r="267" spans="3:39" ht="13.8">
      <c r="C267" s="45"/>
    </row>
    <row r="268" spans="3:39" ht="13.8">
      <c r="C268" s="45"/>
    </row>
    <row r="269" spans="3:39" ht="13.8">
      <c r="C269" s="45"/>
    </row>
  </sheetData>
  <mergeCells count="1">
    <mergeCell ref="B2:N3"/>
  </mergeCells>
  <conditionalFormatting sqref="C39:C48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2:C8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7:C119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39:C151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57:C169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2:G83 D250:H261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5:G85 D264:H264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90:I101 K250:R261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3:I103 K264:R264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39:F151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F157:F169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9:G51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72:G8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06:G11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9:K51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07:K11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57:K169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57:L169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P157:P169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250:T261">
    <cfRule type="colorScale" priority="20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V249:V261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G250:AG261">
    <cfRule type="colorScale" priority="2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Voltas</vt:lpstr>
      <vt:lpstr>Household Appliances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2024-09-04T09:33:17Z</dcterms:created>
  <dcterms:modified xsi:type="dcterms:W3CDTF">2024-09-04T09:33:54Z</dcterms:modified>
</cp:coreProperties>
</file>