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5\"/>
    </mc:Choice>
  </mc:AlternateContent>
  <xr:revisionPtr revIDLastSave="0" documentId="8_{A08507F4-F202-4578-A0EF-26DC75AE4A28}" xr6:coauthVersionLast="47" xr6:coauthVersionMax="47" xr10:uidLastSave="{00000000-0000-0000-0000-000000000000}"/>
  <bookViews>
    <workbookView xWindow="-108" yWindow="-108" windowWidth="23256" windowHeight="12456" xr2:uid="{6FE63352-57CD-4287-8029-B597580C37B3}"/>
  </bookViews>
  <sheets>
    <sheet name="Household Applianc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1" i="1" l="1"/>
  <c r="G260" i="1"/>
  <c r="G259" i="1"/>
  <c r="G258" i="1"/>
  <c r="G257" i="1"/>
  <c r="G256" i="1"/>
  <c r="G255" i="1"/>
  <c r="G254" i="1"/>
  <c r="G253" i="1"/>
  <c r="G252" i="1"/>
  <c r="G251" i="1"/>
  <c r="G250" i="1"/>
  <c r="AE244" i="1"/>
  <c r="AA244" i="1"/>
  <c r="Z244" i="1"/>
  <c r="X244" i="1"/>
  <c r="W244" i="1"/>
  <c r="V244" i="1"/>
  <c r="U244" i="1"/>
  <c r="T244" i="1"/>
  <c r="AL244" i="1" s="1"/>
  <c r="S244" i="1"/>
  <c r="R244" i="1"/>
  <c r="Q244" i="1"/>
  <c r="P244" i="1"/>
  <c r="O244" i="1"/>
  <c r="G264" i="1" s="1"/>
  <c r="N244" i="1"/>
  <c r="M244" i="1"/>
  <c r="AJ244" i="1" s="1"/>
  <c r="L244" i="1"/>
  <c r="K244" i="1"/>
  <c r="AK244" i="1" s="1"/>
  <c r="J244" i="1"/>
  <c r="I244" i="1"/>
  <c r="AH244" i="1" s="1"/>
  <c r="H244" i="1"/>
  <c r="G244" i="1"/>
  <c r="F244" i="1"/>
  <c r="AI244" i="1" s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AL234" i="1"/>
  <c r="AK234" i="1"/>
  <c r="AJ234" i="1"/>
  <c r="AI234" i="1"/>
  <c r="AH234" i="1"/>
  <c r="AG234" i="1"/>
  <c r="AF234" i="1"/>
  <c r="AE234" i="1"/>
  <c r="AD234" i="1"/>
  <c r="Y234" i="1"/>
  <c r="E234" i="1"/>
  <c r="D234" i="1"/>
  <c r="AL233" i="1"/>
  <c r="AK233" i="1"/>
  <c r="AJ233" i="1"/>
  <c r="AI233" i="1"/>
  <c r="AH233" i="1"/>
  <c r="AG233" i="1"/>
  <c r="AF233" i="1"/>
  <c r="AE233" i="1"/>
  <c r="AD233" i="1"/>
  <c r="Y233" i="1"/>
  <c r="E233" i="1"/>
  <c r="D233" i="1"/>
  <c r="AL232" i="1"/>
  <c r="AK232" i="1"/>
  <c r="AJ232" i="1"/>
  <c r="AI232" i="1"/>
  <c r="AH232" i="1"/>
  <c r="AG232" i="1"/>
  <c r="AF232" i="1"/>
  <c r="AE232" i="1"/>
  <c r="AD232" i="1"/>
  <c r="Y232" i="1"/>
  <c r="AM232" i="1" s="1"/>
  <c r="E232" i="1"/>
  <c r="D232" i="1"/>
  <c r="AN232" i="1" s="1"/>
  <c r="AN231" i="1"/>
  <c r="AL231" i="1"/>
  <c r="AK231" i="1"/>
  <c r="AJ231" i="1"/>
  <c r="AI231" i="1"/>
  <c r="AH231" i="1"/>
  <c r="AG231" i="1"/>
  <c r="AF231" i="1"/>
  <c r="AE231" i="1"/>
  <c r="AD231" i="1"/>
  <c r="Y231" i="1"/>
  <c r="AO231" i="1" s="1"/>
  <c r="E231" i="1"/>
  <c r="D231" i="1"/>
  <c r="AL230" i="1"/>
  <c r="AK230" i="1"/>
  <c r="AJ230" i="1"/>
  <c r="AI230" i="1"/>
  <c r="AH230" i="1"/>
  <c r="AG230" i="1"/>
  <c r="AF230" i="1"/>
  <c r="AE230" i="1"/>
  <c r="AD230" i="1"/>
  <c r="Y230" i="1"/>
  <c r="E230" i="1"/>
  <c r="D230" i="1"/>
  <c r="AN230" i="1" s="1"/>
  <c r="AL229" i="1"/>
  <c r="AK229" i="1"/>
  <c r="AJ229" i="1"/>
  <c r="AI229" i="1"/>
  <c r="AH229" i="1"/>
  <c r="AG229" i="1"/>
  <c r="AF229" i="1"/>
  <c r="AE229" i="1"/>
  <c r="AD229" i="1"/>
  <c r="Y229" i="1"/>
  <c r="E229" i="1"/>
  <c r="D229" i="1"/>
  <c r="AL228" i="1"/>
  <c r="AK228" i="1"/>
  <c r="AJ228" i="1"/>
  <c r="AI228" i="1"/>
  <c r="AH228" i="1"/>
  <c r="AG228" i="1"/>
  <c r="AF228" i="1"/>
  <c r="AE228" i="1"/>
  <c r="AD228" i="1"/>
  <c r="Y228" i="1"/>
  <c r="AO228" i="1" s="1"/>
  <c r="E228" i="1"/>
  <c r="D228" i="1"/>
  <c r="AN228" i="1" s="1"/>
  <c r="AL227" i="1"/>
  <c r="AK227" i="1"/>
  <c r="AJ227" i="1"/>
  <c r="AI227" i="1"/>
  <c r="AH227" i="1"/>
  <c r="AG227" i="1"/>
  <c r="AF227" i="1"/>
  <c r="AE227" i="1"/>
  <c r="AD227" i="1"/>
  <c r="Y227" i="1"/>
  <c r="E227" i="1"/>
  <c r="D227" i="1"/>
  <c r="AN227" i="1" s="1"/>
  <c r="AL226" i="1"/>
  <c r="AK226" i="1"/>
  <c r="AJ226" i="1"/>
  <c r="AI226" i="1"/>
  <c r="AH226" i="1"/>
  <c r="AG226" i="1"/>
  <c r="AF226" i="1"/>
  <c r="AE226" i="1"/>
  <c r="AD226" i="1"/>
  <c r="Y226" i="1"/>
  <c r="E226" i="1"/>
  <c r="D226" i="1"/>
  <c r="AL225" i="1"/>
  <c r="AK225" i="1"/>
  <c r="AJ225" i="1"/>
  <c r="AI225" i="1"/>
  <c r="AH225" i="1"/>
  <c r="AG225" i="1"/>
  <c r="AF225" i="1"/>
  <c r="AE225" i="1"/>
  <c r="AD225" i="1"/>
  <c r="Y225" i="1"/>
  <c r="AO225" i="1" s="1"/>
  <c r="E225" i="1"/>
  <c r="D225" i="1"/>
  <c r="AN225" i="1" s="1"/>
  <c r="AL224" i="1"/>
  <c r="AK224" i="1"/>
  <c r="AJ224" i="1"/>
  <c r="AI224" i="1"/>
  <c r="AH224" i="1"/>
  <c r="AG224" i="1"/>
  <c r="AF224" i="1"/>
  <c r="AE224" i="1"/>
  <c r="AD224" i="1"/>
  <c r="Y224" i="1"/>
  <c r="AM224" i="1" s="1"/>
  <c r="E224" i="1"/>
  <c r="D224" i="1"/>
  <c r="AN224" i="1" s="1"/>
  <c r="AL223" i="1"/>
  <c r="AK223" i="1"/>
  <c r="AJ223" i="1"/>
  <c r="AI223" i="1"/>
  <c r="AH223" i="1"/>
  <c r="AG223" i="1"/>
  <c r="AF223" i="1"/>
  <c r="AE223" i="1"/>
  <c r="AD223" i="1"/>
  <c r="Y223" i="1"/>
  <c r="AO223" i="1" s="1"/>
  <c r="E223" i="1"/>
  <c r="D223" i="1"/>
  <c r="K53" i="1"/>
  <c r="G53" i="1"/>
  <c r="C48" i="1"/>
  <c r="AO226" i="1" l="1"/>
  <c r="AO229" i="1"/>
  <c r="D244" i="1"/>
  <c r="AO232" i="1"/>
  <c r="AM233" i="1"/>
  <c r="AM230" i="1"/>
  <c r="AN233" i="1"/>
  <c r="AM229" i="1"/>
  <c r="AM231" i="1"/>
  <c r="AO234" i="1"/>
  <c r="Y244" i="1"/>
  <c r="AM244" i="1" s="1"/>
  <c r="AO224" i="1"/>
  <c r="AN229" i="1"/>
  <c r="AM225" i="1"/>
  <c r="AN223" i="1"/>
  <c r="E244" i="1"/>
  <c r="AO227" i="1"/>
  <c r="AO230" i="1"/>
  <c r="AO233" i="1"/>
  <c r="AF244" i="1"/>
  <c r="AM228" i="1"/>
  <c r="AG244" i="1"/>
  <c r="AM227" i="1"/>
  <c r="AM226" i="1"/>
  <c r="AM234" i="1"/>
  <c r="AN226" i="1"/>
  <c r="AN234" i="1"/>
  <c r="AM223" i="1"/>
  <c r="AD244" i="1"/>
  <c r="AO244" i="1" l="1"/>
  <c r="AN244" i="1"/>
</calcChain>
</file>

<file path=xl/sharedStrings.xml><?xml version="1.0" encoding="utf-8"?>
<sst xmlns="http://schemas.openxmlformats.org/spreadsheetml/2006/main" count="495" uniqueCount="92">
  <si>
    <r>
      <rPr>
        <b/>
        <sz val="20"/>
        <color rgb="FFF3F3F3"/>
        <rFont val="Calibri"/>
        <scheme val="minor"/>
      </rPr>
      <t>Household Appliances</t>
    </r>
  </si>
  <si>
    <t>Total Electronics Market, Value in INR Billion, India, FY18-FY26E</t>
  </si>
  <si>
    <t>Overview of Electronics Industry - Domestic Consumption Vs Production, Value in INR Billion, India, FY21 and FY26E</t>
  </si>
  <si>
    <t>industry</t>
  </si>
  <si>
    <t>COMPANY</t>
  </si>
  <si>
    <t>MARKETCAP</t>
  </si>
  <si>
    <t>SALES 2024</t>
  </si>
  <si>
    <t>PROFIT_24</t>
  </si>
  <si>
    <t>VOLTAS</t>
  </si>
  <si>
    <t>BLUESTARCO</t>
  </si>
  <si>
    <t>CROMPTON</t>
  </si>
  <si>
    <t>WHIRLPOOL</t>
  </si>
  <si>
    <t>VGUARD</t>
  </si>
  <si>
    <t>AMBER</t>
  </si>
  <si>
    <t>TTKPRESTIG</t>
  </si>
  <si>
    <t>BAJAJELEC</t>
  </si>
  <si>
    <t>EUREKAFORBE</t>
  </si>
  <si>
    <t>Others_11</t>
  </si>
  <si>
    <t>IFBIND</t>
  </si>
  <si>
    <t>JCHAC</t>
  </si>
  <si>
    <t>ORIENTELEC</t>
  </si>
  <si>
    <t>INDUSTRY</t>
  </si>
  <si>
    <t>GROWTH</t>
  </si>
  <si>
    <t>SALES_15Y_GR</t>
  </si>
  <si>
    <t>SALES_10Y_GR</t>
  </si>
  <si>
    <t>SALES_5Y_GR</t>
  </si>
  <si>
    <t>SALES_LY_GR</t>
  </si>
  <si>
    <t>SALES_Q1_GR</t>
  </si>
  <si>
    <t>PROFITABILITY</t>
  </si>
  <si>
    <t>Q1_FY25_MARGIN</t>
  </si>
  <si>
    <t>Q1_FY24_MARGIN</t>
  </si>
  <si>
    <t>MARGIN_24</t>
  </si>
  <si>
    <t>MARGIN_23</t>
  </si>
  <si>
    <t>MARGIN_19</t>
  </si>
  <si>
    <t>MARGIN_14</t>
  </si>
  <si>
    <t>MARGIN_09</t>
  </si>
  <si>
    <t>LEVERAGE</t>
  </si>
  <si>
    <t>DEBT2EQUITY</t>
  </si>
  <si>
    <t>ICR</t>
  </si>
  <si>
    <t>DEBTRATIO</t>
  </si>
  <si>
    <t>CARYSIL</t>
  </si>
  <si>
    <t>LIUIDITY</t>
  </si>
  <si>
    <t>CUR. RATIO</t>
  </si>
  <si>
    <t>TR.DAYS</t>
  </si>
  <si>
    <t>RETURN</t>
  </si>
  <si>
    <t>ROE</t>
  </si>
  <si>
    <t>ROA</t>
  </si>
  <si>
    <t>VALUATIONS</t>
  </si>
  <si>
    <t>TRAIL_PE</t>
  </si>
  <si>
    <t>PBV</t>
  </si>
  <si>
    <t>YIELD</t>
  </si>
  <si>
    <t>LISTED SPACE</t>
  </si>
  <si>
    <t>BALANCE_SHEET_ITEMS</t>
  </si>
  <si>
    <t>INCOME_STATEMENT</t>
  </si>
  <si>
    <t>LIQUIDITY</t>
  </si>
  <si>
    <t>Security Code</t>
  </si>
  <si>
    <t>CMP</t>
  </si>
  <si>
    <t>CUR ASSET</t>
  </si>
  <si>
    <t>CUR LIABILITY</t>
  </si>
  <si>
    <t>TOT. ASSET</t>
  </si>
  <si>
    <t>TOT. LIABILITY</t>
  </si>
  <si>
    <t>EQUITY</t>
  </si>
  <si>
    <t>OTH_EQUITY</t>
  </si>
  <si>
    <t>BORROWING</t>
  </si>
  <si>
    <t xml:space="preserve">TRADE REC. </t>
  </si>
  <si>
    <t>FV</t>
  </si>
  <si>
    <t>SALES_23</t>
  </si>
  <si>
    <t>SALES 2019</t>
  </si>
  <si>
    <t>SALES 2014</t>
  </si>
  <si>
    <t>SALES 2009</t>
  </si>
  <si>
    <t>PROFIT_23</t>
  </si>
  <si>
    <t>PROFIT_19</t>
  </si>
  <si>
    <t>PROFIT_14</t>
  </si>
  <si>
    <t>PROFIT_09</t>
  </si>
  <si>
    <t>TRAIL_EPS</t>
  </si>
  <si>
    <t>FINANCE</t>
  </si>
  <si>
    <t>EXPENSE</t>
  </si>
  <si>
    <t>MARGIN_Q1_FY25</t>
  </si>
  <si>
    <t>MARGIN_Q1_FY24</t>
  </si>
  <si>
    <t>MARGIN_FY24</t>
  </si>
  <si>
    <t>MARGIN_FY14</t>
  </si>
  <si>
    <t>CURRENT RATIO</t>
  </si>
  <si>
    <t>TRADE PAY. DAYS</t>
  </si>
  <si>
    <t>STOVEKRAFT</t>
  </si>
  <si>
    <t>WEL</t>
  </si>
  <si>
    <t>BUTTERFLY</t>
  </si>
  <si>
    <t>ELIN</t>
  </si>
  <si>
    <t>FORBESCO</t>
  </si>
  <si>
    <t>SINGER</t>
  </si>
  <si>
    <t>JAIPAN</t>
  </si>
  <si>
    <t>FIN_RATIO'S</t>
  </si>
  <si>
    <t>LEVERAGAE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</si>
</sst>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0.0"/>
  </numFmts>
  <fonts count="13" x14ac:knownFonts="1">
    <font>
      <sz val="10"/>
      <color rgb="FF000000"/>
      <name val="Calibri"/>
      <scheme val="minor"/>
    </font>
    <font>
      <sz val="20"/>
      <color rgb="FFF3F3F3"/>
      <name val="Calibri"/>
      <scheme val="minor"/>
    </font>
    <font>
      <b/>
      <sz val="20"/>
      <color rgb="FFF3F3F3"/>
      <name val="Calibri"/>
      <scheme val="minor"/>
    </font>
    <font>
      <sz val="10"/>
      <color theme="1"/>
      <name val="Calibri"/>
      <scheme val="minor"/>
    </font>
    <font>
      <b/>
      <sz val="10"/>
      <color rgb="FFFFFFFF"/>
      <name val="Arial"/>
    </font>
    <font>
      <sz val="10"/>
      <color rgb="FFFFFFFF"/>
      <name val="Arial"/>
    </font>
    <font>
      <sz val="11"/>
      <color theme="1"/>
      <name val="Calibri"/>
    </font>
    <font>
      <sz val="10"/>
      <color theme="1"/>
      <name val="Arial"/>
    </font>
    <font>
      <i/>
      <sz val="10"/>
      <color theme="1"/>
      <name val="Arial"/>
    </font>
    <font>
      <sz val="10"/>
      <color rgb="FFFFFFFF"/>
      <name val="Calibri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sz val="10"/>
      <color theme="1"/>
      <name val="Calibri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B7B7B7"/>
        <bgColor rgb="FFB7B7B7"/>
      </patternFill>
    </fill>
    <fill>
      <patternFill patternType="solid">
        <fgColor rgb="FFF3A86C"/>
        <bgColor rgb="FFF3A86C"/>
      </patternFill>
    </fill>
    <fill>
      <patternFill patternType="solid">
        <fgColor rgb="FFFBD567"/>
        <bgColor rgb="FFFBD567"/>
      </patternFill>
    </fill>
    <fill>
      <patternFill patternType="solid">
        <fgColor rgb="FFFCF1F0"/>
        <bgColor rgb="FFFCF1F0"/>
      </patternFill>
    </fill>
    <fill>
      <patternFill patternType="solid">
        <fgColor rgb="FFF4D469"/>
        <bgColor rgb="FFF4D469"/>
      </patternFill>
    </fill>
    <fill>
      <patternFill patternType="solid">
        <fgColor rgb="FFE67C73"/>
        <bgColor rgb="FFE67C73"/>
      </patternFill>
    </fill>
    <fill>
      <patternFill patternType="solid">
        <fgColor rgb="FF9AD7B9"/>
        <bgColor rgb="FF9AD7B9"/>
      </patternFill>
    </fill>
    <fill>
      <patternFill patternType="solid">
        <fgColor rgb="FFE3D16C"/>
        <bgColor rgb="FFE3D16C"/>
      </patternFill>
    </fill>
    <fill>
      <patternFill patternType="solid">
        <fgColor rgb="FFE4D16C"/>
        <bgColor rgb="FFE4D16C"/>
      </patternFill>
    </fill>
    <fill>
      <patternFill patternType="solid">
        <fgColor rgb="FF5DBE8E"/>
        <bgColor rgb="FF5DBE8E"/>
      </patternFill>
    </fill>
    <fill>
      <patternFill patternType="solid">
        <fgColor rgb="FFFBC768"/>
        <bgColor rgb="FFFBC768"/>
      </patternFill>
    </fill>
    <fill>
      <patternFill patternType="solid">
        <fgColor rgb="FFA9C879"/>
        <bgColor rgb="FFA9C879"/>
      </patternFill>
    </fill>
    <fill>
      <patternFill patternType="solid">
        <fgColor rgb="FFFEFCFC"/>
        <bgColor rgb="FFFEFCFC"/>
      </patternFill>
    </fill>
    <fill>
      <patternFill patternType="solid">
        <fgColor rgb="FFFFD666"/>
        <bgColor rgb="FFFFD666"/>
      </patternFill>
    </fill>
    <fill>
      <patternFill patternType="solid">
        <fgColor rgb="FFF8BB6A"/>
        <bgColor rgb="FFF8BB6A"/>
      </patternFill>
    </fill>
    <fill>
      <patternFill patternType="solid">
        <fgColor rgb="FFB8E3CE"/>
        <bgColor rgb="FFB8E3CE"/>
      </patternFill>
    </fill>
    <fill>
      <patternFill patternType="solid">
        <fgColor rgb="FFF9C069"/>
        <bgColor rgb="FFF9C069"/>
      </patternFill>
    </fill>
    <fill>
      <patternFill patternType="solid">
        <fgColor rgb="FFFDF9F8"/>
        <bgColor rgb="FFFDF9F8"/>
      </patternFill>
    </fill>
    <fill>
      <patternFill patternType="solid">
        <fgColor rgb="FFFCCB67"/>
        <bgColor rgb="FFFCCB67"/>
      </patternFill>
    </fill>
    <fill>
      <patternFill patternType="solid">
        <fgColor rgb="FFF4AC6C"/>
        <bgColor rgb="FFF4AC6C"/>
      </patternFill>
    </fill>
    <fill>
      <patternFill patternType="solid">
        <fgColor rgb="FFFFFFFF"/>
        <bgColor rgb="FFFFFFFF"/>
      </patternFill>
    </fill>
    <fill>
      <patternFill patternType="solid">
        <fgColor rgb="FFE5D16C"/>
        <bgColor rgb="FFE5D16C"/>
      </patternFill>
    </fill>
    <fill>
      <patternFill patternType="solid">
        <fgColor rgb="FFC8CD72"/>
        <bgColor rgb="FFC8CD72"/>
      </patternFill>
    </fill>
    <fill>
      <patternFill patternType="solid">
        <fgColor rgb="FF65C194"/>
        <bgColor rgb="FF65C194"/>
      </patternFill>
    </fill>
    <fill>
      <patternFill patternType="solid">
        <fgColor rgb="FFF8BD69"/>
        <bgColor rgb="FFF8BD69"/>
      </patternFill>
    </fill>
    <fill>
      <patternFill patternType="solid">
        <fgColor rgb="FF57BB8A"/>
        <bgColor rgb="FF57BB8A"/>
      </patternFill>
    </fill>
    <fill>
      <patternFill patternType="solid">
        <fgColor rgb="FFFDF7F7"/>
        <bgColor rgb="FFFDF7F7"/>
      </patternFill>
    </fill>
    <fill>
      <patternFill patternType="solid">
        <fgColor rgb="FFF8BA6A"/>
        <bgColor rgb="FFF8BA6A"/>
      </patternFill>
    </fill>
    <fill>
      <patternFill patternType="solid">
        <fgColor rgb="FFFBEBE9"/>
        <bgColor rgb="FFFBEBE9"/>
      </patternFill>
    </fill>
    <fill>
      <patternFill patternType="solid">
        <fgColor rgb="FFF1D369"/>
        <bgColor rgb="FFF1D369"/>
      </patternFill>
    </fill>
    <fill>
      <patternFill patternType="solid">
        <fgColor rgb="FFFCC967"/>
        <bgColor rgb="FFFCC967"/>
      </patternFill>
    </fill>
    <fill>
      <patternFill patternType="solid">
        <fgColor rgb="FF92D3B3"/>
        <bgColor rgb="FF92D3B3"/>
      </patternFill>
    </fill>
    <fill>
      <patternFill patternType="solid">
        <fgColor rgb="FFDDD06E"/>
        <bgColor rgb="FFDDD06E"/>
      </patternFill>
    </fill>
    <fill>
      <patternFill patternType="solid">
        <fgColor rgb="FFE2D16D"/>
        <bgColor rgb="FFE2D16D"/>
      </patternFill>
    </fill>
    <fill>
      <patternFill patternType="solid">
        <fgColor rgb="FFF9BF69"/>
        <bgColor rgb="FFF9BF69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2" borderId="0" xfId="0" applyFont="1" applyFill="1"/>
    <xf numFmtId="0" fontId="6" fillId="0" borderId="2" xfId="0" applyFont="1" applyBorder="1"/>
    <xf numFmtId="1" fontId="7" fillId="0" borderId="3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4" xfId="0" applyFont="1" applyBorder="1"/>
    <xf numFmtId="1" fontId="7" fillId="0" borderId="5" xfId="0" applyNumberFormat="1" applyFont="1" applyBorder="1" applyAlignment="1">
      <alignment horizontal="right"/>
    </xf>
    <xf numFmtId="1" fontId="7" fillId="0" borderId="0" xfId="0" applyNumberFormat="1" applyFont="1" applyAlignment="1">
      <alignment horizontal="right"/>
    </xf>
    <xf numFmtId="0" fontId="6" fillId="0" borderId="6" xfId="0" applyFont="1" applyBorder="1"/>
    <xf numFmtId="0" fontId="7" fillId="0" borderId="6" xfId="0" applyFont="1" applyBorder="1" applyAlignment="1">
      <alignment horizontal="right"/>
    </xf>
    <xf numFmtId="0" fontId="8" fillId="3" borderId="7" xfId="0" applyFont="1" applyFill="1" applyBorder="1"/>
    <xf numFmtId="1" fontId="8" fillId="3" borderId="7" xfId="0" applyNumberFormat="1" applyFont="1" applyFill="1" applyBorder="1" applyAlignment="1">
      <alignment horizontal="right"/>
    </xf>
    <xf numFmtId="0" fontId="7" fillId="0" borderId="0" xfId="0" applyFont="1"/>
    <xf numFmtId="0" fontId="5" fillId="2" borderId="1" xfId="0" applyFont="1" applyFill="1" applyBorder="1"/>
    <xf numFmtId="0" fontId="9" fillId="2" borderId="8" xfId="0" applyFont="1" applyFill="1" applyBorder="1"/>
    <xf numFmtId="0" fontId="10" fillId="0" borderId="8" xfId="0" applyFont="1" applyBorder="1"/>
    <xf numFmtId="10" fontId="3" fillId="0" borderId="0" xfId="0" applyNumberFormat="1" applyFont="1"/>
    <xf numFmtId="0" fontId="11" fillId="0" borderId="8" xfId="0" applyFont="1" applyBorder="1"/>
    <xf numFmtId="0" fontId="11" fillId="0" borderId="9" xfId="0" applyFont="1" applyBorder="1"/>
    <xf numFmtId="10" fontId="3" fillId="0" borderId="10" xfId="0" applyNumberFormat="1" applyFont="1" applyBorder="1"/>
    <xf numFmtId="0" fontId="12" fillId="0" borderId="11" xfId="0" applyFont="1" applyBorder="1"/>
    <xf numFmtId="10" fontId="3" fillId="0" borderId="12" xfId="0" applyNumberFormat="1" applyFont="1" applyBorder="1"/>
    <xf numFmtId="0" fontId="9" fillId="2" borderId="13" xfId="0" applyFont="1" applyFill="1" applyBorder="1"/>
    <xf numFmtId="0" fontId="9" fillId="2" borderId="0" xfId="0" applyFont="1" applyFill="1"/>
    <xf numFmtId="0" fontId="11" fillId="0" borderId="0" xfId="0" applyFont="1"/>
    <xf numFmtId="164" fontId="3" fillId="0" borderId="0" xfId="0" applyNumberFormat="1" applyFont="1"/>
    <xf numFmtId="0" fontId="11" fillId="0" borderId="10" xfId="0" applyFont="1" applyBorder="1"/>
    <xf numFmtId="164" fontId="3" fillId="0" borderId="10" xfId="0" applyNumberFormat="1" applyFont="1" applyBorder="1"/>
    <xf numFmtId="164" fontId="3" fillId="0" borderId="12" xfId="0" applyNumberFormat="1" applyFont="1" applyBorder="1"/>
    <xf numFmtId="0" fontId="5" fillId="2" borderId="8" xfId="0" applyFont="1" applyFill="1" applyBorder="1"/>
    <xf numFmtId="0" fontId="6" fillId="0" borderId="14" xfId="0" applyFont="1" applyBorder="1"/>
    <xf numFmtId="2" fontId="7" fillId="0" borderId="4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1" fontId="7" fillId="0" borderId="4" xfId="0" applyNumberFormat="1" applyFont="1" applyBorder="1" applyAlignment="1">
      <alignment horizontal="right"/>
    </xf>
    <xf numFmtId="2" fontId="8" fillId="3" borderId="7" xfId="0" applyNumberFormat="1" applyFont="1" applyFill="1" applyBorder="1"/>
    <xf numFmtId="165" fontId="3" fillId="0" borderId="0" xfId="0" applyNumberFormat="1" applyFont="1"/>
    <xf numFmtId="165" fontId="8" fillId="3" borderId="7" xfId="0" applyNumberFormat="1" applyFont="1" applyFill="1" applyBorder="1"/>
    <xf numFmtId="10" fontId="7" fillId="0" borderId="4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" fontId="7" fillId="0" borderId="6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right"/>
    </xf>
    <xf numFmtId="164" fontId="8" fillId="3" borderId="7" xfId="0" applyNumberFormat="1" applyFont="1" applyFill="1" applyBorder="1" applyAlignment="1">
      <alignment horizontal="right"/>
    </xf>
    <xf numFmtId="164" fontId="8" fillId="3" borderId="7" xfId="0" applyNumberFormat="1" applyFont="1" applyFill="1" applyBorder="1"/>
    <xf numFmtId="1" fontId="7" fillId="4" borderId="0" xfId="0" applyNumberFormat="1" applyFont="1" applyFill="1" applyAlignment="1">
      <alignment horizontal="right"/>
    </xf>
    <xf numFmtId="1" fontId="7" fillId="5" borderId="0" xfId="0" applyNumberFormat="1" applyFont="1" applyFill="1" applyAlignment="1">
      <alignment horizontal="right"/>
    </xf>
    <xf numFmtId="164" fontId="7" fillId="6" borderId="0" xfId="0" applyNumberFormat="1" applyFont="1" applyFill="1" applyAlignment="1">
      <alignment horizontal="right"/>
    </xf>
    <xf numFmtId="1" fontId="7" fillId="7" borderId="0" xfId="0" applyNumberFormat="1" applyFont="1" applyFill="1" applyAlignment="1">
      <alignment horizontal="right"/>
    </xf>
    <xf numFmtId="1" fontId="7" fillId="8" borderId="0" xfId="0" applyNumberFormat="1" applyFont="1" applyFill="1" applyAlignment="1">
      <alignment horizontal="right"/>
    </xf>
    <xf numFmtId="164" fontId="7" fillId="9" borderId="0" xfId="0" applyNumberFormat="1" applyFont="1" applyFill="1" applyAlignment="1">
      <alignment horizontal="right"/>
    </xf>
    <xf numFmtId="1" fontId="7" fillId="10" borderId="0" xfId="0" applyNumberFormat="1" applyFont="1" applyFill="1" applyAlignment="1">
      <alignment horizontal="right"/>
    </xf>
    <xf numFmtId="1" fontId="7" fillId="11" borderId="0" xfId="0" applyNumberFormat="1" applyFont="1" applyFill="1" applyAlignment="1">
      <alignment horizontal="right"/>
    </xf>
    <xf numFmtId="164" fontId="7" fillId="12" borderId="0" xfId="0" applyNumberFormat="1" applyFont="1" applyFill="1" applyAlignment="1">
      <alignment horizontal="right"/>
    </xf>
    <xf numFmtId="1" fontId="7" fillId="13" borderId="0" xfId="0" applyNumberFormat="1" applyFont="1" applyFill="1" applyAlignment="1">
      <alignment horizontal="right"/>
    </xf>
    <xf numFmtId="1" fontId="7" fillId="14" borderId="0" xfId="0" applyNumberFormat="1" applyFont="1" applyFill="1" applyAlignment="1">
      <alignment horizontal="right"/>
    </xf>
    <xf numFmtId="164" fontId="7" fillId="15" borderId="0" xfId="0" applyNumberFormat="1" applyFont="1" applyFill="1" applyAlignment="1">
      <alignment horizontal="right"/>
    </xf>
    <xf numFmtId="1" fontId="7" fillId="16" borderId="0" xfId="0" applyNumberFormat="1" applyFont="1" applyFill="1" applyAlignment="1">
      <alignment horizontal="right"/>
    </xf>
    <xf numFmtId="1" fontId="7" fillId="17" borderId="0" xfId="0" applyNumberFormat="1" applyFont="1" applyFill="1" applyAlignment="1">
      <alignment horizontal="right"/>
    </xf>
    <xf numFmtId="164" fontId="7" fillId="18" borderId="0" xfId="0" applyNumberFormat="1" applyFont="1" applyFill="1" applyAlignment="1">
      <alignment horizontal="right"/>
    </xf>
    <xf numFmtId="1" fontId="7" fillId="19" borderId="0" xfId="0" applyNumberFormat="1" applyFont="1" applyFill="1" applyAlignment="1">
      <alignment horizontal="right"/>
    </xf>
    <xf numFmtId="164" fontId="7" fillId="20" borderId="0" xfId="0" applyNumberFormat="1" applyFont="1" applyFill="1" applyAlignment="1">
      <alignment horizontal="right"/>
    </xf>
    <xf numFmtId="1" fontId="7" fillId="21" borderId="0" xfId="0" applyNumberFormat="1" applyFont="1" applyFill="1" applyAlignment="1">
      <alignment horizontal="right"/>
    </xf>
    <xf numFmtId="1" fontId="7" fillId="22" borderId="0" xfId="0" applyNumberFormat="1" applyFont="1" applyFill="1" applyAlignment="1">
      <alignment horizontal="right"/>
    </xf>
    <xf numFmtId="164" fontId="7" fillId="23" borderId="0" xfId="0" applyNumberFormat="1" applyFont="1" applyFill="1" applyAlignment="1">
      <alignment horizontal="right"/>
    </xf>
    <xf numFmtId="1" fontId="7" fillId="24" borderId="0" xfId="0" applyNumberFormat="1" applyFont="1" applyFill="1" applyAlignment="1">
      <alignment horizontal="right"/>
    </xf>
    <xf numFmtId="1" fontId="7" fillId="25" borderId="0" xfId="0" applyNumberFormat="1" applyFont="1" applyFill="1" applyAlignment="1">
      <alignment horizontal="right"/>
    </xf>
    <xf numFmtId="164" fontId="7" fillId="26" borderId="0" xfId="0" applyNumberFormat="1" applyFont="1" applyFill="1" applyAlignment="1">
      <alignment horizontal="right"/>
    </xf>
    <xf numFmtId="1" fontId="7" fillId="27" borderId="0" xfId="0" applyNumberFormat="1" applyFont="1" applyFill="1" applyAlignment="1">
      <alignment horizontal="right"/>
    </xf>
    <xf numFmtId="1" fontId="7" fillId="28" borderId="0" xfId="0" applyNumberFormat="1" applyFont="1" applyFill="1" applyAlignment="1">
      <alignment horizontal="right"/>
    </xf>
    <xf numFmtId="164" fontId="7" fillId="29" borderId="0" xfId="0" applyNumberFormat="1" applyFont="1" applyFill="1" applyAlignment="1">
      <alignment horizontal="right"/>
    </xf>
    <xf numFmtId="1" fontId="7" fillId="30" borderId="0" xfId="0" applyNumberFormat="1" applyFont="1" applyFill="1" applyAlignment="1">
      <alignment horizontal="right"/>
    </xf>
    <xf numFmtId="164" fontId="7" fillId="31" borderId="0" xfId="0" applyNumberFormat="1" applyFont="1" applyFill="1" applyAlignment="1">
      <alignment horizontal="right"/>
    </xf>
    <xf numFmtId="1" fontId="7" fillId="32" borderId="0" xfId="0" applyNumberFormat="1" applyFont="1" applyFill="1" applyAlignment="1">
      <alignment horizontal="right"/>
    </xf>
    <xf numFmtId="1" fontId="7" fillId="33" borderId="0" xfId="0" applyNumberFormat="1" applyFont="1" applyFill="1" applyAlignment="1">
      <alignment horizontal="right"/>
    </xf>
    <xf numFmtId="164" fontId="7" fillId="34" borderId="0" xfId="0" applyNumberFormat="1" applyFont="1" applyFill="1" applyAlignment="1">
      <alignment horizontal="right"/>
    </xf>
    <xf numFmtId="1" fontId="7" fillId="35" borderId="0" xfId="0" applyNumberFormat="1" applyFont="1" applyFill="1" applyAlignment="1">
      <alignment horizontal="right"/>
    </xf>
    <xf numFmtId="164" fontId="7" fillId="8" borderId="0" xfId="0" applyNumberFormat="1" applyFont="1" applyFill="1" applyAlignment="1">
      <alignment horizontal="right"/>
    </xf>
    <xf numFmtId="1" fontId="7" fillId="36" borderId="6" xfId="0" applyNumberFormat="1" applyFont="1" applyFill="1" applyBorder="1" applyAlignment="1">
      <alignment horizontal="right"/>
    </xf>
    <xf numFmtId="1" fontId="7" fillId="37" borderId="6" xfId="0" applyNumberFormat="1" applyFont="1" applyFill="1" applyBorder="1" applyAlignment="1">
      <alignment horizontal="right"/>
    </xf>
    <xf numFmtId="164" fontId="7" fillId="28" borderId="6" xfId="0" applyNumberFormat="1" applyFont="1" applyFill="1" applyBorder="1" applyAlignment="1">
      <alignment horizontal="right"/>
    </xf>
    <xf numFmtId="164" fontId="7" fillId="0" borderId="0" xfId="0" applyNumberFormat="1" applyFont="1"/>
    <xf numFmtId="0" fontId="8" fillId="3" borderId="7" xfId="0" applyFont="1" applyFill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3" fillId="0" borderId="8" xfId="0" applyFont="1" applyBorder="1"/>
    <xf numFmtId="1" fontId="3" fillId="0" borderId="8" xfId="0" applyNumberFormat="1" applyFont="1" applyBorder="1"/>
    <xf numFmtId="1" fontId="6" fillId="0" borderId="14" xfId="0" applyNumberFormat="1" applyFont="1" applyBorder="1" applyAlignment="1">
      <alignment horizontal="right"/>
    </xf>
    <xf numFmtId="10" fontId="3" fillId="0" borderId="8" xfId="0" applyNumberFormat="1" applyFont="1" applyBorder="1"/>
    <xf numFmtId="2" fontId="3" fillId="0" borderId="8" xfId="0" applyNumberFormat="1" applyFont="1" applyBorder="1"/>
    <xf numFmtId="165" fontId="3" fillId="0" borderId="8" xfId="0" applyNumberFormat="1" applyFont="1" applyBorder="1"/>
    <xf numFmtId="1" fontId="3" fillId="0" borderId="0" xfId="0" applyNumberFormat="1" applyFont="1"/>
    <xf numFmtId="2" fontId="3" fillId="0" borderId="0" xfId="0" applyNumberFormat="1" applyFont="1"/>
    <xf numFmtId="0" fontId="12" fillId="0" borderId="8" xfId="0" applyFont="1" applyBorder="1"/>
    <xf numFmtId="1" fontId="12" fillId="0" borderId="8" xfId="0" applyNumberFormat="1" applyFont="1" applyBorder="1"/>
    <xf numFmtId="165" fontId="12" fillId="0" borderId="8" xfId="0" applyNumberFormat="1" applyFont="1" applyBorder="1"/>
    <xf numFmtId="0" fontId="3" fillId="0" borderId="10" xfId="0" applyFont="1" applyBorder="1"/>
    <xf numFmtId="2" fontId="3" fillId="0" borderId="10" xfId="0" applyNumberFormat="1" applyFont="1" applyBorder="1"/>
    <xf numFmtId="165" fontId="3" fillId="0" borderId="10" xfId="0" applyNumberFormat="1" applyFont="1" applyBorder="1"/>
    <xf numFmtId="1" fontId="3" fillId="0" borderId="10" xfId="0" applyNumberFormat="1" applyFont="1" applyBorder="1"/>
    <xf numFmtId="2" fontId="3" fillId="0" borderId="12" xfId="0" applyNumberFormat="1" applyFont="1" applyBorder="1"/>
    <xf numFmtId="0" fontId="3" fillId="0" borderId="12" xfId="0" applyFont="1" applyBorder="1"/>
  </cellXfs>
  <cellStyles count="1">
    <cellStyle name="Normal" xfId="0" builtinId="0"/>
  </cellStyles>
  <dxfs count="9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3" defaultTableStyle="TableStyleMedium2" defaultPivotStyle="PivotStyleLight16">
    <tableStyle name="Household Appliances-style" pivot="0" count="3" xr9:uid="{39684C00-3BDA-4E15-87F4-CC3A90695F79}">
      <tableStyleElement type="headerRow" dxfId="8"/>
      <tableStyleElement type="firstRowStripe" dxfId="7"/>
      <tableStyleElement type="secondRowStripe" dxfId="6"/>
    </tableStyle>
    <tableStyle name="Household Appliances-style 2" pivot="0" count="3" xr9:uid="{48AA223C-AE9E-4177-9AFC-441A21458CF7}">
      <tableStyleElement type="headerRow" dxfId="5"/>
      <tableStyleElement type="firstRowStripe" dxfId="4"/>
      <tableStyleElement type="secondRowStripe" dxfId="3"/>
    </tableStyle>
    <tableStyle name="Household Appliances-style 3" pivot="0" count="3" xr9:uid="{595405B4-5BF5-4413-A2C1-8947DB28B5F7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MARKETCAP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'Household Appliances'!$C$38</c:f>
              <c:strCache>
                <c:ptCount val="1"/>
                <c:pt idx="0">
                  <c:v>MARKETCAP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2CD3-4DFF-847F-7F7CDFF17F03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2CD3-4DFF-847F-7F7CDFF17F03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2CD3-4DFF-847F-7F7CDFF17F03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2CD3-4DFF-847F-7F7CDFF17F03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2CD3-4DFF-847F-7F7CDFF17F03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2CD3-4DFF-847F-7F7CDFF17F03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2CD3-4DFF-847F-7F7CDFF17F03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2CD3-4DFF-847F-7F7CDFF17F03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2CD3-4DFF-847F-7F7CDFF17F03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</c:spPr>
            <c:extLst>
              <c:ext xmlns:c16="http://schemas.microsoft.com/office/drawing/2014/chart" uri="{C3380CC4-5D6E-409C-BE32-E72D297353CC}">
                <c16:uniqueId val="{00000013-2CD3-4DFF-847F-7F7CDFF17F0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'Household Appliances'!$B$39:$B$48</c:f>
              <c:strCache>
                <c:ptCount val="10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TTKPRESTIG</c:v>
                </c:pt>
                <c:pt idx="7">
                  <c:v>BAJAJELEC</c:v>
                </c:pt>
                <c:pt idx="8">
                  <c:v>EUREKAFORBE</c:v>
                </c:pt>
                <c:pt idx="9">
                  <c:v>Others_11</c:v>
                </c:pt>
              </c:strCache>
            </c:strRef>
          </c:cat>
          <c:val>
            <c:numRef>
              <c:f>'Household Appliances'!$C$39:$C$48</c:f>
              <c:numCache>
                <c:formatCode>0</c:formatCode>
                <c:ptCount val="10"/>
                <c:pt idx="0">
                  <c:v>59829.623480299997</c:v>
                </c:pt>
                <c:pt idx="1">
                  <c:v>34543.2696</c:v>
                </c:pt>
                <c:pt idx="2">
                  <c:v>30196.157727500002</c:v>
                </c:pt>
                <c:pt idx="3">
                  <c:v>27931.711110799999</c:v>
                </c:pt>
                <c:pt idx="4">
                  <c:v>20229.606449999999</c:v>
                </c:pt>
                <c:pt idx="5">
                  <c:v>15091.71998</c:v>
                </c:pt>
                <c:pt idx="6">
                  <c:v>13031.0978</c:v>
                </c:pt>
                <c:pt idx="7">
                  <c:v>11301.466667500001</c:v>
                </c:pt>
                <c:pt idx="8">
                  <c:v>9628.4922698999999</c:v>
                </c:pt>
                <c:pt idx="9">
                  <c:v>30872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CD3-4DFF-847F-7F7CDFF17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YIELD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'Household Appliances'!$P$156</c:f>
              <c:strCache>
                <c:ptCount val="1"/>
                <c:pt idx="0">
                  <c:v>YIELD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'Household Appliances'!$O$157:$O$169</c:f>
              <c:strCache>
                <c:ptCount val="13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BAJAJELEC</c:v>
                </c:pt>
                <c:pt idx="7">
                  <c:v>TTKPRESTIG</c:v>
                </c:pt>
                <c:pt idx="8">
                  <c:v>EUREKAFORBE</c:v>
                </c:pt>
                <c:pt idx="9">
                  <c:v>IFBIND</c:v>
                </c:pt>
                <c:pt idx="10">
                  <c:v>ORIENTELEC</c:v>
                </c:pt>
                <c:pt idx="11">
                  <c:v>JCHAC</c:v>
                </c:pt>
                <c:pt idx="12">
                  <c:v>CARYSIL</c:v>
                </c:pt>
              </c:strCache>
            </c:strRef>
          </c:cat>
          <c:val>
            <c:numRef>
              <c:f>'Household Appliances'!$P$157:$P$169</c:f>
              <c:numCache>
                <c:formatCode>0.0%</c:formatCode>
                <c:ptCount val="13"/>
                <c:pt idx="0">
                  <c:v>7.7127659574468084E-3</c:v>
                </c:pt>
                <c:pt idx="1">
                  <c:v>1.8920169687620517E-2</c:v>
                </c:pt>
                <c:pt idx="2">
                  <c:v>2.2404092071611256E-2</c:v>
                </c:pt>
                <c:pt idx="3">
                  <c:v>1.223320778405524E-2</c:v>
                </c:pt>
                <c:pt idx="4">
                  <c:v>1.7256922086284609E-2</c:v>
                </c:pt>
                <c:pt idx="5">
                  <c:v>1.0826488706365503E-2</c:v>
                </c:pt>
                <c:pt idx="6">
                  <c:v>1.3232664414861912E-2</c:v>
                </c:pt>
                <c:pt idx="7">
                  <c:v>2.1934884954578609E-2</c:v>
                </c:pt>
                <c:pt idx="8">
                  <c:v>1.0243751928417156E-2</c:v>
                </c:pt>
                <c:pt idx="9">
                  <c:v>5.0759219088937092E-3</c:v>
                </c:pt>
                <c:pt idx="10">
                  <c:v>1.9414703783012133E-2</c:v>
                </c:pt>
                <c:pt idx="11">
                  <c:v>-4.0368816640447468E-2</c:v>
                </c:pt>
                <c:pt idx="12">
                  <c:v>2.2685827552031714E-2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0C6-4BCD-AAB0-526C59CE0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1895460"/>
        <c:axId val="801816923"/>
      </c:barChart>
      <c:catAx>
        <c:axId val="8018954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01816923"/>
        <c:crosses val="autoZero"/>
        <c:auto val="1"/>
        <c:lblAlgn val="ctr"/>
        <c:lblOffset val="100"/>
        <c:noMultiLvlLbl val="1"/>
      </c:catAx>
      <c:valAx>
        <c:axId val="80181692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YIELD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0189546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SALES_5Y_GR and SALES_LY_GR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'Household Appliances'!$E$71</c:f>
              <c:strCache>
                <c:ptCount val="1"/>
                <c:pt idx="0">
                  <c:v>SALES_5Y_GR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'Household Appliances'!$B$72:$B$85</c:f>
              <c:strCache>
                <c:ptCount val="14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TTKPRESTIG</c:v>
                </c:pt>
                <c:pt idx="7">
                  <c:v>BAJAJELEC</c:v>
                </c:pt>
                <c:pt idx="8">
                  <c:v>EUREKAFORBE</c:v>
                </c:pt>
                <c:pt idx="9">
                  <c:v>IFBIND</c:v>
                </c:pt>
                <c:pt idx="10">
                  <c:v>JCHAC</c:v>
                </c:pt>
                <c:pt idx="11">
                  <c:v>ORIENTELEC</c:v>
                </c:pt>
                <c:pt idx="13">
                  <c:v>INDUSTRY</c:v>
                </c:pt>
              </c:strCache>
            </c:strRef>
          </c:cat>
          <c:val>
            <c:numRef>
              <c:f>'Household Appliances'!$E$72:$E$85</c:f>
              <c:numCache>
                <c:formatCode>0.00%</c:formatCode>
                <c:ptCount val="14"/>
                <c:pt idx="0">
                  <c:v>0.13272819726262419</c:v>
                </c:pt>
                <c:pt idx="1">
                  <c:v>0.13097545916799369</c:v>
                </c:pt>
                <c:pt idx="2">
                  <c:v>0.10301876830180134</c:v>
                </c:pt>
                <c:pt idx="3">
                  <c:v>4.8222933402863877E-2</c:v>
                </c:pt>
                <c:pt idx="4">
                  <c:v>0.13365165490728304</c:v>
                </c:pt>
                <c:pt idx="5">
                  <c:v>0.25196892467078458</c:v>
                </c:pt>
                <c:pt idx="6">
                  <c:v>4.9229375598962788E-2</c:v>
                </c:pt>
                <c:pt idx="7">
                  <c:v>-6.9658890383399452E-2</c:v>
                </c:pt>
                <c:pt idx="9">
                  <c:v>0.10783279735903029</c:v>
                </c:pt>
                <c:pt idx="10">
                  <c:v>-3.0648360318455192E-2</c:v>
                </c:pt>
                <c:pt idx="11">
                  <c:v>8.5710109305209947E-2</c:v>
                </c:pt>
                <c:pt idx="13">
                  <c:v>9.5775747701204672E-2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310-4255-A16F-345EBC60DBF4}"/>
            </c:ext>
          </c:extLst>
        </c:ser>
        <c:ser>
          <c:idx val="1"/>
          <c:order val="1"/>
          <c:tx>
            <c:strRef>
              <c:f>'Household Appliances'!$F$71</c:f>
              <c:strCache>
                <c:ptCount val="1"/>
                <c:pt idx="0">
                  <c:v>SALES_LY_GR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'Household Appliances'!$B$72:$B$85</c:f>
              <c:strCache>
                <c:ptCount val="14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TTKPRESTIG</c:v>
                </c:pt>
                <c:pt idx="7">
                  <c:v>BAJAJELEC</c:v>
                </c:pt>
                <c:pt idx="8">
                  <c:v>EUREKAFORBE</c:v>
                </c:pt>
                <c:pt idx="9">
                  <c:v>IFBIND</c:v>
                </c:pt>
                <c:pt idx="10">
                  <c:v>JCHAC</c:v>
                </c:pt>
                <c:pt idx="11">
                  <c:v>ORIENTELEC</c:v>
                </c:pt>
                <c:pt idx="13">
                  <c:v>INDUSTRY</c:v>
                </c:pt>
              </c:strCache>
            </c:strRef>
          </c:cat>
          <c:val>
            <c:numRef>
              <c:f>'Household Appliances'!$F$72:$F$85</c:f>
              <c:numCache>
                <c:formatCode>0.00%</c:formatCode>
                <c:ptCount val="14"/>
                <c:pt idx="0">
                  <c:v>0.32790722417278428</c:v>
                </c:pt>
                <c:pt idx="1">
                  <c:v>0.21411558229910987</c:v>
                </c:pt>
                <c:pt idx="2">
                  <c:v>0.25890859011878131</c:v>
                </c:pt>
                <c:pt idx="3">
                  <c:v>5.1508462104488117E-3</c:v>
                </c:pt>
                <c:pt idx="4">
                  <c:v>0.17688393506178812</c:v>
                </c:pt>
                <c:pt idx="5">
                  <c:v>-2.8439439872960826E-2</c:v>
                </c:pt>
                <c:pt idx="6">
                  <c:v>-3.5649981994958613E-2</c:v>
                </c:pt>
                <c:pt idx="7">
                  <c:v>-0.14551482777675451</c:v>
                </c:pt>
                <c:pt idx="8">
                  <c:v>5.0383877159309032E-2</c:v>
                </c:pt>
                <c:pt idx="9">
                  <c:v>5.7939914163090078E-2</c:v>
                </c:pt>
                <c:pt idx="10">
                  <c:v>-0.19546979865771807</c:v>
                </c:pt>
                <c:pt idx="11">
                  <c:v>0.11190193752471322</c:v>
                </c:pt>
                <c:pt idx="13">
                  <c:v>0.10157038606013469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F310-4255-A16F-345EBC60D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827791"/>
        <c:axId val="1572519057"/>
      </c:barChart>
      <c:catAx>
        <c:axId val="19958277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72519057"/>
        <c:crosses val="autoZero"/>
        <c:auto val="1"/>
        <c:lblAlgn val="ctr"/>
        <c:lblOffset val="100"/>
        <c:noMultiLvlLbl val="1"/>
      </c:catAx>
      <c:valAx>
        <c:axId val="15725190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9582779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Q1_FY25_MARGIN and Q1_FY24_MARGIN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'Household Appliances'!$C$88:$C$89</c:f>
              <c:strCache>
                <c:ptCount val="2"/>
                <c:pt idx="0">
                  <c:v>PROFITABILITY</c:v>
                </c:pt>
                <c:pt idx="1">
                  <c:v>Q1_FY25_MARGIN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'Household Appliances'!$B$90:$B$96</c:f>
              <c:strCache>
                <c:ptCount val="7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TTKPRESTIG</c:v>
                </c:pt>
              </c:strCache>
            </c:strRef>
          </c:cat>
          <c:val>
            <c:numRef>
              <c:f>'Household Appliances'!$C$90:$C$96</c:f>
              <c:numCache>
                <c:formatCode>0.0%</c:formatCode>
                <c:ptCount val="7"/>
                <c:pt idx="0">
                  <c:v>6.8099999999999994E-2</c:v>
                </c:pt>
                <c:pt idx="1">
                  <c:v>5.8999999999999997E-2</c:v>
                </c:pt>
                <c:pt idx="2">
                  <c:v>7.1099999999999997E-2</c:v>
                </c:pt>
                <c:pt idx="3">
                  <c:v>5.62E-2</c:v>
                </c:pt>
                <c:pt idx="4">
                  <c:v>6.7000000000000004E-2</c:v>
                </c:pt>
                <c:pt idx="5">
                  <c:v>4.0899999999999999E-2</c:v>
                </c:pt>
                <c:pt idx="6">
                  <c:v>8.5099999999999995E-2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AC3-4622-8689-65B64FE48680}"/>
            </c:ext>
          </c:extLst>
        </c:ser>
        <c:ser>
          <c:idx val="1"/>
          <c:order val="1"/>
          <c:tx>
            <c:strRef>
              <c:f>'Household Appliances'!$D$88:$D$89</c:f>
              <c:strCache>
                <c:ptCount val="2"/>
                <c:pt idx="0">
                  <c:v>PROFITABILITY</c:v>
                </c:pt>
                <c:pt idx="1">
                  <c:v>Q1_FY24_MARGIN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'Household Appliances'!$B$90:$B$96</c:f>
              <c:strCache>
                <c:ptCount val="7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TTKPRESTIG</c:v>
                </c:pt>
              </c:strCache>
            </c:strRef>
          </c:cat>
          <c:val>
            <c:numRef>
              <c:f>'Household Appliances'!$D$90:$D$96</c:f>
              <c:numCache>
                <c:formatCode>0.0%</c:formatCode>
                <c:ptCount val="7"/>
                <c:pt idx="0">
                  <c:v>3.8399999999999997E-2</c:v>
                </c:pt>
                <c:pt idx="1">
                  <c:v>3.73E-2</c:v>
                </c:pt>
                <c:pt idx="2">
                  <c:v>6.5000000000000002E-2</c:v>
                </c:pt>
                <c:pt idx="3">
                  <c:v>3.2199999999999999E-2</c:v>
                </c:pt>
                <c:pt idx="4">
                  <c:v>5.2699999999999997E-2</c:v>
                </c:pt>
                <c:pt idx="5">
                  <c:v>2.75E-2</c:v>
                </c:pt>
                <c:pt idx="6">
                  <c:v>9.1800000000000007E-2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AC3-4622-8689-65B64FE48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217449"/>
        <c:axId val="807153021"/>
      </c:barChart>
      <c:catAx>
        <c:axId val="1012174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07153021"/>
        <c:crosses val="autoZero"/>
        <c:auto val="1"/>
        <c:lblAlgn val="ctr"/>
        <c:lblOffset val="100"/>
        <c:noMultiLvlLbl val="1"/>
      </c:catAx>
      <c:valAx>
        <c:axId val="8071530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121744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MARGIN_24, MARGIN_23, MARGIN_19, MARGIN_14 and MARGIN_09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'Household Appliances'!$E$88:$E$89</c:f>
              <c:strCache>
                <c:ptCount val="2"/>
                <c:pt idx="0">
                  <c:v>PROFITABILITY</c:v>
                </c:pt>
                <c:pt idx="1">
                  <c:v>MARGIN_24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'Household Appliances'!$B$90:$B$96</c:f>
              <c:strCache>
                <c:ptCount val="7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TTKPRESTIG</c:v>
                </c:pt>
              </c:strCache>
            </c:strRef>
          </c:cat>
          <c:val>
            <c:numRef>
              <c:f>'Household Appliances'!$E$90:$E$96</c:f>
              <c:numCache>
                <c:formatCode>0.0%</c:formatCode>
                <c:ptCount val="7"/>
                <c:pt idx="0">
                  <c:v>1.9870202708116336E-2</c:v>
                </c:pt>
                <c:pt idx="1">
                  <c:v>4.2746515229736708E-2</c:v>
                </c:pt>
                <c:pt idx="2">
                  <c:v>6.0440311773553947E-2</c:v>
                </c:pt>
                <c:pt idx="3">
                  <c:v>3.2796486090775991E-2</c:v>
                </c:pt>
                <c:pt idx="4">
                  <c:v>5.3119209388511425E-2</c:v>
                </c:pt>
                <c:pt idx="5">
                  <c:v>2.0802377414561663E-2</c:v>
                </c:pt>
                <c:pt idx="6">
                  <c:v>8.4017923823749063E-2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926-477E-8770-FD4955E38535}"/>
            </c:ext>
          </c:extLst>
        </c:ser>
        <c:ser>
          <c:idx val="1"/>
          <c:order val="1"/>
          <c:tx>
            <c:strRef>
              <c:f>'Household Appliances'!$F$88:$F$89</c:f>
              <c:strCache>
                <c:ptCount val="2"/>
                <c:pt idx="0">
                  <c:v>PROFITABILITY</c:v>
                </c:pt>
                <c:pt idx="1">
                  <c:v>MARGIN_23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'Household Appliances'!$B$90:$B$96</c:f>
              <c:strCache>
                <c:ptCount val="7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TTKPRESTIG</c:v>
                </c:pt>
              </c:strCache>
            </c:strRef>
          </c:cat>
          <c:val>
            <c:numRef>
              <c:f>'Household Appliances'!$F$90:$F$96</c:f>
              <c:numCache>
                <c:formatCode>0.0%</c:formatCode>
                <c:ptCount val="7"/>
                <c:pt idx="0">
                  <c:v>1.4469624428130653E-2</c:v>
                </c:pt>
                <c:pt idx="1">
                  <c:v>5.0144164472859472E-2</c:v>
                </c:pt>
                <c:pt idx="2">
                  <c:v>8.1769667756928899E-2</c:v>
                </c:pt>
                <c:pt idx="3">
                  <c:v>3.2818248712288445E-2</c:v>
                </c:pt>
                <c:pt idx="4">
                  <c:v>4.5795977707778046E-2</c:v>
                </c:pt>
                <c:pt idx="5">
                  <c:v>2.3531110148693517E-2</c:v>
                </c:pt>
                <c:pt idx="6">
                  <c:v>9.1825711199135754E-2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8926-477E-8770-FD4955E38535}"/>
            </c:ext>
          </c:extLst>
        </c:ser>
        <c:ser>
          <c:idx val="2"/>
          <c:order val="2"/>
          <c:tx>
            <c:strRef>
              <c:f>'Household Appliances'!$G$88:$G$89</c:f>
              <c:strCache>
                <c:ptCount val="2"/>
                <c:pt idx="0">
                  <c:v>PROFITABILITY</c:v>
                </c:pt>
                <c:pt idx="1">
                  <c:v>MARGIN_19</c:v>
                </c:pt>
              </c:strCache>
            </c:strRef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'Household Appliances'!$B$90:$B$96</c:f>
              <c:strCache>
                <c:ptCount val="7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TTKPRESTIG</c:v>
                </c:pt>
              </c:strCache>
            </c:strRef>
          </c:cat>
          <c:val>
            <c:numRef>
              <c:f>'Household Appliances'!$G$90:$G$96</c:f>
              <c:numCache>
                <c:formatCode>0.0%</c:formatCode>
                <c:ptCount val="7"/>
                <c:pt idx="0">
                  <c:v>6.9326161661437319E-2</c:v>
                </c:pt>
                <c:pt idx="1">
                  <c:v>3.6301108139090564E-2</c:v>
                </c:pt>
                <c:pt idx="2">
                  <c:v>8.9528912703728508E-2</c:v>
                </c:pt>
                <c:pt idx="3">
                  <c:v>7.5782842319807295E-2</c:v>
                </c:pt>
                <c:pt idx="4">
                  <c:v>6.4764841942945253E-2</c:v>
                </c:pt>
                <c:pt idx="5">
                  <c:v>4.2047531992687383E-2</c:v>
                </c:pt>
                <c:pt idx="6">
                  <c:v>9.1168091168091173E-2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8926-477E-8770-FD4955E38535}"/>
            </c:ext>
          </c:extLst>
        </c:ser>
        <c:ser>
          <c:idx val="3"/>
          <c:order val="3"/>
          <c:tx>
            <c:strRef>
              <c:f>'Household Appliances'!$H$88:$H$89</c:f>
              <c:strCache>
                <c:ptCount val="2"/>
                <c:pt idx="0">
                  <c:v>PROFITABILITY</c:v>
                </c:pt>
                <c:pt idx="1">
                  <c:v>MARGIN_14</c:v>
                </c:pt>
              </c:strCache>
            </c:strRef>
          </c:tx>
          <c:spPr>
            <a:solidFill>
              <a:srgbClr val="34A853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'Household Appliances'!$B$90:$B$96</c:f>
              <c:strCache>
                <c:ptCount val="7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TTKPRESTIG</c:v>
                </c:pt>
              </c:strCache>
            </c:strRef>
          </c:cat>
          <c:val>
            <c:numRef>
              <c:f>'Household Appliances'!$H$90:$H$96</c:f>
              <c:numCache>
                <c:formatCode>0.0%</c:formatCode>
                <c:ptCount val="7"/>
                <c:pt idx="0">
                  <c:v>4.6524876566654008E-2</c:v>
                </c:pt>
                <c:pt idx="1">
                  <c:v>2.6424159231297185E-2</c:v>
                </c:pt>
                <c:pt idx="3">
                  <c:v>4.3048694424841216E-2</c:v>
                </c:pt>
                <c:pt idx="4">
                  <c:v>4.6143704680290047E-2</c:v>
                </c:pt>
                <c:pt idx="6">
                  <c:v>8.5106382978723402E-2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8926-477E-8770-FD4955E38535}"/>
            </c:ext>
          </c:extLst>
        </c:ser>
        <c:ser>
          <c:idx val="4"/>
          <c:order val="4"/>
          <c:tx>
            <c:strRef>
              <c:f>'Household Appliances'!$I$88:$I$89</c:f>
              <c:strCache>
                <c:ptCount val="2"/>
                <c:pt idx="0">
                  <c:v>PROFITABILITY</c:v>
                </c:pt>
                <c:pt idx="1">
                  <c:v>MARGIN_09</c:v>
                </c:pt>
              </c:strCache>
            </c:strRef>
          </c:tx>
          <c:spPr>
            <a:solidFill>
              <a:srgbClr val="FF6D0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'Household Appliances'!$B$90:$B$96</c:f>
              <c:strCache>
                <c:ptCount val="7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TTKPRESTIG</c:v>
                </c:pt>
              </c:strCache>
            </c:strRef>
          </c:cat>
          <c:val>
            <c:numRef>
              <c:f>'Household Appliances'!$I$90:$I$96</c:f>
              <c:numCache>
                <c:formatCode>0.0%</c:formatCode>
                <c:ptCount val="7"/>
                <c:pt idx="0">
                  <c:v>5.8728323699421964E-2</c:v>
                </c:pt>
                <c:pt idx="1">
                  <c:v>7.1343638525564801E-2</c:v>
                </c:pt>
                <c:pt idx="3">
                  <c:v>9.113001215066828E-3</c:v>
                </c:pt>
                <c:pt idx="4">
                  <c:v>5.3797468354430382E-2</c:v>
                </c:pt>
                <c:pt idx="6">
                  <c:v>5.4862842892768077E-2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8926-477E-8770-FD4955E38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074155"/>
        <c:axId val="1755816312"/>
      </c:barChart>
      <c:catAx>
        <c:axId val="7640741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55816312"/>
        <c:crosses val="autoZero"/>
        <c:auto val="1"/>
        <c:lblAlgn val="ctr"/>
        <c:lblOffset val="100"/>
        <c:noMultiLvlLbl val="1"/>
      </c:catAx>
      <c:valAx>
        <c:axId val="17558163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6407415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ROE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'Household Appliances'!$C$155</c:f>
              <c:strCache>
                <c:ptCount val="1"/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'Household Appliances'!$B$156:$B$169</c:f>
              <c:strCache>
                <c:ptCount val="14"/>
                <c:pt idx="0">
                  <c:v>COMPANY</c:v>
                </c:pt>
                <c:pt idx="1">
                  <c:v>VOLTAS</c:v>
                </c:pt>
                <c:pt idx="2">
                  <c:v>BLUESTARCO</c:v>
                </c:pt>
                <c:pt idx="3">
                  <c:v>CROMPTON</c:v>
                </c:pt>
                <c:pt idx="4">
                  <c:v>WHIRLPOOL</c:v>
                </c:pt>
                <c:pt idx="5">
                  <c:v>VGUARD</c:v>
                </c:pt>
                <c:pt idx="6">
                  <c:v>AMBER</c:v>
                </c:pt>
                <c:pt idx="7">
                  <c:v>BAJAJELEC</c:v>
                </c:pt>
                <c:pt idx="8">
                  <c:v>TTKPRESTIG</c:v>
                </c:pt>
                <c:pt idx="9">
                  <c:v>EUREKAFORBE</c:v>
                </c:pt>
                <c:pt idx="10">
                  <c:v>IFBIND</c:v>
                </c:pt>
                <c:pt idx="11">
                  <c:v>ORIENTELEC</c:v>
                </c:pt>
                <c:pt idx="12">
                  <c:v>JCHAC</c:v>
                </c:pt>
                <c:pt idx="13">
                  <c:v>CARYSIL</c:v>
                </c:pt>
              </c:strCache>
            </c:strRef>
          </c:cat>
          <c:val>
            <c:numRef>
              <c:f>'Household Appliances'!$C$156:$C$169</c:f>
              <c:numCache>
                <c:formatCode>0.00%</c:formatCode>
                <c:ptCount val="14"/>
                <c:pt idx="0" formatCode="General">
                  <c:v>0</c:v>
                </c:pt>
                <c:pt idx="1">
                  <c:v>4.2611683848797252E-2</c:v>
                </c:pt>
                <c:pt idx="2">
                  <c:v>0.15874233128834356</c:v>
                </c:pt>
                <c:pt idx="3">
                  <c:v>0.14733333333333334</c:v>
                </c:pt>
                <c:pt idx="4">
                  <c:v>6.0721062618595827E-2</c:v>
                </c:pt>
                <c:pt idx="5">
                  <c:v>0.14222712238147739</c:v>
                </c:pt>
                <c:pt idx="6">
                  <c:v>6.7796610169491525E-2</c:v>
                </c:pt>
                <c:pt idx="7">
                  <c:v>0.10775862068965517</c:v>
                </c:pt>
                <c:pt idx="8">
                  <c:v>9.7922848664688422E-2</c:v>
                </c:pt>
                <c:pt idx="9">
                  <c:v>2.1120293847566574E-2</c:v>
                </c:pt>
                <c:pt idx="10">
                  <c:v>6.9735006973500699E-2</c:v>
                </c:pt>
                <c:pt idx="11">
                  <c:v>-0.12886597938144329</c:v>
                </c:pt>
                <c:pt idx="12">
                  <c:v>0.11755485893416928</c:v>
                </c:pt>
                <c:pt idx="13">
                  <c:v>0.1580547112462006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133-4176-B502-661CC7C1C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916059"/>
        <c:axId val="1167555165"/>
      </c:barChart>
      <c:catAx>
        <c:axId val="2769160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67555165"/>
        <c:crosses val="autoZero"/>
        <c:auto val="1"/>
        <c:lblAlgn val="ctr"/>
        <c:lblOffset val="100"/>
        <c:noMultiLvlLbl val="1"/>
      </c:catAx>
      <c:valAx>
        <c:axId val="11675551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ROE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7691605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ROA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'Household Appliances'!$E$156:$E$169</c:f>
              <c:strCache>
                <c:ptCount val="14"/>
                <c:pt idx="0">
                  <c:v>COMPANY</c:v>
                </c:pt>
                <c:pt idx="1">
                  <c:v>VOLTAS</c:v>
                </c:pt>
                <c:pt idx="2">
                  <c:v>BLUESTARCO</c:v>
                </c:pt>
                <c:pt idx="3">
                  <c:v>CROMPTON</c:v>
                </c:pt>
                <c:pt idx="4">
                  <c:v>WHIRLPOOL</c:v>
                </c:pt>
                <c:pt idx="5">
                  <c:v>VGUARD</c:v>
                </c:pt>
                <c:pt idx="6">
                  <c:v>AMBER</c:v>
                </c:pt>
                <c:pt idx="7">
                  <c:v>BAJAJELEC</c:v>
                </c:pt>
                <c:pt idx="8">
                  <c:v>TTKPRESTIG</c:v>
                </c:pt>
                <c:pt idx="9">
                  <c:v>EUREKAFORBE</c:v>
                </c:pt>
                <c:pt idx="10">
                  <c:v>IFBIND</c:v>
                </c:pt>
                <c:pt idx="11">
                  <c:v>ORIENTELEC</c:v>
                </c:pt>
                <c:pt idx="12">
                  <c:v>JCHAC</c:v>
                </c:pt>
                <c:pt idx="13">
                  <c:v>CARYSIL</c:v>
                </c:pt>
              </c:strCache>
            </c:strRef>
          </c:cat>
          <c:val>
            <c:numRef>
              <c:f>'Household Appliances'!$F$156:$F$169</c:f>
              <c:numCache>
                <c:formatCode>0.00%</c:formatCode>
                <c:ptCount val="14"/>
                <c:pt idx="0" formatCode="General">
                  <c:v>0</c:v>
                </c:pt>
                <c:pt idx="1">
                  <c:v>2.0604852110335661E-2</c:v>
                </c:pt>
                <c:pt idx="2">
                  <c:v>6.2556663644605617E-2</c:v>
                </c:pt>
                <c:pt idx="3">
                  <c:v>7.2673462676751066E-2</c:v>
                </c:pt>
                <c:pt idx="4">
                  <c:v>3.6482084690553744E-2</c:v>
                </c:pt>
                <c:pt idx="5">
                  <c:v>8.1619740588421391E-2</c:v>
                </c:pt>
                <c:pt idx="6">
                  <c:v>2.1234642802972849E-2</c:v>
                </c:pt>
                <c:pt idx="7">
                  <c:v>8.2026977761574915E-2</c:v>
                </c:pt>
                <c:pt idx="8">
                  <c:v>3.4856086612094009E-2</c:v>
                </c:pt>
                <c:pt idx="9">
                  <c:v>1.5101772816808929E-2</c:v>
                </c:pt>
                <c:pt idx="10">
                  <c:v>2.2946305644791189E-2</c:v>
                </c:pt>
                <c:pt idx="11">
                  <c:v>-4.5262522631261314E-2</c:v>
                </c:pt>
                <c:pt idx="12">
                  <c:v>5.1688490696071676E-2</c:v>
                </c:pt>
                <c:pt idx="13">
                  <c:v>6.9798657718120799E-2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317-4435-8C55-6AC0ACC34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749304"/>
        <c:axId val="402177743"/>
      </c:barChart>
      <c:catAx>
        <c:axId val="1078749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02177743"/>
        <c:crosses val="autoZero"/>
        <c:auto val="1"/>
        <c:lblAlgn val="ctr"/>
        <c:lblOffset val="100"/>
        <c:noMultiLvlLbl val="1"/>
      </c:catAx>
      <c:valAx>
        <c:axId val="4021777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ROA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7874930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TRAIL_PE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'Household Appliances'!$C$190</c:f>
              <c:strCache>
                <c:ptCount val="1"/>
                <c:pt idx="0">
                  <c:v>TRAIL_PE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'Household Appliances'!$B$191:$B$203</c:f>
              <c:strCache>
                <c:ptCount val="13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BAJAJELEC</c:v>
                </c:pt>
                <c:pt idx="7">
                  <c:v>TTKPRESTIG</c:v>
                </c:pt>
                <c:pt idx="8">
                  <c:v>EUREKAFORBE</c:v>
                </c:pt>
                <c:pt idx="9">
                  <c:v>IFBIND</c:v>
                </c:pt>
                <c:pt idx="10">
                  <c:v>ORIENTELEC</c:v>
                </c:pt>
                <c:pt idx="11">
                  <c:v>JCHAC</c:v>
                </c:pt>
                <c:pt idx="12">
                  <c:v>CARYSIL</c:v>
                </c:pt>
              </c:strCache>
            </c:strRef>
          </c:cat>
          <c:val>
            <c:numRef>
              <c:f>'Household Appliances'!$C$191:$C$203</c:f>
              <c:numCache>
                <c:formatCode>0</c:formatCode>
                <c:ptCount val="13"/>
                <c:pt idx="0">
                  <c:v>129.10507246376812</c:v>
                </c:pt>
                <c:pt idx="1">
                  <c:v>69.824775876120626</c:v>
                </c:pt>
                <c:pt idx="2">
                  <c:v>63.462059620596207</c:v>
                </c:pt>
                <c:pt idx="3">
                  <c:v>97.65735815602838</c:v>
                </c:pt>
                <c:pt idx="4">
                  <c:v>70.24024024024024</c:v>
                </c:pt>
                <c:pt idx="5">
                  <c:v>94.914213090446935</c:v>
                </c:pt>
                <c:pt idx="6">
                  <c:v>58.041172800998126</c:v>
                </c:pt>
                <c:pt idx="7">
                  <c:v>92.273156899810957</c:v>
                </c:pt>
                <c:pt idx="8">
                  <c:v>92.362428842504755</c:v>
                </c:pt>
                <c:pt idx="9">
                  <c:v>88.34020146520146</c:v>
                </c:pt>
                <c:pt idx="10">
                  <c:v>3891</c:v>
                </c:pt>
                <c:pt idx="11">
                  <c:v>79.695121951219505</c:v>
                </c:pt>
                <c:pt idx="12">
                  <c:v>44.08038444735692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E70-4D9E-9BAC-DE61FF388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906265"/>
        <c:axId val="264957890"/>
      </c:barChart>
      <c:catAx>
        <c:axId val="88190626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64957890"/>
        <c:crosses val="autoZero"/>
        <c:auto val="1"/>
        <c:lblAlgn val="ctr"/>
        <c:lblOffset val="100"/>
        <c:noMultiLvlLbl val="1"/>
      </c:catAx>
      <c:valAx>
        <c:axId val="2649578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TRAIL_PE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8190626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PBV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'Household Appliances'!$F$190</c:f>
              <c:strCache>
                <c:ptCount val="1"/>
                <c:pt idx="0">
                  <c:v>PBV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'Household Appliances'!$E$191:$E$203</c:f>
              <c:strCache>
                <c:ptCount val="13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BAJAJELEC</c:v>
                </c:pt>
                <c:pt idx="7">
                  <c:v>TTKPRESTIG</c:v>
                </c:pt>
                <c:pt idx="8">
                  <c:v>EUREKAFORBE</c:v>
                </c:pt>
                <c:pt idx="9">
                  <c:v>IFBIND</c:v>
                </c:pt>
                <c:pt idx="10">
                  <c:v>ORIENTELEC</c:v>
                </c:pt>
                <c:pt idx="11">
                  <c:v>JCHAC</c:v>
                </c:pt>
                <c:pt idx="12">
                  <c:v>CARYSIL</c:v>
                </c:pt>
              </c:strCache>
            </c:strRef>
          </c:cat>
          <c:val>
            <c:numRef>
              <c:f>'Household Appliances'!$F$191:$F$203</c:f>
              <c:numCache>
                <c:formatCode>0</c:formatCode>
                <c:ptCount val="13"/>
                <c:pt idx="0">
                  <c:v>10.102139175257731</c:v>
                </c:pt>
                <c:pt idx="1">
                  <c:v>13.468845858895705</c:v>
                </c:pt>
                <c:pt idx="2">
                  <c:v>10.069525000000001</c:v>
                </c:pt>
                <c:pt idx="3">
                  <c:v>7.5847126592572511</c:v>
                </c:pt>
                <c:pt idx="4">
                  <c:v>11.088974641675854</c:v>
                </c:pt>
                <c:pt idx="5">
                  <c:v>7.377753026634382</c:v>
                </c:pt>
                <c:pt idx="6">
                  <c:v>6.2383141762452103</c:v>
                </c:pt>
                <c:pt idx="7">
                  <c:v>8.3285422848664687</c:v>
                </c:pt>
                <c:pt idx="8">
                  <c:v>2.156628787878788</c:v>
                </c:pt>
                <c:pt idx="9">
                  <c:v>11.03254532775453</c:v>
                </c:pt>
                <c:pt idx="10">
                  <c:v>9.9280670103092792</c:v>
                </c:pt>
                <c:pt idx="11">
                  <c:v>8.6040752351097183</c:v>
                </c:pt>
                <c:pt idx="12">
                  <c:v>7.5523952095808387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374-4EEC-83BA-3AD6228C8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80221"/>
        <c:axId val="1807360762"/>
      </c:barChart>
      <c:catAx>
        <c:axId val="7325802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07360762"/>
        <c:crosses val="autoZero"/>
        <c:auto val="1"/>
        <c:lblAlgn val="ctr"/>
        <c:lblOffset val="100"/>
        <c:noMultiLvlLbl val="1"/>
      </c:catAx>
      <c:valAx>
        <c:axId val="180736076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PBV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3258022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HOUSEHOLD APPLIANCES SALES_23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780B-4029-969A-D225A1ECD93D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780B-4029-969A-D225A1ECD93D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780B-4029-969A-D225A1ECD93D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780B-4029-969A-D225A1ECD93D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780B-4029-969A-D225A1ECD93D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780B-4029-969A-D225A1ECD93D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780B-4029-969A-D225A1ECD93D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780B-4029-969A-D225A1ECD93D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780B-4029-969A-D225A1ECD93D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</c:spPr>
            <c:extLst>
              <c:ext xmlns:c16="http://schemas.microsoft.com/office/drawing/2014/chart" uri="{C3380CC4-5D6E-409C-BE32-E72D297353CC}">
                <c16:uniqueId val="{00000013-780B-4029-969A-D225A1ECD93D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</c:spPr>
            <c:extLst>
              <c:ext xmlns:c16="http://schemas.microsoft.com/office/drawing/2014/chart" uri="{C3380CC4-5D6E-409C-BE32-E72D297353CC}">
                <c16:uniqueId val="{00000015-780B-4029-969A-D225A1ECD93D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</c:spPr>
            <c:extLst>
              <c:ext xmlns:c16="http://schemas.microsoft.com/office/drawing/2014/chart" uri="{C3380CC4-5D6E-409C-BE32-E72D297353CC}">
                <c16:uniqueId val="{00000017-780B-4029-969A-D225A1ECD93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8-780B-4029-969A-D225A1ECD93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'Household Appliances'!$F$38:$F$51</c:f>
              <c:strCache>
                <c:ptCount val="13"/>
                <c:pt idx="0">
                  <c:v>COMPANY</c:v>
                </c:pt>
                <c:pt idx="1">
                  <c:v>VOLTAS</c:v>
                </c:pt>
                <c:pt idx="2">
                  <c:v>BLUESTARCO</c:v>
                </c:pt>
                <c:pt idx="3">
                  <c:v>CROMPTON</c:v>
                </c:pt>
                <c:pt idx="4">
                  <c:v>WHIRLPOOL</c:v>
                </c:pt>
                <c:pt idx="5">
                  <c:v>VGUARD</c:v>
                </c:pt>
                <c:pt idx="6">
                  <c:v>AMBER</c:v>
                </c:pt>
                <c:pt idx="7">
                  <c:v>TTKPRESTIG</c:v>
                </c:pt>
                <c:pt idx="8">
                  <c:v>BAJAJELEC</c:v>
                </c:pt>
                <c:pt idx="9">
                  <c:v>EUREKAFORBE</c:v>
                </c:pt>
                <c:pt idx="10">
                  <c:v>IFBIND</c:v>
                </c:pt>
                <c:pt idx="11">
                  <c:v>JCHAC</c:v>
                </c:pt>
                <c:pt idx="12">
                  <c:v>ORIENTELEC</c:v>
                </c:pt>
              </c:strCache>
            </c:strRef>
          </c:cat>
          <c:val>
            <c:numRef>
              <c:f>'Household Appliances'!$G$38:$G$51</c:f>
              <c:numCache>
                <c:formatCode>General</c:formatCode>
                <c:ptCount val="14"/>
                <c:pt idx="0">
                  <c:v>0</c:v>
                </c:pt>
                <c:pt idx="1">
                  <c:v>12481</c:v>
                </c:pt>
                <c:pt idx="2">
                  <c:v>9685</c:v>
                </c:pt>
                <c:pt idx="3">
                  <c:v>7313</c:v>
                </c:pt>
                <c:pt idx="4">
                  <c:v>6830</c:v>
                </c:pt>
                <c:pt idx="5">
                  <c:v>4857</c:v>
                </c:pt>
                <c:pt idx="6">
                  <c:v>6730</c:v>
                </c:pt>
                <c:pt idx="7">
                  <c:v>2678</c:v>
                </c:pt>
                <c:pt idx="8">
                  <c:v>4639</c:v>
                </c:pt>
                <c:pt idx="9">
                  <c:v>2189</c:v>
                </c:pt>
                <c:pt idx="10">
                  <c:v>4437</c:v>
                </c:pt>
                <c:pt idx="11">
                  <c:v>1918</c:v>
                </c:pt>
                <c:pt idx="12">
                  <c:v>2812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80B-4029-969A-D225A1EC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PROFIT_23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'Household Appliances'!$K$38</c:f>
              <c:strCache>
                <c:ptCount val="1"/>
                <c:pt idx="0">
                  <c:v>PROFIT_24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'Household Appliances'!$J$39:$J$51</c:f>
              <c:strCache>
                <c:ptCount val="12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BAJAJELEC</c:v>
                </c:pt>
                <c:pt idx="7">
                  <c:v>TTKPRESTIG</c:v>
                </c:pt>
                <c:pt idx="8">
                  <c:v>EUREKAFORBE</c:v>
                </c:pt>
                <c:pt idx="9">
                  <c:v>IFBIND</c:v>
                </c:pt>
                <c:pt idx="10">
                  <c:v>ORIENTELEC</c:v>
                </c:pt>
                <c:pt idx="11">
                  <c:v>JCHAC</c:v>
                </c:pt>
              </c:strCache>
            </c:strRef>
          </c:cat>
          <c:val>
            <c:numRef>
              <c:f>'Household Appliances'!$K$39:$K$51</c:f>
              <c:numCache>
                <c:formatCode>General</c:formatCode>
                <c:ptCount val="13"/>
                <c:pt idx="0">
                  <c:v>248</c:v>
                </c:pt>
                <c:pt idx="1">
                  <c:v>414</c:v>
                </c:pt>
                <c:pt idx="2">
                  <c:v>442</c:v>
                </c:pt>
                <c:pt idx="3">
                  <c:v>224</c:v>
                </c:pt>
                <c:pt idx="4">
                  <c:v>258</c:v>
                </c:pt>
                <c:pt idx="5">
                  <c:v>140</c:v>
                </c:pt>
                <c:pt idx="6">
                  <c:v>225</c:v>
                </c:pt>
                <c:pt idx="7">
                  <c:v>132</c:v>
                </c:pt>
                <c:pt idx="8">
                  <c:v>92</c:v>
                </c:pt>
                <c:pt idx="9">
                  <c:v>50</c:v>
                </c:pt>
                <c:pt idx="10">
                  <c:v>-75</c:v>
                </c:pt>
                <c:pt idx="11">
                  <c:v>75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B9B-423C-A134-3092E1ECA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4426661"/>
        <c:axId val="288289690"/>
      </c:barChart>
      <c:catAx>
        <c:axId val="7144266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88289690"/>
        <c:crosses val="autoZero"/>
        <c:auto val="1"/>
        <c:lblAlgn val="ctr"/>
        <c:lblOffset val="100"/>
        <c:noMultiLvlLbl val="1"/>
      </c:catAx>
      <c:valAx>
        <c:axId val="2882896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PROFIT_23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1442666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CY_SALES GR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'Household Appliances'!$G$71</c:f>
              <c:strCache>
                <c:ptCount val="1"/>
                <c:pt idx="0">
                  <c:v>SALES_Q1_GR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'Household Appliances'!$F$72:$F$85</c:f>
              <c:numCache>
                <c:formatCode>0.00%</c:formatCode>
                <c:ptCount val="14"/>
                <c:pt idx="0">
                  <c:v>0.32790722417278428</c:v>
                </c:pt>
                <c:pt idx="1">
                  <c:v>0.21411558229910987</c:v>
                </c:pt>
                <c:pt idx="2">
                  <c:v>0.25890859011878131</c:v>
                </c:pt>
                <c:pt idx="3">
                  <c:v>5.1508462104488117E-3</c:v>
                </c:pt>
                <c:pt idx="4">
                  <c:v>0.17688393506178812</c:v>
                </c:pt>
                <c:pt idx="5">
                  <c:v>-2.8439439872960826E-2</c:v>
                </c:pt>
                <c:pt idx="6">
                  <c:v>-3.5649981994958613E-2</c:v>
                </c:pt>
                <c:pt idx="7">
                  <c:v>-0.14551482777675451</c:v>
                </c:pt>
                <c:pt idx="8">
                  <c:v>5.0383877159309032E-2</c:v>
                </c:pt>
                <c:pt idx="9">
                  <c:v>5.7939914163090078E-2</c:v>
                </c:pt>
                <c:pt idx="10">
                  <c:v>-0.19546979865771807</c:v>
                </c:pt>
                <c:pt idx="11">
                  <c:v>0.11190193752471322</c:v>
                </c:pt>
                <c:pt idx="13">
                  <c:v>0.10157038606013469</c:v>
                </c:pt>
              </c:numCache>
            </c:numRef>
          </c:cat>
          <c:val>
            <c:numRef>
              <c:f>'Household Appliances'!$G$72:$G$85</c:f>
              <c:numCache>
                <c:formatCode>0.00%</c:formatCode>
                <c:ptCount val="14"/>
                <c:pt idx="0">
                  <c:v>0.46500000000000002</c:v>
                </c:pt>
                <c:pt idx="1">
                  <c:v>0.28710000000000002</c:v>
                </c:pt>
                <c:pt idx="2">
                  <c:v>0.1391</c:v>
                </c:pt>
                <c:pt idx="3">
                  <c:v>0.2397</c:v>
                </c:pt>
                <c:pt idx="4">
                  <c:v>0.21659999999999999</c:v>
                </c:pt>
                <c:pt idx="5">
                  <c:v>0.41410000000000002</c:v>
                </c:pt>
                <c:pt idx="6">
                  <c:v>1.8E-3</c:v>
                </c:pt>
                <c:pt idx="7">
                  <c:v>3.8600000000000002E-2</c:v>
                </c:pt>
                <c:pt idx="8">
                  <c:v>9.4E-2</c:v>
                </c:pt>
                <c:pt idx="9">
                  <c:v>0.17299999999999999</c:v>
                </c:pt>
                <c:pt idx="11">
                  <c:v>6.9800000000000001E-2</c:v>
                </c:pt>
                <c:pt idx="13">
                  <c:v>0.3029313428193765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E0B-435B-A2B6-40DB079AB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6901834"/>
        <c:axId val="851867485"/>
      </c:barChart>
      <c:catAx>
        <c:axId val="12569018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51867485"/>
        <c:crosses val="autoZero"/>
        <c:auto val="1"/>
        <c:lblAlgn val="ctr"/>
        <c:lblOffset val="100"/>
        <c:noMultiLvlLbl val="1"/>
      </c:catAx>
      <c:valAx>
        <c:axId val="85186748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CY_SALES GR</a:t>
                </a:r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5690183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CUR. RATIO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'Household Appliances'!$C$138</c:f>
              <c:strCache>
                <c:ptCount val="1"/>
                <c:pt idx="0">
                  <c:v>CUR. 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'Household Appliances'!$B$139:$B$151</c:f>
              <c:strCache>
                <c:ptCount val="13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BAJAJELEC</c:v>
                </c:pt>
                <c:pt idx="7">
                  <c:v>TTKPRESTIG</c:v>
                </c:pt>
                <c:pt idx="8">
                  <c:v>EUREKAFORBE</c:v>
                </c:pt>
                <c:pt idx="9">
                  <c:v>IFBIND</c:v>
                </c:pt>
                <c:pt idx="10">
                  <c:v>ORIENTELEC</c:v>
                </c:pt>
                <c:pt idx="11">
                  <c:v>JCHAC</c:v>
                </c:pt>
                <c:pt idx="12">
                  <c:v>CARYSIL</c:v>
                </c:pt>
              </c:strCache>
            </c:strRef>
          </c:cat>
          <c:val>
            <c:numRef>
              <c:f>'Household Appliances'!$C$139:$C$151</c:f>
              <c:numCache>
                <c:formatCode>0.0</c:formatCode>
                <c:ptCount val="13"/>
                <c:pt idx="0">
                  <c:v>1.4595278473836246</c:v>
                </c:pt>
                <c:pt idx="1">
                  <c:v>1.3615064810873532</c:v>
                </c:pt>
                <c:pt idx="2">
                  <c:v>1.1496140262238699</c:v>
                </c:pt>
                <c:pt idx="3">
                  <c:v>2.5179224579370887</c:v>
                </c:pt>
                <c:pt idx="4">
                  <c:v>1.7624555895232588</c:v>
                </c:pt>
                <c:pt idx="5">
                  <c:v>1.0830248545742993</c:v>
                </c:pt>
                <c:pt idx="6">
                  <c:v>1.1361161524500907</c:v>
                </c:pt>
                <c:pt idx="7">
                  <c:v>3.2142857142857144</c:v>
                </c:pt>
                <c:pt idx="8">
                  <c:v>0.58273381294964033</c:v>
                </c:pt>
                <c:pt idx="9">
                  <c:v>1.0998005436793259</c:v>
                </c:pt>
                <c:pt idx="10">
                  <c:v>1.4731115758989624</c:v>
                </c:pt>
                <c:pt idx="11">
                  <c:v>1.3228962818003913</c:v>
                </c:pt>
                <c:pt idx="12">
                  <c:v>1.1489361702127661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89E-4EBF-99AE-01110582B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5335623"/>
        <c:axId val="1478345871"/>
      </c:barChart>
      <c:catAx>
        <c:axId val="17953356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78345871"/>
        <c:crosses val="autoZero"/>
        <c:auto val="1"/>
        <c:lblAlgn val="ctr"/>
        <c:lblOffset val="100"/>
        <c:noMultiLvlLbl val="1"/>
      </c:catAx>
      <c:valAx>
        <c:axId val="14783458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CUR. RATIO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9533562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TR.DAYS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'Household Appliances'!$F$138</c:f>
              <c:strCache>
                <c:ptCount val="1"/>
                <c:pt idx="0">
                  <c:v>TR.DAYS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'Household Appliances'!$E$139:$E$151</c:f>
              <c:strCache>
                <c:ptCount val="13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BAJAJELEC</c:v>
                </c:pt>
                <c:pt idx="7">
                  <c:v>TTKPRESTIG</c:v>
                </c:pt>
                <c:pt idx="8">
                  <c:v>EUREKAFORBE</c:v>
                </c:pt>
                <c:pt idx="9">
                  <c:v>IFBIND</c:v>
                </c:pt>
                <c:pt idx="10">
                  <c:v>ORIENTELEC</c:v>
                </c:pt>
                <c:pt idx="11">
                  <c:v>JCHAC</c:v>
                </c:pt>
                <c:pt idx="12">
                  <c:v>CARYSIL</c:v>
                </c:pt>
              </c:strCache>
            </c:strRef>
          </c:cat>
          <c:val>
            <c:numRef>
              <c:f>'Household Appliances'!$F$139:$F$151</c:f>
              <c:numCache>
                <c:formatCode>0</c:formatCode>
                <c:ptCount val="13"/>
                <c:pt idx="0">
                  <c:v>58.738631769337161</c:v>
                </c:pt>
                <c:pt idx="1">
                  <c:v>56.952262755421842</c:v>
                </c:pt>
                <c:pt idx="2">
                  <c:v>42.623127904975043</c:v>
                </c:pt>
                <c:pt idx="3">
                  <c:v>10.796909492273731</c:v>
                </c:pt>
                <c:pt idx="4">
                  <c:v>40.306542282529684</c:v>
                </c:pt>
                <c:pt idx="5">
                  <c:v>36.937346614696118</c:v>
                </c:pt>
                <c:pt idx="6">
                  <c:v>1.4790937557561246</c:v>
                </c:pt>
                <c:pt idx="7">
                  <c:v>45.871444004321205</c:v>
                </c:pt>
                <c:pt idx="8">
                  <c:v>28.548464491362765</c:v>
                </c:pt>
                <c:pt idx="9">
                  <c:v>36.333774439675729</c:v>
                </c:pt>
                <c:pt idx="10">
                  <c:v>44.573586397785682</c:v>
                </c:pt>
                <c:pt idx="11">
                  <c:v>23.884228187919465</c:v>
                </c:pt>
                <c:pt idx="12">
                  <c:v>77.554806070826302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7B4-46CC-8512-E89674D6D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583857"/>
        <c:axId val="1123471665"/>
      </c:barChart>
      <c:catAx>
        <c:axId val="2545838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23471665"/>
        <c:crosses val="autoZero"/>
        <c:auto val="1"/>
        <c:lblAlgn val="ctr"/>
        <c:lblOffset val="100"/>
        <c:noMultiLvlLbl val="1"/>
      </c:catAx>
      <c:valAx>
        <c:axId val="11234716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TR.DAYS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5458385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DEBT2EQUITY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'Household Appliances'!$C$106</c:f>
              <c:strCache>
                <c:ptCount val="1"/>
                <c:pt idx="0">
                  <c:v>DEBT2EQUITY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'Household Appliances'!$B$107:$B$119</c:f>
              <c:strCache>
                <c:ptCount val="12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BAJAJELEC</c:v>
                </c:pt>
                <c:pt idx="7">
                  <c:v>TTKPRESTIG</c:v>
                </c:pt>
                <c:pt idx="8">
                  <c:v>EUREKAFORBE</c:v>
                </c:pt>
                <c:pt idx="9">
                  <c:v>IFBIND</c:v>
                </c:pt>
                <c:pt idx="10">
                  <c:v>ORIENTELEC</c:v>
                </c:pt>
                <c:pt idx="11">
                  <c:v>JCHAC</c:v>
                </c:pt>
              </c:strCache>
            </c:strRef>
          </c:cat>
          <c:val>
            <c:numRef>
              <c:f>'Household Appliances'!$C$107:$C$119</c:f>
              <c:numCache>
                <c:formatCode>0.00</c:formatCode>
                <c:ptCount val="13"/>
                <c:pt idx="0">
                  <c:v>0.12250859106529209</c:v>
                </c:pt>
                <c:pt idx="1">
                  <c:v>6.4033742331288349E-2</c:v>
                </c:pt>
                <c:pt idx="2">
                  <c:v>0.19966666666666666</c:v>
                </c:pt>
                <c:pt idx="3">
                  <c:v>0</c:v>
                </c:pt>
                <c:pt idx="4">
                  <c:v>0.16041896361631752</c:v>
                </c:pt>
                <c:pt idx="5">
                  <c:v>0.69443099273607745</c:v>
                </c:pt>
                <c:pt idx="6">
                  <c:v>2.2509578544061302E-2</c:v>
                </c:pt>
                <c:pt idx="7">
                  <c:v>0.15949554896142434</c:v>
                </c:pt>
                <c:pt idx="8">
                  <c:v>1.4692378328741965E-2</c:v>
                </c:pt>
                <c:pt idx="9">
                  <c:v>9.7629009762900981E-2</c:v>
                </c:pt>
                <c:pt idx="10">
                  <c:v>0.08</c:v>
                </c:pt>
                <c:pt idx="11">
                  <c:v>3.1347962382445138E-2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17A-44BD-BD82-2918F8046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9342280"/>
        <c:axId val="909257027"/>
      </c:barChart>
      <c:catAx>
        <c:axId val="2109342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09257027"/>
        <c:crosses val="autoZero"/>
        <c:auto val="1"/>
        <c:lblAlgn val="ctr"/>
        <c:lblOffset val="100"/>
        <c:noMultiLvlLbl val="1"/>
      </c:catAx>
      <c:valAx>
        <c:axId val="9092570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DEBT2EQUITY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0934228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ICR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'Household Appliances'!$F$106:$F$119</c:f>
              <c:strCache>
                <c:ptCount val="13"/>
                <c:pt idx="0">
                  <c:v>COMPANY</c:v>
                </c:pt>
                <c:pt idx="1">
                  <c:v>VOLTAS</c:v>
                </c:pt>
                <c:pt idx="2">
                  <c:v>BLUESTARCO</c:v>
                </c:pt>
                <c:pt idx="3">
                  <c:v>CROMPTON</c:v>
                </c:pt>
                <c:pt idx="4">
                  <c:v>WHIRLPOOL</c:v>
                </c:pt>
                <c:pt idx="5">
                  <c:v>VGUARD</c:v>
                </c:pt>
                <c:pt idx="6">
                  <c:v>AMBER</c:v>
                </c:pt>
                <c:pt idx="7">
                  <c:v>BAJAJELEC</c:v>
                </c:pt>
                <c:pt idx="8">
                  <c:v>TTKPRESTIG</c:v>
                </c:pt>
                <c:pt idx="9">
                  <c:v>EUREKAFORBE</c:v>
                </c:pt>
                <c:pt idx="10">
                  <c:v>IFBIND</c:v>
                </c:pt>
                <c:pt idx="11">
                  <c:v>ORIENTELEC</c:v>
                </c:pt>
                <c:pt idx="12">
                  <c:v>JCHAC</c:v>
                </c:pt>
              </c:strCache>
            </c:strRef>
          </c:cat>
          <c:val>
            <c:numRef>
              <c:f>'Household Appliances'!$G$106:$G$119</c:f>
              <c:numCache>
                <c:formatCode>0.0</c:formatCode>
                <c:ptCount val="14"/>
                <c:pt idx="0" formatCode="General">
                  <c:v>0</c:v>
                </c:pt>
                <c:pt idx="1">
                  <c:v>1.4762516046213094</c:v>
                </c:pt>
                <c:pt idx="2">
                  <c:v>9.7758620689655178</c:v>
                </c:pt>
                <c:pt idx="3">
                  <c:v>7.4050632911392409</c:v>
                </c:pt>
                <c:pt idx="4">
                  <c:v>6.4</c:v>
                </c:pt>
                <c:pt idx="5">
                  <c:v>8.6750000000000007</c:v>
                </c:pt>
                <c:pt idx="6">
                  <c:v>1.8323353293413174</c:v>
                </c:pt>
                <c:pt idx="7">
                  <c:v>18.384615384615383</c:v>
                </c:pt>
                <c:pt idx="8">
                  <c:v>5.1269841269841274</c:v>
                </c:pt>
                <c:pt idx="9">
                  <c:v>20.2</c:v>
                </c:pt>
                <c:pt idx="10">
                  <c:v>3.2857142857142856</c:v>
                </c:pt>
                <c:pt idx="11">
                  <c:v>-4.125</c:v>
                </c:pt>
                <c:pt idx="12">
                  <c:v>3.6956521739130435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6A6-4413-92BA-C5A6A9202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9668843"/>
        <c:axId val="144729910"/>
      </c:barChart>
      <c:catAx>
        <c:axId val="6896688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4729910"/>
        <c:crosses val="autoZero"/>
        <c:auto val="1"/>
        <c:lblAlgn val="ctr"/>
        <c:lblOffset val="100"/>
        <c:noMultiLvlLbl val="1"/>
      </c:catAx>
      <c:valAx>
        <c:axId val="1447299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ICR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8966884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DEBTRATIO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'Household Appliances'!$K$106</c:f>
              <c:strCache>
                <c:ptCount val="1"/>
                <c:pt idx="0">
                  <c:v>DEBTRATIO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'Household Appliances'!$J$107:$J$119</c:f>
              <c:strCache>
                <c:ptCount val="13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BAJAJELEC</c:v>
                </c:pt>
                <c:pt idx="7">
                  <c:v>TTKPRESTIG</c:v>
                </c:pt>
                <c:pt idx="8">
                  <c:v>EUREKAFORBE</c:v>
                </c:pt>
                <c:pt idx="9">
                  <c:v>IFBIND</c:v>
                </c:pt>
                <c:pt idx="10">
                  <c:v>ORIENTELEC</c:v>
                </c:pt>
                <c:pt idx="11">
                  <c:v>JCHAC</c:v>
                </c:pt>
                <c:pt idx="12">
                  <c:v>CARYSIL</c:v>
                </c:pt>
              </c:strCache>
            </c:strRef>
          </c:cat>
          <c:val>
            <c:numRef>
              <c:f>'Household Appliances'!$K$107:$K$119</c:f>
              <c:numCache>
                <c:formatCode>0.0</c:formatCode>
                <c:ptCount val="13"/>
                <c:pt idx="0">
                  <c:v>1.0621993127147766</c:v>
                </c:pt>
                <c:pt idx="1">
                  <c:v>1.5356595092024541</c:v>
                </c:pt>
                <c:pt idx="2">
                  <c:v>0.87766666666666671</c:v>
                </c:pt>
                <c:pt idx="3">
                  <c:v>0.62239089184060725</c:v>
                </c:pt>
                <c:pt idx="4">
                  <c:v>0.74255788313120175</c:v>
                </c:pt>
                <c:pt idx="5">
                  <c:v>2.168038740920097</c:v>
                </c:pt>
                <c:pt idx="6">
                  <c:v>0.31369731800766282</c:v>
                </c:pt>
                <c:pt idx="7">
                  <c:v>1.8093471810089021</c:v>
                </c:pt>
                <c:pt idx="8">
                  <c:v>0.4428374655647383</c:v>
                </c:pt>
                <c:pt idx="9">
                  <c:v>2.0390516039051603</c:v>
                </c:pt>
                <c:pt idx="10">
                  <c:v>1.8453608247422681</c:v>
                </c:pt>
                <c:pt idx="11">
                  <c:v>1.2727272727272727</c:v>
                </c:pt>
                <c:pt idx="12" formatCode="0.00">
                  <c:v>0.55838926174496639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247-4E66-825C-8C57245A4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814926"/>
        <c:axId val="57528320"/>
      </c:barChart>
      <c:catAx>
        <c:axId val="10218149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7528320"/>
        <c:crosses val="autoZero"/>
        <c:auto val="1"/>
        <c:lblAlgn val="ctr"/>
        <c:lblOffset val="100"/>
        <c:noMultiLvlLbl val="1"/>
      </c:catAx>
      <c:valAx>
        <c:axId val="575283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DEBTRATIO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2181492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png"/><Relationship Id="rId3" Type="http://schemas.openxmlformats.org/officeDocument/2006/relationships/chart" Target="../charts/chart3.xml"/><Relationship Id="rId21" Type="http://schemas.openxmlformats.org/officeDocument/2006/relationships/image" Target="../media/image4.png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image" Target="../media/image3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53</xdr:row>
      <xdr:rowOff>66675</xdr:rowOff>
    </xdr:from>
    <xdr:ext cx="4200525" cy="290512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CB7169E4-53E3-424A-81D4-BFE18F9B66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19050</xdr:colOff>
      <xdr:row>53</xdr:row>
      <xdr:rowOff>66675</xdr:rowOff>
    </xdr:from>
    <xdr:ext cx="4638675" cy="2857500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802D7890-BFBA-4CFE-9049-55FDD6638C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9</xdr:col>
      <xdr:colOff>819150</xdr:colOff>
      <xdr:row>53</xdr:row>
      <xdr:rowOff>66675</xdr:rowOff>
    </xdr:from>
    <xdr:ext cx="4600575" cy="2857500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44B6C124-492D-46F2-A083-98E203CC6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12</xdr:col>
      <xdr:colOff>266700</xdr:colOff>
      <xdr:row>69</xdr:row>
      <xdr:rowOff>180975</xdr:rowOff>
    </xdr:from>
    <xdr:ext cx="4772025" cy="2981325"/>
    <xdr:graphicFrame macro="">
      <xdr:nvGraphicFramePr>
        <xdr:cNvPr id="5" name="Chart 4" title="Chart">
          <a:extLst>
            <a:ext uri="{FF2B5EF4-FFF2-40B4-BE49-F238E27FC236}">
              <a16:creationId xmlns:a16="http://schemas.microsoft.com/office/drawing/2014/main" id="{0C7099C6-5D4D-45E3-B664-4E725E899E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6</xdr:col>
      <xdr:colOff>152400</xdr:colOff>
      <xdr:row>136</xdr:row>
      <xdr:rowOff>190500</xdr:rowOff>
    </xdr:from>
    <xdr:ext cx="4810125" cy="2981325"/>
    <xdr:graphicFrame macro="">
      <xdr:nvGraphicFramePr>
        <xdr:cNvPr id="6" name="Chart 5" title="Chart">
          <a:extLst>
            <a:ext uri="{FF2B5EF4-FFF2-40B4-BE49-F238E27FC236}">
              <a16:creationId xmlns:a16="http://schemas.microsoft.com/office/drawing/2014/main" id="{61D3D9F1-6958-47B6-8C4E-84692C33E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11</xdr:col>
      <xdr:colOff>209550</xdr:colOff>
      <xdr:row>136</xdr:row>
      <xdr:rowOff>190500</xdr:rowOff>
    </xdr:from>
    <xdr:ext cx="4810125" cy="2981325"/>
    <xdr:graphicFrame macro="">
      <xdr:nvGraphicFramePr>
        <xdr:cNvPr id="7" name="Chart 6" title="Chart">
          <a:extLst>
            <a:ext uri="{FF2B5EF4-FFF2-40B4-BE49-F238E27FC236}">
              <a16:creationId xmlns:a16="http://schemas.microsoft.com/office/drawing/2014/main" id="{9188F60A-3EF7-46D8-AC41-ECD160507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0</xdr:col>
      <xdr:colOff>133350</xdr:colOff>
      <xdr:row>121</xdr:row>
      <xdr:rowOff>95250</xdr:rowOff>
    </xdr:from>
    <xdr:ext cx="4200525" cy="2571750"/>
    <xdr:graphicFrame macro="">
      <xdr:nvGraphicFramePr>
        <xdr:cNvPr id="8" name="Chart 7" title="Chart">
          <a:extLst>
            <a:ext uri="{FF2B5EF4-FFF2-40B4-BE49-F238E27FC236}">
              <a16:creationId xmlns:a16="http://schemas.microsoft.com/office/drawing/2014/main" id="{A6AD4DFD-6A44-456D-98FE-869DD466E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4</xdr:col>
      <xdr:colOff>885825</xdr:colOff>
      <xdr:row>121</xdr:row>
      <xdr:rowOff>95250</xdr:rowOff>
    </xdr:from>
    <xdr:ext cx="4124325" cy="2571750"/>
    <xdr:graphicFrame macro="">
      <xdr:nvGraphicFramePr>
        <xdr:cNvPr id="9" name="Chart 8" title="Chart">
          <a:extLst>
            <a:ext uri="{FF2B5EF4-FFF2-40B4-BE49-F238E27FC236}">
              <a16:creationId xmlns:a16="http://schemas.microsoft.com/office/drawing/2014/main" id="{4D6338B8-294A-494B-92EB-5536C22F0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9</xdr:col>
      <xdr:colOff>209550</xdr:colOff>
      <xdr:row>121</xdr:row>
      <xdr:rowOff>95250</xdr:rowOff>
    </xdr:from>
    <xdr:ext cx="4124325" cy="2571750"/>
    <xdr:graphicFrame macro="">
      <xdr:nvGraphicFramePr>
        <xdr:cNvPr id="10" name="Chart 9" title="Chart">
          <a:extLst>
            <a:ext uri="{FF2B5EF4-FFF2-40B4-BE49-F238E27FC236}">
              <a16:creationId xmlns:a16="http://schemas.microsoft.com/office/drawing/2014/main" id="{2FDF4287-BD1C-4FF9-8FB3-683AB306A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9</xdr:col>
      <xdr:colOff>285750</xdr:colOff>
      <xdr:row>205</xdr:row>
      <xdr:rowOff>95250</xdr:rowOff>
    </xdr:from>
    <xdr:ext cx="4248150" cy="2619375"/>
    <xdr:graphicFrame macro="">
      <xdr:nvGraphicFramePr>
        <xdr:cNvPr id="11" name="Chart 10" title="Chart">
          <a:extLst>
            <a:ext uri="{FF2B5EF4-FFF2-40B4-BE49-F238E27FC236}">
              <a16:creationId xmlns:a16="http://schemas.microsoft.com/office/drawing/2014/main" id="{A9D65051-F081-4B17-A8BA-1FEB79137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7</xdr:col>
      <xdr:colOff>123825</xdr:colOff>
      <xdr:row>69</xdr:row>
      <xdr:rowOff>180975</xdr:rowOff>
    </xdr:from>
    <xdr:ext cx="4867275" cy="2981325"/>
    <xdr:graphicFrame macro="">
      <xdr:nvGraphicFramePr>
        <xdr:cNvPr id="12" name="Chart 11" title="Chart">
          <a:extLst>
            <a:ext uri="{FF2B5EF4-FFF2-40B4-BE49-F238E27FC236}">
              <a16:creationId xmlns:a16="http://schemas.microsoft.com/office/drawing/2014/main" id="{AB63CA98-712D-41E4-9699-212255321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9</xdr:col>
      <xdr:colOff>47625</xdr:colOff>
      <xdr:row>87</xdr:row>
      <xdr:rowOff>190500</xdr:rowOff>
    </xdr:from>
    <xdr:ext cx="5219700" cy="3238500"/>
    <xdr:graphicFrame macro="">
      <xdr:nvGraphicFramePr>
        <xdr:cNvPr id="13" name="Chart 12" title="Chart">
          <a:extLst>
            <a:ext uri="{FF2B5EF4-FFF2-40B4-BE49-F238E27FC236}">
              <a16:creationId xmlns:a16="http://schemas.microsoft.com/office/drawing/2014/main" id="{2FD9A21B-B341-4E20-82F2-8007DDFBC8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14</xdr:col>
      <xdr:colOff>466725</xdr:colOff>
      <xdr:row>87</xdr:row>
      <xdr:rowOff>190500</xdr:rowOff>
    </xdr:from>
    <xdr:ext cx="5219700" cy="3238500"/>
    <xdr:graphicFrame macro="">
      <xdr:nvGraphicFramePr>
        <xdr:cNvPr id="14" name="Chart 13" title="Chart">
          <a:extLst>
            <a:ext uri="{FF2B5EF4-FFF2-40B4-BE49-F238E27FC236}">
              <a16:creationId xmlns:a16="http://schemas.microsoft.com/office/drawing/2014/main" id="{676568E8-9F46-4A73-ADED-54E8E328D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0</xdr:col>
      <xdr:colOff>180975</xdr:colOff>
      <xdr:row>171</xdr:row>
      <xdr:rowOff>142875</xdr:rowOff>
    </xdr:from>
    <xdr:ext cx="4867275" cy="3028950"/>
    <xdr:graphicFrame macro="">
      <xdr:nvGraphicFramePr>
        <xdr:cNvPr id="15" name="Chart 14" title="Chart">
          <a:extLst>
            <a:ext uri="{FF2B5EF4-FFF2-40B4-BE49-F238E27FC236}">
              <a16:creationId xmlns:a16="http://schemas.microsoft.com/office/drawing/2014/main" id="{4CC6B4E2-58D3-42D1-B362-CCC3517FF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5</xdr:col>
      <xdr:colOff>638175</xdr:colOff>
      <xdr:row>171</xdr:row>
      <xdr:rowOff>142875</xdr:rowOff>
    </xdr:from>
    <xdr:ext cx="5000625" cy="3028950"/>
    <xdr:graphicFrame macro="">
      <xdr:nvGraphicFramePr>
        <xdr:cNvPr id="16" name="Chart 15" title="Chart">
          <a:extLst>
            <a:ext uri="{FF2B5EF4-FFF2-40B4-BE49-F238E27FC236}">
              <a16:creationId xmlns:a16="http://schemas.microsoft.com/office/drawing/2014/main" id="{8A0A85A0-6479-487D-94F7-A5193CD71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0</xdr:col>
      <xdr:colOff>38100</xdr:colOff>
      <xdr:row>205</xdr:row>
      <xdr:rowOff>95250</xdr:rowOff>
    </xdr:from>
    <xdr:ext cx="4248150" cy="2619375"/>
    <xdr:graphicFrame macro="">
      <xdr:nvGraphicFramePr>
        <xdr:cNvPr id="17" name="Chart 16" title="Chart">
          <a:extLst>
            <a:ext uri="{FF2B5EF4-FFF2-40B4-BE49-F238E27FC236}">
              <a16:creationId xmlns:a16="http://schemas.microsoft.com/office/drawing/2014/main" id="{363900D1-611B-48FB-B4D1-D1DA3D408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4</xdr:col>
      <xdr:colOff>838200</xdr:colOff>
      <xdr:row>205</xdr:row>
      <xdr:rowOff>95250</xdr:rowOff>
    </xdr:from>
    <xdr:ext cx="4248150" cy="2619375"/>
    <xdr:graphicFrame macro="">
      <xdr:nvGraphicFramePr>
        <xdr:cNvPr id="18" name="Chart 17" title="Chart">
          <a:extLst>
            <a:ext uri="{FF2B5EF4-FFF2-40B4-BE49-F238E27FC236}">
              <a16:creationId xmlns:a16="http://schemas.microsoft.com/office/drawing/2014/main" id="{60CAF1B7-624E-416B-879D-807DCA778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  <xdr:oneCellAnchor>
    <xdr:from>
      <xdr:col>0</xdr:col>
      <xdr:colOff>295275</xdr:colOff>
      <xdr:row>4</xdr:row>
      <xdr:rowOff>114300</xdr:rowOff>
    </xdr:from>
    <xdr:ext cx="5219700" cy="2781300"/>
    <xdr:pic>
      <xdr:nvPicPr>
        <xdr:cNvPr id="19" name="image4.png" title="Image">
          <a:extLst>
            <a:ext uri="{FF2B5EF4-FFF2-40B4-BE49-F238E27FC236}">
              <a16:creationId xmlns:a16="http://schemas.microsoft.com/office/drawing/2014/main" id="{7AAF8FDA-62BD-4E10-9562-E587916CC48F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95275" y="906780"/>
          <a:ext cx="5219700" cy="27813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714375</xdr:colOff>
      <xdr:row>4</xdr:row>
      <xdr:rowOff>114300</xdr:rowOff>
    </xdr:from>
    <xdr:ext cx="4391025" cy="2781300"/>
    <xdr:pic>
      <xdr:nvPicPr>
        <xdr:cNvPr id="20" name="image1.png" title="Image">
          <a:extLst>
            <a:ext uri="{FF2B5EF4-FFF2-40B4-BE49-F238E27FC236}">
              <a16:creationId xmlns:a16="http://schemas.microsoft.com/office/drawing/2014/main" id="{00EB0F5E-C62E-40CF-976D-B93A5C863085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692015" y="906780"/>
          <a:ext cx="4391025" cy="27813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304800</xdr:colOff>
      <xdr:row>5</xdr:row>
      <xdr:rowOff>190500</xdr:rowOff>
    </xdr:from>
    <xdr:ext cx="4638675" cy="2514600"/>
    <xdr:pic>
      <xdr:nvPicPr>
        <xdr:cNvPr id="21" name="image2.png" title="Image">
          <a:extLst>
            <a:ext uri="{FF2B5EF4-FFF2-40B4-BE49-F238E27FC236}">
              <a16:creationId xmlns:a16="http://schemas.microsoft.com/office/drawing/2014/main" id="{BBDFE17A-1FBE-48E2-A051-73B1E0FF84A3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625840" y="1181100"/>
          <a:ext cx="4638675" cy="25146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21</xdr:row>
      <xdr:rowOff>57150</xdr:rowOff>
    </xdr:from>
    <xdr:ext cx="5572125" cy="2781300"/>
    <xdr:pic>
      <xdr:nvPicPr>
        <xdr:cNvPr id="22" name="image3.png" title="Image">
          <a:extLst>
            <a:ext uri="{FF2B5EF4-FFF2-40B4-BE49-F238E27FC236}">
              <a16:creationId xmlns:a16="http://schemas.microsoft.com/office/drawing/2014/main" id="{81D9EDCC-C237-4B97-995C-D4549A7574E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80975" y="4217670"/>
          <a:ext cx="5572125" cy="27813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ofi\Downloads\HouseholdAppliances%20(11).xlsx" TargetMode="External"/><Relationship Id="rId1" Type="http://schemas.openxmlformats.org/officeDocument/2006/relationships/externalLinkPath" Target="/Users/profi/Downloads/HouseholdAppliances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usehold Appliances"/>
      <sheetName val="TTKPRE"/>
      <sheetName val="HouseHold INDUSTRY"/>
      <sheetName val="Voltas"/>
    </sheetNames>
    <sheetDataSet>
      <sheetData sheetId="0">
        <row r="38">
          <cell r="C38" t="str">
            <v>MARKETCAP</v>
          </cell>
          <cell r="F38" t="str">
            <v>COMPANY</v>
          </cell>
          <cell r="G38" t="str">
            <v>SALES 2024</v>
          </cell>
          <cell r="K38" t="str">
            <v>PROFIT_24</v>
          </cell>
        </row>
        <row r="39">
          <cell r="B39" t="str">
            <v>VOLTAS</v>
          </cell>
          <cell r="C39">
            <v>59829.623480299997</v>
          </cell>
          <cell r="F39" t="str">
            <v>VOLTAS</v>
          </cell>
          <cell r="G39">
            <v>12481</v>
          </cell>
          <cell r="J39" t="str">
            <v>VOLTAS</v>
          </cell>
          <cell r="K39">
            <v>248</v>
          </cell>
        </row>
        <row r="40">
          <cell r="B40" t="str">
            <v>BLUESTARCO</v>
          </cell>
          <cell r="C40">
            <v>34543.2696</v>
          </cell>
          <cell r="F40" t="str">
            <v>BLUESTARCO</v>
          </cell>
          <cell r="G40">
            <v>9685</v>
          </cell>
          <cell r="J40" t="str">
            <v>BLUESTARCO</v>
          </cell>
          <cell r="K40">
            <v>414</v>
          </cell>
        </row>
        <row r="41">
          <cell r="B41" t="str">
            <v>CROMPTON</v>
          </cell>
          <cell r="C41">
            <v>30196.157727500002</v>
          </cell>
          <cell r="F41" t="str">
            <v>CROMPTON</v>
          </cell>
          <cell r="G41">
            <v>7313</v>
          </cell>
          <cell r="J41" t="str">
            <v>CROMPTON</v>
          </cell>
          <cell r="K41">
            <v>442</v>
          </cell>
        </row>
        <row r="42">
          <cell r="B42" t="str">
            <v>WHIRLPOOL</v>
          </cell>
          <cell r="C42">
            <v>27931.711110799999</v>
          </cell>
          <cell r="F42" t="str">
            <v>WHIRLPOOL</v>
          </cell>
          <cell r="G42">
            <v>6830</v>
          </cell>
          <cell r="J42" t="str">
            <v>WHIRLPOOL</v>
          </cell>
          <cell r="K42">
            <v>224</v>
          </cell>
        </row>
        <row r="43">
          <cell r="B43" t="str">
            <v>VGUARD</v>
          </cell>
          <cell r="C43">
            <v>20229.606449999999</v>
          </cell>
          <cell r="F43" t="str">
            <v>VGUARD</v>
          </cell>
          <cell r="G43">
            <v>4857</v>
          </cell>
          <cell r="J43" t="str">
            <v>VGUARD</v>
          </cell>
          <cell r="K43">
            <v>258</v>
          </cell>
        </row>
        <row r="44">
          <cell r="B44" t="str">
            <v>AMBER</v>
          </cell>
          <cell r="C44">
            <v>15091.71998</v>
          </cell>
          <cell r="F44" t="str">
            <v>AMBER</v>
          </cell>
          <cell r="G44">
            <v>6730</v>
          </cell>
          <cell r="J44" t="str">
            <v>AMBER</v>
          </cell>
          <cell r="K44">
            <v>140</v>
          </cell>
        </row>
        <row r="45">
          <cell r="B45" t="str">
            <v>TTKPRESTIG</v>
          </cell>
          <cell r="C45">
            <v>13031.0978</v>
          </cell>
          <cell r="F45" t="str">
            <v>TTKPRESTIG</v>
          </cell>
          <cell r="G45">
            <v>2678</v>
          </cell>
          <cell r="J45" t="str">
            <v>BAJAJELEC</v>
          </cell>
          <cell r="K45">
            <v>225</v>
          </cell>
        </row>
        <row r="46">
          <cell r="B46" t="str">
            <v>BAJAJELEC</v>
          </cell>
          <cell r="C46">
            <v>11301.466667500001</v>
          </cell>
          <cell r="F46" t="str">
            <v>BAJAJELEC</v>
          </cell>
          <cell r="G46">
            <v>4639</v>
          </cell>
          <cell r="J46" t="str">
            <v>TTKPRESTIG</v>
          </cell>
          <cell r="K46">
            <v>132</v>
          </cell>
        </row>
        <row r="47">
          <cell r="B47" t="str">
            <v>EUREKAFORBE</v>
          </cell>
          <cell r="C47">
            <v>9628.4922698999999</v>
          </cell>
          <cell r="F47" t="str">
            <v>EUREKAFORBE</v>
          </cell>
          <cell r="G47">
            <v>2189</v>
          </cell>
          <cell r="J47" t="str">
            <v>EUREKAFORBE</v>
          </cell>
          <cell r="K47">
            <v>92</v>
          </cell>
        </row>
        <row r="48">
          <cell r="B48" t="str">
            <v>Others_11</v>
          </cell>
          <cell r="C48">
            <v>30872</v>
          </cell>
          <cell r="F48" t="str">
            <v>IFBIND</v>
          </cell>
          <cell r="G48">
            <v>4437</v>
          </cell>
          <cell r="J48" t="str">
            <v>IFBIND</v>
          </cell>
          <cell r="K48">
            <v>50</v>
          </cell>
        </row>
        <row r="49">
          <cell r="F49" t="str">
            <v>JCHAC</v>
          </cell>
          <cell r="G49">
            <v>1918</v>
          </cell>
          <cell r="J49" t="str">
            <v>ORIENTELEC</v>
          </cell>
          <cell r="K49">
            <v>-75</v>
          </cell>
        </row>
        <row r="50">
          <cell r="F50" t="str">
            <v>ORIENTELEC</v>
          </cell>
          <cell r="G50">
            <v>2812</v>
          </cell>
          <cell r="J50" t="str">
            <v>JCHAC</v>
          </cell>
          <cell r="K50">
            <v>75</v>
          </cell>
        </row>
        <row r="71">
          <cell r="E71" t="str">
            <v>SALES_5Y_GR</v>
          </cell>
          <cell r="F71" t="str">
            <v>SALES_LY_GR</v>
          </cell>
          <cell r="G71" t="str">
            <v>SALES_Q1_GR</v>
          </cell>
        </row>
        <row r="72">
          <cell r="B72" t="str">
            <v>VOLTAS</v>
          </cell>
          <cell r="E72">
            <v>0.13272819726262419</v>
          </cell>
          <cell r="F72">
            <v>0.32790722417278428</v>
          </cell>
          <cell r="G72">
            <v>0.46500000000000002</v>
          </cell>
        </row>
        <row r="73">
          <cell r="B73" t="str">
            <v>BLUESTARCO</v>
          </cell>
          <cell r="E73">
            <v>0.13097545916799369</v>
          </cell>
          <cell r="F73">
            <v>0.21411558229910987</v>
          </cell>
          <cell r="G73">
            <v>0.28710000000000002</v>
          </cell>
        </row>
        <row r="74">
          <cell r="B74" t="str">
            <v>CROMPTON</v>
          </cell>
          <cell r="E74">
            <v>0.10301876830180134</v>
          </cell>
          <cell r="F74">
            <v>0.25890859011878131</v>
          </cell>
          <cell r="G74">
            <v>0.1391</v>
          </cell>
        </row>
        <row r="75">
          <cell r="B75" t="str">
            <v>WHIRLPOOL</v>
          </cell>
          <cell r="E75">
            <v>4.8222933402863877E-2</v>
          </cell>
          <cell r="F75">
            <v>5.1508462104488117E-3</v>
          </cell>
          <cell r="G75">
            <v>0.2397</v>
          </cell>
        </row>
        <row r="76">
          <cell r="B76" t="str">
            <v>VGUARD</v>
          </cell>
          <cell r="E76">
            <v>0.13365165490728304</v>
          </cell>
          <cell r="F76">
            <v>0.17688393506178812</v>
          </cell>
          <cell r="G76">
            <v>0.21659999999999999</v>
          </cell>
        </row>
        <row r="77">
          <cell r="B77" t="str">
            <v>AMBER</v>
          </cell>
          <cell r="E77">
            <v>0.25196892467078458</v>
          </cell>
          <cell r="F77">
            <v>-2.8439439872960826E-2</v>
          </cell>
          <cell r="G77">
            <v>0.41410000000000002</v>
          </cell>
        </row>
        <row r="78">
          <cell r="B78" t="str">
            <v>TTKPRESTIG</v>
          </cell>
          <cell r="E78">
            <v>4.9229375598962788E-2</v>
          </cell>
          <cell r="F78">
            <v>-3.5649981994958613E-2</v>
          </cell>
          <cell r="G78">
            <v>1.8E-3</v>
          </cell>
        </row>
        <row r="79">
          <cell r="B79" t="str">
            <v>BAJAJELEC</v>
          </cell>
          <cell r="E79">
            <v>-6.9658890383399452E-2</v>
          </cell>
          <cell r="F79">
            <v>-0.14551482777675451</v>
          </cell>
          <cell r="G79">
            <v>3.8600000000000002E-2</v>
          </cell>
        </row>
        <row r="80">
          <cell r="B80" t="str">
            <v>EUREKAFORBE</v>
          </cell>
          <cell r="F80">
            <v>5.0383877159309032E-2</v>
          </cell>
          <cell r="G80">
            <v>9.4E-2</v>
          </cell>
        </row>
        <row r="81">
          <cell r="B81" t="str">
            <v>IFBIND</v>
          </cell>
          <cell r="E81">
            <v>0.10783279735903029</v>
          </cell>
          <cell r="F81">
            <v>5.7939914163090078E-2</v>
          </cell>
          <cell r="G81">
            <v>0.17299999999999999</v>
          </cell>
        </row>
        <row r="82">
          <cell r="B82" t="str">
            <v>JCHAC</v>
          </cell>
          <cell r="E82">
            <v>-3.0648360318455192E-2</v>
          </cell>
          <cell r="F82">
            <v>-0.19546979865771807</v>
          </cell>
        </row>
        <row r="83">
          <cell r="B83" t="str">
            <v>ORIENTELEC</v>
          </cell>
          <cell r="E83">
            <v>8.5710109305209947E-2</v>
          </cell>
          <cell r="F83">
            <v>0.11190193752471322</v>
          </cell>
          <cell r="G83">
            <v>6.9800000000000001E-2</v>
          </cell>
        </row>
        <row r="85">
          <cell r="B85" t="str">
            <v>INDUSTRY</v>
          </cell>
          <cell r="E85">
            <v>9.5775747701204672E-2</v>
          </cell>
          <cell r="F85">
            <v>0.10157038606013469</v>
          </cell>
          <cell r="G85">
            <v>0.3029313428193765</v>
          </cell>
        </row>
        <row r="89">
          <cell r="C89" t="str">
            <v>Q1_FY25_MARGIN</v>
          </cell>
          <cell r="D89" t="str">
            <v>Q1_FY24_MARGIN</v>
          </cell>
          <cell r="E89" t="str">
            <v>MARGIN_24</v>
          </cell>
          <cell r="F89" t="str">
            <v>MARGIN_23</v>
          </cell>
          <cell r="G89" t="str">
            <v>MARGIN_19</v>
          </cell>
          <cell r="H89" t="str">
            <v>MARGIN_14</v>
          </cell>
          <cell r="I89" t="str">
            <v>MARGIN_09</v>
          </cell>
        </row>
        <row r="90">
          <cell r="B90" t="str">
            <v>VOLTAS</v>
          </cell>
          <cell r="C90">
            <v>6.8099999999999994E-2</v>
          </cell>
          <cell r="D90">
            <v>3.8399999999999997E-2</v>
          </cell>
          <cell r="E90">
            <v>1.9870202708116336E-2</v>
          </cell>
          <cell r="F90">
            <v>1.4469624428130653E-2</v>
          </cell>
          <cell r="G90">
            <v>6.9326161661437319E-2</v>
          </cell>
          <cell r="H90">
            <v>4.6524876566654008E-2</v>
          </cell>
          <cell r="I90">
            <v>5.8728323699421964E-2</v>
          </cell>
        </row>
        <row r="91">
          <cell r="B91" t="str">
            <v>BLUESTARCO</v>
          </cell>
          <cell r="C91">
            <v>5.8999999999999997E-2</v>
          </cell>
          <cell r="D91">
            <v>3.73E-2</v>
          </cell>
          <cell r="E91">
            <v>4.2746515229736708E-2</v>
          </cell>
          <cell r="F91">
            <v>5.0144164472859472E-2</v>
          </cell>
          <cell r="G91">
            <v>3.6301108139090564E-2</v>
          </cell>
          <cell r="H91">
            <v>2.6424159231297185E-2</v>
          </cell>
          <cell r="I91">
            <v>7.1343638525564801E-2</v>
          </cell>
        </row>
        <row r="92">
          <cell r="B92" t="str">
            <v>CROMPTON</v>
          </cell>
          <cell r="C92">
            <v>7.1099999999999997E-2</v>
          </cell>
          <cell r="D92">
            <v>6.5000000000000002E-2</v>
          </cell>
          <cell r="E92">
            <v>6.0440311773553947E-2</v>
          </cell>
          <cell r="F92">
            <v>8.1769667756928899E-2</v>
          </cell>
          <cell r="G92">
            <v>8.9528912703728508E-2</v>
          </cell>
        </row>
        <row r="93">
          <cell r="B93" t="str">
            <v>WHIRLPOOL</v>
          </cell>
          <cell r="C93">
            <v>5.62E-2</v>
          </cell>
          <cell r="D93">
            <v>3.2199999999999999E-2</v>
          </cell>
          <cell r="E93">
            <v>3.2796486090775991E-2</v>
          </cell>
          <cell r="F93">
            <v>3.2818248712288445E-2</v>
          </cell>
          <cell r="G93">
            <v>7.5782842319807295E-2</v>
          </cell>
          <cell r="H93">
            <v>4.3048694424841216E-2</v>
          </cell>
          <cell r="I93">
            <v>9.113001215066828E-3</v>
          </cell>
        </row>
        <row r="94">
          <cell r="B94" t="str">
            <v>VGUARD</v>
          </cell>
          <cell r="C94">
            <v>6.7000000000000004E-2</v>
          </cell>
          <cell r="D94">
            <v>5.2699999999999997E-2</v>
          </cell>
          <cell r="E94">
            <v>5.3119209388511425E-2</v>
          </cell>
          <cell r="F94">
            <v>4.5795977707778046E-2</v>
          </cell>
          <cell r="G94">
            <v>6.4764841942945253E-2</v>
          </cell>
          <cell r="H94">
            <v>4.6143704680290047E-2</v>
          </cell>
          <cell r="I94">
            <v>5.3797468354430382E-2</v>
          </cell>
        </row>
        <row r="95">
          <cell r="B95" t="str">
            <v>AMBER</v>
          </cell>
          <cell r="C95">
            <v>4.0899999999999999E-2</v>
          </cell>
          <cell r="D95">
            <v>2.75E-2</v>
          </cell>
          <cell r="E95">
            <v>2.0802377414561663E-2</v>
          </cell>
          <cell r="F95">
            <v>2.3531110148693517E-2</v>
          </cell>
          <cell r="G95">
            <v>4.2047531992687383E-2</v>
          </cell>
        </row>
        <row r="96">
          <cell r="B96" t="str">
            <v>TTKPRESTIG</v>
          </cell>
          <cell r="C96">
            <v>8.5099999999999995E-2</v>
          </cell>
          <cell r="D96">
            <v>9.1800000000000007E-2</v>
          </cell>
          <cell r="E96">
            <v>8.4017923823749063E-2</v>
          </cell>
          <cell r="F96">
            <v>9.1825711199135754E-2</v>
          </cell>
          <cell r="G96">
            <v>9.1168091168091173E-2</v>
          </cell>
          <cell r="H96">
            <v>8.5106382978723402E-2</v>
          </cell>
          <cell r="I96">
            <v>5.4862842892768077E-2</v>
          </cell>
        </row>
        <row r="106">
          <cell r="C106" t="str">
            <v>DEBT2EQUITY</v>
          </cell>
          <cell r="F106" t="str">
            <v>COMPANY</v>
          </cell>
          <cell r="G106" t="str">
            <v>ICR</v>
          </cell>
          <cell r="K106" t="str">
            <v>DEBTRATIO</v>
          </cell>
        </row>
        <row r="107">
          <cell r="B107" t="str">
            <v>VOLTAS</v>
          </cell>
          <cell r="C107">
            <v>0.12250859106529209</v>
          </cell>
          <cell r="F107" t="str">
            <v>VOLTAS</v>
          </cell>
          <cell r="G107">
            <v>1.4762516046213094</v>
          </cell>
          <cell r="J107" t="str">
            <v>VOLTAS</v>
          </cell>
          <cell r="K107">
            <v>1.0621993127147766</v>
          </cell>
        </row>
        <row r="108">
          <cell r="B108" t="str">
            <v>BLUESTARCO</v>
          </cell>
          <cell r="C108">
            <v>6.4033742331288349E-2</v>
          </cell>
          <cell r="F108" t="str">
            <v>BLUESTARCO</v>
          </cell>
          <cell r="G108">
            <v>9.7758620689655178</v>
          </cell>
          <cell r="J108" t="str">
            <v>BLUESTARCO</v>
          </cell>
          <cell r="K108">
            <v>1.5356595092024541</v>
          </cell>
        </row>
        <row r="109">
          <cell r="B109" t="str">
            <v>CROMPTON</v>
          </cell>
          <cell r="C109">
            <v>0.19966666666666666</v>
          </cell>
          <cell r="F109" t="str">
            <v>CROMPTON</v>
          </cell>
          <cell r="G109">
            <v>7.4050632911392409</v>
          </cell>
          <cell r="J109" t="str">
            <v>CROMPTON</v>
          </cell>
          <cell r="K109">
            <v>0.87766666666666671</v>
          </cell>
        </row>
        <row r="110">
          <cell r="B110" t="str">
            <v>WHIRLPOOL</v>
          </cell>
          <cell r="C110">
            <v>0</v>
          </cell>
          <cell r="F110" t="str">
            <v>WHIRLPOOL</v>
          </cell>
          <cell r="G110">
            <v>6.4</v>
          </cell>
          <cell r="J110" t="str">
            <v>WHIRLPOOL</v>
          </cell>
          <cell r="K110">
            <v>0.62239089184060725</v>
          </cell>
        </row>
        <row r="111">
          <cell r="B111" t="str">
            <v>VGUARD</v>
          </cell>
          <cell r="C111">
            <v>0.16041896361631752</v>
          </cell>
          <cell r="F111" t="str">
            <v>VGUARD</v>
          </cell>
          <cell r="G111">
            <v>8.6750000000000007</v>
          </cell>
          <cell r="J111" t="str">
            <v>VGUARD</v>
          </cell>
          <cell r="K111">
            <v>0.74255788313120175</v>
          </cell>
        </row>
        <row r="112">
          <cell r="B112" t="str">
            <v>AMBER</v>
          </cell>
          <cell r="C112">
            <v>0.69443099273607745</v>
          </cell>
          <cell r="F112" t="str">
            <v>AMBER</v>
          </cell>
          <cell r="G112">
            <v>1.8323353293413174</v>
          </cell>
          <cell r="J112" t="str">
            <v>AMBER</v>
          </cell>
          <cell r="K112">
            <v>2.168038740920097</v>
          </cell>
        </row>
        <row r="113">
          <cell r="B113" t="str">
            <v>BAJAJELEC</v>
          </cell>
          <cell r="C113">
            <v>2.2509578544061302E-2</v>
          </cell>
          <cell r="F113" t="str">
            <v>BAJAJELEC</v>
          </cell>
          <cell r="G113">
            <v>18.384615384615383</v>
          </cell>
          <cell r="J113" t="str">
            <v>BAJAJELEC</v>
          </cell>
          <cell r="K113">
            <v>0.31369731800766282</v>
          </cell>
        </row>
        <row r="114">
          <cell r="B114" t="str">
            <v>TTKPRESTIG</v>
          </cell>
          <cell r="C114">
            <v>0.15949554896142434</v>
          </cell>
          <cell r="F114" t="str">
            <v>TTKPRESTIG</v>
          </cell>
          <cell r="G114">
            <v>5.1269841269841274</v>
          </cell>
          <cell r="J114" t="str">
            <v>TTKPRESTIG</v>
          </cell>
          <cell r="K114">
            <v>1.8093471810089021</v>
          </cell>
        </row>
        <row r="115">
          <cell r="B115" t="str">
            <v>EUREKAFORBE</v>
          </cell>
          <cell r="C115">
            <v>1.4692378328741965E-2</v>
          </cell>
          <cell r="F115" t="str">
            <v>EUREKAFORBE</v>
          </cell>
          <cell r="G115">
            <v>20.2</v>
          </cell>
          <cell r="J115" t="str">
            <v>EUREKAFORBE</v>
          </cell>
          <cell r="K115">
            <v>0.4428374655647383</v>
          </cell>
        </row>
        <row r="116">
          <cell r="B116" t="str">
            <v>IFBIND</v>
          </cell>
          <cell r="C116">
            <v>9.7629009762900981E-2</v>
          </cell>
          <cell r="F116" t="str">
            <v>IFBIND</v>
          </cell>
          <cell r="G116">
            <v>3.2857142857142856</v>
          </cell>
          <cell r="J116" t="str">
            <v>IFBIND</v>
          </cell>
          <cell r="K116">
            <v>2.0390516039051603</v>
          </cell>
        </row>
        <row r="117">
          <cell r="B117" t="str">
            <v>ORIENTELEC</v>
          </cell>
          <cell r="C117">
            <v>0.08</v>
          </cell>
          <cell r="F117" t="str">
            <v>ORIENTELEC</v>
          </cell>
          <cell r="G117">
            <v>-4.125</v>
          </cell>
          <cell r="J117" t="str">
            <v>ORIENTELEC</v>
          </cell>
          <cell r="K117">
            <v>1.8453608247422681</v>
          </cell>
        </row>
        <row r="118">
          <cell r="B118" t="str">
            <v>JCHAC</v>
          </cell>
          <cell r="C118">
            <v>3.1347962382445138E-2</v>
          </cell>
          <cell r="F118" t="str">
            <v>JCHAC</v>
          </cell>
          <cell r="G118">
            <v>3.6956521739130435</v>
          </cell>
          <cell r="J118" t="str">
            <v>JCHAC</v>
          </cell>
          <cell r="K118">
            <v>1.2727272727272727</v>
          </cell>
        </row>
        <row r="119">
          <cell r="J119" t="str">
            <v>CARYSIL</v>
          </cell>
          <cell r="K119">
            <v>0.55838926174496639</v>
          </cell>
        </row>
        <row r="138">
          <cell r="C138" t="str">
            <v>CUR. RATIO</v>
          </cell>
          <cell r="F138" t="str">
            <v>TR.DAYS</v>
          </cell>
        </row>
        <row r="139">
          <cell r="B139" t="str">
            <v>VOLTAS</v>
          </cell>
          <cell r="C139">
            <v>1.4595278473836246</v>
          </cell>
          <cell r="E139" t="str">
            <v>VOLTAS</v>
          </cell>
          <cell r="F139">
            <v>58.738631769337161</v>
          </cell>
        </row>
        <row r="140">
          <cell r="B140" t="str">
            <v>BLUESTARCO</v>
          </cell>
          <cell r="C140">
            <v>1.3615064810873532</v>
          </cell>
          <cell r="E140" t="str">
            <v>BLUESTARCO</v>
          </cell>
          <cell r="F140">
            <v>56.952262755421842</v>
          </cell>
        </row>
        <row r="141">
          <cell r="B141" t="str">
            <v>CROMPTON</v>
          </cell>
          <cell r="C141">
            <v>1.1496140262238699</v>
          </cell>
          <cell r="E141" t="str">
            <v>CROMPTON</v>
          </cell>
          <cell r="F141">
            <v>42.623127904975043</v>
          </cell>
        </row>
        <row r="142">
          <cell r="B142" t="str">
            <v>WHIRLPOOL</v>
          </cell>
          <cell r="C142">
            <v>2.5179224579370887</v>
          </cell>
          <cell r="E142" t="str">
            <v>WHIRLPOOL</v>
          </cell>
          <cell r="F142">
            <v>10.796909492273731</v>
          </cell>
        </row>
        <row r="143">
          <cell r="B143" t="str">
            <v>VGUARD</v>
          </cell>
          <cell r="C143">
            <v>1.7624555895232588</v>
          </cell>
          <cell r="E143" t="str">
            <v>VGUARD</v>
          </cell>
          <cell r="F143">
            <v>40.306542282529684</v>
          </cell>
        </row>
        <row r="144">
          <cell r="B144" t="str">
            <v>AMBER</v>
          </cell>
          <cell r="C144">
            <v>1.0830248545742993</v>
          </cell>
          <cell r="E144" t="str">
            <v>AMBER</v>
          </cell>
          <cell r="F144">
            <v>36.937346614696118</v>
          </cell>
        </row>
        <row r="145">
          <cell r="B145" t="str">
            <v>BAJAJELEC</v>
          </cell>
          <cell r="C145">
            <v>1.1361161524500907</v>
          </cell>
          <cell r="E145" t="str">
            <v>BAJAJELEC</v>
          </cell>
          <cell r="F145">
            <v>1.4790937557561246</v>
          </cell>
        </row>
        <row r="146">
          <cell r="B146" t="str">
            <v>TTKPRESTIG</v>
          </cell>
          <cell r="C146">
            <v>3.2142857142857144</v>
          </cell>
          <cell r="E146" t="str">
            <v>TTKPRESTIG</v>
          </cell>
          <cell r="F146">
            <v>45.871444004321205</v>
          </cell>
        </row>
        <row r="147">
          <cell r="B147" t="str">
            <v>EUREKAFORBE</v>
          </cell>
          <cell r="C147">
            <v>0.58273381294964033</v>
          </cell>
          <cell r="E147" t="str">
            <v>EUREKAFORBE</v>
          </cell>
          <cell r="F147">
            <v>28.548464491362765</v>
          </cell>
        </row>
        <row r="148">
          <cell r="B148" t="str">
            <v>IFBIND</v>
          </cell>
          <cell r="C148">
            <v>1.0998005436793259</v>
          </cell>
          <cell r="E148" t="str">
            <v>IFBIND</v>
          </cell>
          <cell r="F148">
            <v>36.333774439675729</v>
          </cell>
        </row>
        <row r="149">
          <cell r="B149" t="str">
            <v>ORIENTELEC</v>
          </cell>
          <cell r="C149">
            <v>1.4731115758989624</v>
          </cell>
          <cell r="E149" t="str">
            <v>ORIENTELEC</v>
          </cell>
          <cell r="F149">
            <v>44.573586397785682</v>
          </cell>
        </row>
        <row r="150">
          <cell r="B150" t="str">
            <v>JCHAC</v>
          </cell>
          <cell r="C150">
            <v>1.3228962818003913</v>
          </cell>
          <cell r="E150" t="str">
            <v>JCHAC</v>
          </cell>
          <cell r="F150">
            <v>23.884228187919465</v>
          </cell>
        </row>
        <row r="151">
          <cell r="B151" t="str">
            <v>CARYSIL</v>
          </cell>
          <cell r="C151">
            <v>1.1489361702127661</v>
          </cell>
          <cell r="E151" t="str">
            <v>CARYSIL</v>
          </cell>
          <cell r="F151">
            <v>77.554806070826302</v>
          </cell>
        </row>
        <row r="156">
          <cell r="B156" t="str">
            <v>COMPANY</v>
          </cell>
          <cell r="C156" t="str">
            <v>ROE</v>
          </cell>
          <cell r="E156" t="str">
            <v>COMPANY</v>
          </cell>
          <cell r="F156" t="str">
            <v>ROA</v>
          </cell>
          <cell r="P156" t="str">
            <v>YIELD</v>
          </cell>
        </row>
        <row r="157">
          <cell r="B157" t="str">
            <v>VOLTAS</v>
          </cell>
          <cell r="C157">
            <v>4.2611683848797252E-2</v>
          </cell>
          <cell r="E157" t="str">
            <v>VOLTAS</v>
          </cell>
          <cell r="F157">
            <v>2.0604852110335661E-2</v>
          </cell>
          <cell r="O157" t="str">
            <v>VOLTAS</v>
          </cell>
          <cell r="P157">
            <v>7.7127659574468084E-3</v>
          </cell>
        </row>
        <row r="158">
          <cell r="B158" t="str">
            <v>BLUESTARCO</v>
          </cell>
          <cell r="C158">
            <v>0.15874233128834356</v>
          </cell>
          <cell r="E158" t="str">
            <v>BLUESTARCO</v>
          </cell>
          <cell r="F158">
            <v>6.2556663644605617E-2</v>
          </cell>
          <cell r="O158" t="str">
            <v>BLUESTARCO</v>
          </cell>
          <cell r="P158">
            <v>1.8920169687620517E-2</v>
          </cell>
        </row>
        <row r="159">
          <cell r="B159" t="str">
            <v>CROMPTON</v>
          </cell>
          <cell r="C159">
            <v>0.14733333333333334</v>
          </cell>
          <cell r="E159" t="str">
            <v>CROMPTON</v>
          </cell>
          <cell r="F159">
            <v>7.2673462676751066E-2</v>
          </cell>
          <cell r="O159" t="str">
            <v>CROMPTON</v>
          </cell>
          <cell r="P159">
            <v>2.2404092071611256E-2</v>
          </cell>
        </row>
        <row r="160">
          <cell r="B160" t="str">
            <v>WHIRLPOOL</v>
          </cell>
          <cell r="C160">
            <v>6.0721062618595827E-2</v>
          </cell>
          <cell r="E160" t="str">
            <v>WHIRLPOOL</v>
          </cell>
          <cell r="F160">
            <v>3.6482084690553744E-2</v>
          </cell>
          <cell r="O160" t="str">
            <v>WHIRLPOOL</v>
          </cell>
          <cell r="P160">
            <v>1.223320778405524E-2</v>
          </cell>
        </row>
        <row r="161">
          <cell r="B161" t="str">
            <v>VGUARD</v>
          </cell>
          <cell r="C161">
            <v>0.14222712238147739</v>
          </cell>
          <cell r="E161" t="str">
            <v>VGUARD</v>
          </cell>
          <cell r="F161">
            <v>8.1619740588421391E-2</v>
          </cell>
          <cell r="O161" t="str">
            <v>VGUARD</v>
          </cell>
          <cell r="P161">
            <v>1.7256922086284609E-2</v>
          </cell>
        </row>
        <row r="162">
          <cell r="B162" t="str">
            <v>AMBER</v>
          </cell>
          <cell r="C162">
            <v>6.7796610169491525E-2</v>
          </cell>
          <cell r="E162" t="str">
            <v>AMBER</v>
          </cell>
          <cell r="F162">
            <v>2.1234642802972849E-2</v>
          </cell>
          <cell r="O162" t="str">
            <v>AMBER</v>
          </cell>
          <cell r="P162">
            <v>1.0826488706365503E-2</v>
          </cell>
        </row>
        <row r="163">
          <cell r="B163" t="str">
            <v>BAJAJELEC</v>
          </cell>
          <cell r="C163">
            <v>0.10775862068965517</v>
          </cell>
          <cell r="E163" t="str">
            <v>BAJAJELEC</v>
          </cell>
          <cell r="F163">
            <v>8.2026977761574915E-2</v>
          </cell>
          <cell r="O163" t="str">
            <v>BAJAJELEC</v>
          </cell>
          <cell r="P163">
            <v>1.3232664414861912E-2</v>
          </cell>
        </row>
        <row r="164">
          <cell r="B164" t="str">
            <v>TTKPRESTIG</v>
          </cell>
          <cell r="C164">
            <v>9.7922848664688422E-2</v>
          </cell>
          <cell r="E164" t="str">
            <v>TTKPRESTIG</v>
          </cell>
          <cell r="F164">
            <v>3.4856086612094009E-2</v>
          </cell>
          <cell r="O164" t="str">
            <v>TTKPRESTIG</v>
          </cell>
          <cell r="P164">
            <v>2.1934884954578609E-2</v>
          </cell>
        </row>
        <row r="165">
          <cell r="B165" t="str">
            <v>EUREKAFORBE</v>
          </cell>
          <cell r="C165">
            <v>2.1120293847566574E-2</v>
          </cell>
          <cell r="E165" t="str">
            <v>EUREKAFORBE</v>
          </cell>
          <cell r="F165">
            <v>1.5101772816808929E-2</v>
          </cell>
          <cell r="O165" t="str">
            <v>EUREKAFORBE</v>
          </cell>
          <cell r="P165">
            <v>1.0243751928417156E-2</v>
          </cell>
        </row>
        <row r="166">
          <cell r="B166" t="str">
            <v>IFBIND</v>
          </cell>
          <cell r="C166">
            <v>6.9735006973500699E-2</v>
          </cell>
          <cell r="E166" t="str">
            <v>IFBIND</v>
          </cell>
          <cell r="F166">
            <v>2.2946305644791189E-2</v>
          </cell>
          <cell r="O166" t="str">
            <v>IFBIND</v>
          </cell>
          <cell r="P166">
            <v>5.0759219088937092E-3</v>
          </cell>
        </row>
        <row r="167">
          <cell r="B167" t="str">
            <v>ORIENTELEC</v>
          </cell>
          <cell r="C167">
            <v>-0.12886597938144329</v>
          </cell>
          <cell r="E167" t="str">
            <v>ORIENTELEC</v>
          </cell>
          <cell r="F167">
            <v>-4.5262522631261314E-2</v>
          </cell>
          <cell r="O167" t="str">
            <v>ORIENTELEC</v>
          </cell>
          <cell r="P167">
            <v>1.9414703783012133E-2</v>
          </cell>
        </row>
        <row r="168">
          <cell r="B168" t="str">
            <v>JCHAC</v>
          </cell>
          <cell r="C168">
            <v>0.11755485893416928</v>
          </cell>
          <cell r="E168" t="str">
            <v>JCHAC</v>
          </cell>
          <cell r="F168">
            <v>5.1688490696071676E-2</v>
          </cell>
          <cell r="O168" t="str">
            <v>JCHAC</v>
          </cell>
          <cell r="P168">
            <v>-4.0368816640447468E-2</v>
          </cell>
        </row>
        <row r="169">
          <cell r="B169" t="str">
            <v>CARYSIL</v>
          </cell>
          <cell r="C169">
            <v>0.1580547112462006</v>
          </cell>
          <cell r="E169" t="str">
            <v>CARYSIL</v>
          </cell>
          <cell r="F169">
            <v>6.9798657718120799E-2</v>
          </cell>
          <cell r="O169" t="str">
            <v>CARYSIL</v>
          </cell>
          <cell r="P169">
            <v>2.2685827552031714E-2</v>
          </cell>
        </row>
        <row r="190">
          <cell r="C190" t="str">
            <v>TRAIL_PE</v>
          </cell>
          <cell r="F190" t="str">
            <v>PBV</v>
          </cell>
        </row>
        <row r="191">
          <cell r="B191" t="str">
            <v>VOLTAS</v>
          </cell>
          <cell r="C191">
            <v>129.10507246376812</v>
          </cell>
          <cell r="E191" t="str">
            <v>VOLTAS</v>
          </cell>
          <cell r="F191">
            <v>10.102139175257731</v>
          </cell>
        </row>
        <row r="192">
          <cell r="B192" t="str">
            <v>BLUESTARCO</v>
          </cell>
          <cell r="C192">
            <v>69.824775876120626</v>
          </cell>
          <cell r="E192" t="str">
            <v>BLUESTARCO</v>
          </cell>
          <cell r="F192">
            <v>13.468845858895705</v>
          </cell>
        </row>
        <row r="193">
          <cell r="B193" t="str">
            <v>CROMPTON</v>
          </cell>
          <cell r="C193">
            <v>63.462059620596207</v>
          </cell>
          <cell r="E193" t="str">
            <v>CROMPTON</v>
          </cell>
          <cell r="F193">
            <v>10.069525000000001</v>
          </cell>
        </row>
        <row r="194">
          <cell r="B194" t="str">
            <v>WHIRLPOOL</v>
          </cell>
          <cell r="C194">
            <v>97.65735815602838</v>
          </cell>
          <cell r="E194" t="str">
            <v>WHIRLPOOL</v>
          </cell>
          <cell r="F194">
            <v>7.5847126592572511</v>
          </cell>
        </row>
        <row r="195">
          <cell r="B195" t="str">
            <v>VGUARD</v>
          </cell>
          <cell r="C195">
            <v>70.24024024024024</v>
          </cell>
          <cell r="E195" t="str">
            <v>VGUARD</v>
          </cell>
          <cell r="F195">
            <v>11.088974641675854</v>
          </cell>
        </row>
        <row r="196">
          <cell r="B196" t="str">
            <v>AMBER</v>
          </cell>
          <cell r="C196">
            <v>94.914213090446935</v>
          </cell>
          <cell r="E196" t="str">
            <v>AMBER</v>
          </cell>
          <cell r="F196">
            <v>7.377753026634382</v>
          </cell>
        </row>
        <row r="197">
          <cell r="B197" t="str">
            <v>BAJAJELEC</v>
          </cell>
          <cell r="C197">
            <v>58.041172800998126</v>
          </cell>
          <cell r="E197" t="str">
            <v>BAJAJELEC</v>
          </cell>
          <cell r="F197">
            <v>6.2383141762452103</v>
          </cell>
        </row>
        <row r="198">
          <cell r="B198" t="str">
            <v>TTKPRESTIG</v>
          </cell>
          <cell r="C198">
            <v>92.273156899810957</v>
          </cell>
          <cell r="E198" t="str">
            <v>TTKPRESTIG</v>
          </cell>
          <cell r="F198">
            <v>8.3285422848664687</v>
          </cell>
        </row>
        <row r="199">
          <cell r="B199" t="str">
            <v>EUREKAFORBE</v>
          </cell>
          <cell r="C199">
            <v>92.362428842504755</v>
          </cell>
          <cell r="E199" t="str">
            <v>EUREKAFORBE</v>
          </cell>
          <cell r="F199">
            <v>2.156628787878788</v>
          </cell>
        </row>
        <row r="200">
          <cell r="B200" t="str">
            <v>IFBIND</v>
          </cell>
          <cell r="C200">
            <v>88.34020146520146</v>
          </cell>
          <cell r="E200" t="str">
            <v>IFBIND</v>
          </cell>
          <cell r="F200">
            <v>11.03254532775453</v>
          </cell>
        </row>
        <row r="201">
          <cell r="B201" t="str">
            <v>ORIENTELEC</v>
          </cell>
          <cell r="C201">
            <v>3891</v>
          </cell>
          <cell r="E201" t="str">
            <v>ORIENTELEC</v>
          </cell>
          <cell r="F201">
            <v>9.9280670103092792</v>
          </cell>
        </row>
        <row r="202">
          <cell r="B202" t="str">
            <v>JCHAC</v>
          </cell>
          <cell r="C202">
            <v>79.695121951219505</v>
          </cell>
          <cell r="E202" t="str">
            <v>JCHAC</v>
          </cell>
          <cell r="F202">
            <v>8.6040752351097183</v>
          </cell>
        </row>
        <row r="203">
          <cell r="B203" t="str">
            <v>CARYSIL</v>
          </cell>
          <cell r="C203">
            <v>44.08038444735692</v>
          </cell>
          <cell r="E203" t="str">
            <v>CARYSIL</v>
          </cell>
          <cell r="F203">
            <v>7.5523952095808387</v>
          </cell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41C0B1-620A-4060-99B3-F3E39D25F6D0}" name="Table_1" displayName="Table_1" ref="G39:G51" headerRowCount="0">
  <tableColumns count="1">
    <tableColumn id="1" xr3:uid="{6C76767E-4D62-4292-9027-39A801CB435F}" name="Column1"/>
  </tableColumns>
  <tableStyleInfo name="Household Applianc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61502F-CC79-4F7B-A087-8C80FC3F70DB}" name="Table_2" displayName="Table_2" ref="G107:G119" headerRowCount="0">
  <tableColumns count="1">
    <tableColumn id="1" xr3:uid="{5201241B-36F3-4A63-952F-8DAB1D463A71}" name="Column1"/>
  </tableColumns>
  <tableStyleInfo name="Household Appliance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8A7EB02-ECCC-4089-AAF3-A320A07C50C6}" name="Table_3" displayName="Table_3" ref="F157:F169" headerRowCount="0">
  <tableColumns count="1">
    <tableColumn id="1" xr3:uid="{30D6AA66-DAB7-414A-9C58-2741D763A749}" name="Column1"/>
  </tableColumns>
  <tableStyleInfo name="Household Appliances-style 3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8BE3-672E-4939-A8C7-B9F9222FF0F7}">
  <sheetPr>
    <outlinePr summaryBelow="0" summaryRight="0"/>
  </sheetPr>
  <dimension ref="A2:AO269"/>
  <sheetViews>
    <sheetView tabSelected="1" workbookViewId="0"/>
  </sheetViews>
  <sheetFormatPr defaultColWidth="12.6640625" defaultRowHeight="15.75" customHeight="1" x14ac:dyDescent="0.3"/>
  <cols>
    <col min="1" max="1" width="7.33203125" customWidth="1"/>
    <col min="28" max="28" width="15" customWidth="1"/>
    <col min="29" max="29" width="13.6640625" customWidth="1"/>
    <col min="30" max="30" width="16.33203125" customWidth="1"/>
    <col min="31" max="31" width="16.21875" customWidth="1"/>
    <col min="32" max="32" width="15.33203125" customWidth="1"/>
  </cols>
  <sheetData>
    <row r="2" spans="2:22" ht="13.8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22" ht="15.7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6" spans="2:22" ht="13.8" x14ac:dyDescent="0.3">
      <c r="L6" s="3" t="s">
        <v>1</v>
      </c>
    </row>
    <row r="8" spans="2:22" ht="13.8" x14ac:dyDescent="0.3">
      <c r="Q8" s="3">
        <v>1023100</v>
      </c>
      <c r="R8" s="3"/>
      <c r="S8" s="3"/>
      <c r="T8" s="3"/>
      <c r="U8" s="3"/>
      <c r="V8" s="3"/>
    </row>
    <row r="21" spans="1:1" ht="13.8" x14ac:dyDescent="0.3">
      <c r="A21" s="3" t="s">
        <v>2</v>
      </c>
    </row>
    <row r="38" spans="1:11" ht="13.8" x14ac:dyDescent="0.3">
      <c r="A38" s="4" t="s">
        <v>3</v>
      </c>
      <c r="B38" s="5" t="s">
        <v>4</v>
      </c>
      <c r="C38" s="6" t="s">
        <v>5</v>
      </c>
      <c r="F38" s="7" t="s">
        <v>4</v>
      </c>
      <c r="G38" s="7" t="s">
        <v>6</v>
      </c>
      <c r="J38" s="7" t="s">
        <v>4</v>
      </c>
      <c r="K38" s="7" t="s">
        <v>7</v>
      </c>
    </row>
    <row r="39" spans="1:11" ht="15.75" customHeight="1" x14ac:dyDescent="0.3">
      <c r="B39" s="8" t="s">
        <v>8</v>
      </c>
      <c r="C39" s="9">
        <v>59829.623480299997</v>
      </c>
      <c r="F39" s="10" t="s">
        <v>8</v>
      </c>
      <c r="G39" s="11">
        <v>12481</v>
      </c>
      <c r="J39" s="10" t="s">
        <v>8</v>
      </c>
      <c r="K39" s="11">
        <v>248</v>
      </c>
    </row>
    <row r="40" spans="1:11" ht="15.75" customHeight="1" x14ac:dyDescent="0.3">
      <c r="B40" s="8" t="s">
        <v>9</v>
      </c>
      <c r="C40" s="9">
        <v>34543.2696</v>
      </c>
      <c r="F40" s="10" t="s">
        <v>9</v>
      </c>
      <c r="G40" s="11">
        <v>9685</v>
      </c>
      <c r="J40" s="10" t="s">
        <v>9</v>
      </c>
      <c r="K40" s="11">
        <v>414</v>
      </c>
    </row>
    <row r="41" spans="1:11" ht="15.75" customHeight="1" x14ac:dyDescent="0.3">
      <c r="B41" s="8" t="s">
        <v>10</v>
      </c>
      <c r="C41" s="9">
        <v>30196.157727500002</v>
      </c>
      <c r="F41" s="10" t="s">
        <v>10</v>
      </c>
      <c r="G41" s="11">
        <v>7313</v>
      </c>
      <c r="J41" s="10" t="s">
        <v>10</v>
      </c>
      <c r="K41" s="11">
        <v>442</v>
      </c>
    </row>
    <row r="42" spans="1:11" ht="15.75" customHeight="1" x14ac:dyDescent="0.3">
      <c r="B42" s="8" t="s">
        <v>11</v>
      </c>
      <c r="C42" s="9">
        <v>27931.711110799999</v>
      </c>
      <c r="F42" s="10" t="s">
        <v>11</v>
      </c>
      <c r="G42" s="11">
        <v>6830</v>
      </c>
      <c r="J42" s="10" t="s">
        <v>11</v>
      </c>
      <c r="K42" s="11">
        <v>224</v>
      </c>
    </row>
    <row r="43" spans="1:11" ht="15.75" customHeight="1" x14ac:dyDescent="0.3">
      <c r="B43" s="8" t="s">
        <v>12</v>
      </c>
      <c r="C43" s="9">
        <v>20229.606449999999</v>
      </c>
      <c r="F43" s="10" t="s">
        <v>12</v>
      </c>
      <c r="G43" s="11">
        <v>4857</v>
      </c>
      <c r="J43" s="10" t="s">
        <v>12</v>
      </c>
      <c r="K43" s="11">
        <v>258</v>
      </c>
    </row>
    <row r="44" spans="1:11" ht="15.75" customHeight="1" x14ac:dyDescent="0.3">
      <c r="B44" s="8" t="s">
        <v>13</v>
      </c>
      <c r="C44" s="9">
        <v>15091.71998</v>
      </c>
      <c r="F44" s="10" t="s">
        <v>13</v>
      </c>
      <c r="G44" s="11">
        <v>6730</v>
      </c>
      <c r="J44" s="10" t="s">
        <v>13</v>
      </c>
      <c r="K44" s="11">
        <v>140</v>
      </c>
    </row>
    <row r="45" spans="1:11" ht="15.75" customHeight="1" x14ac:dyDescent="0.3">
      <c r="B45" s="8" t="s">
        <v>14</v>
      </c>
      <c r="C45" s="9">
        <v>13031.0978</v>
      </c>
      <c r="F45" s="10" t="s">
        <v>14</v>
      </c>
      <c r="G45" s="11">
        <v>2678</v>
      </c>
      <c r="J45" s="10" t="s">
        <v>15</v>
      </c>
      <c r="K45" s="11">
        <v>225</v>
      </c>
    </row>
    <row r="46" spans="1:11" ht="15.75" customHeight="1" x14ac:dyDescent="0.3">
      <c r="B46" s="8" t="s">
        <v>15</v>
      </c>
      <c r="C46" s="9">
        <v>11301.466667500001</v>
      </c>
      <c r="F46" s="10" t="s">
        <v>15</v>
      </c>
      <c r="G46" s="11">
        <v>4639</v>
      </c>
      <c r="J46" s="10" t="s">
        <v>14</v>
      </c>
      <c r="K46" s="11">
        <v>132</v>
      </c>
    </row>
    <row r="47" spans="1:11" ht="15.75" customHeight="1" x14ac:dyDescent="0.3">
      <c r="B47" s="12" t="s">
        <v>16</v>
      </c>
      <c r="C47" s="13">
        <v>9628.4922698999999</v>
      </c>
      <c r="F47" s="10" t="s">
        <v>16</v>
      </c>
      <c r="G47" s="11">
        <v>2189</v>
      </c>
      <c r="J47" s="10" t="s">
        <v>16</v>
      </c>
      <c r="K47" s="11">
        <v>92</v>
      </c>
    </row>
    <row r="48" spans="1:11" ht="15.75" customHeight="1" x14ac:dyDescent="0.3">
      <c r="B48" s="12" t="s">
        <v>17</v>
      </c>
      <c r="C48" s="13">
        <f>C53-221783</f>
        <v>30872</v>
      </c>
      <c r="F48" s="10" t="s">
        <v>18</v>
      </c>
      <c r="G48" s="11">
        <v>4437</v>
      </c>
      <c r="J48" s="10" t="s">
        <v>18</v>
      </c>
      <c r="K48" s="11">
        <v>50</v>
      </c>
    </row>
    <row r="49" spans="2:11" ht="15.75" customHeight="1" x14ac:dyDescent="0.3">
      <c r="B49" s="10"/>
      <c r="C49" s="14"/>
      <c r="F49" s="10" t="s">
        <v>19</v>
      </c>
      <c r="G49" s="11">
        <v>1918</v>
      </c>
      <c r="J49" s="10" t="s">
        <v>20</v>
      </c>
      <c r="K49" s="11">
        <v>-75</v>
      </c>
    </row>
    <row r="50" spans="2:11" ht="15.75" customHeight="1" x14ac:dyDescent="0.3">
      <c r="B50" s="10"/>
      <c r="C50" s="14"/>
      <c r="F50" s="10" t="s">
        <v>20</v>
      </c>
      <c r="G50" s="11">
        <v>2812</v>
      </c>
      <c r="J50" s="10" t="s">
        <v>19</v>
      </c>
      <c r="K50" s="11">
        <v>75</v>
      </c>
    </row>
    <row r="51" spans="2:11" ht="15.75" customHeight="1" x14ac:dyDescent="0.3">
      <c r="B51" s="10"/>
      <c r="C51" s="14"/>
      <c r="F51" s="15"/>
      <c r="G51" s="16"/>
      <c r="J51" s="15"/>
      <c r="K51" s="16"/>
    </row>
    <row r="52" spans="2:11" ht="15.75" customHeight="1" x14ac:dyDescent="0.3">
      <c r="B52" s="10"/>
      <c r="C52" s="14"/>
    </row>
    <row r="53" spans="2:11" ht="13.8" x14ac:dyDescent="0.3">
      <c r="B53" s="17" t="s">
        <v>21</v>
      </c>
      <c r="C53" s="18">
        <v>252655</v>
      </c>
      <c r="F53" s="17" t="s">
        <v>21</v>
      </c>
      <c r="G53" s="18">
        <f>SUM(G39:G51)</f>
        <v>66569</v>
      </c>
      <c r="J53" s="17" t="s">
        <v>21</v>
      </c>
      <c r="K53" s="18">
        <f>SUM(K39:K51)</f>
        <v>2225</v>
      </c>
    </row>
    <row r="54" spans="2:11" ht="15.75" customHeight="1" x14ac:dyDescent="0.3">
      <c r="B54" s="10"/>
      <c r="C54" s="14"/>
    </row>
    <row r="55" spans="2:11" ht="15.75" customHeight="1" x14ac:dyDescent="0.3">
      <c r="B55" s="10"/>
      <c r="C55" s="14"/>
    </row>
    <row r="56" spans="2:11" ht="15.75" customHeight="1" x14ac:dyDescent="0.3">
      <c r="B56" s="10"/>
      <c r="C56" s="14"/>
    </row>
    <row r="57" spans="2:11" ht="15.75" customHeight="1" x14ac:dyDescent="0.3">
      <c r="B57" s="10"/>
      <c r="C57" s="14"/>
    </row>
    <row r="58" spans="2:11" ht="15.75" customHeight="1" x14ac:dyDescent="0.3">
      <c r="B58" s="10"/>
      <c r="C58" s="14"/>
    </row>
    <row r="59" spans="2:11" ht="13.8" x14ac:dyDescent="0.3">
      <c r="B59" s="19"/>
      <c r="C59" s="19"/>
    </row>
    <row r="70" spans="2:7" ht="13.8" x14ac:dyDescent="0.3">
      <c r="B70" s="20" t="s">
        <v>22</v>
      </c>
    </row>
    <row r="71" spans="2:7" ht="13.8" x14ac:dyDescent="0.3">
      <c r="B71" s="21" t="s">
        <v>4</v>
      </c>
      <c r="C71" s="21" t="s">
        <v>23</v>
      </c>
      <c r="D71" s="21" t="s">
        <v>24</v>
      </c>
      <c r="E71" s="21" t="s">
        <v>25</v>
      </c>
      <c r="F71" s="21" t="s">
        <v>26</v>
      </c>
      <c r="G71" s="21" t="s">
        <v>27</v>
      </c>
    </row>
    <row r="72" spans="2:7" ht="15.75" customHeight="1" x14ac:dyDescent="0.3">
      <c r="B72" s="22" t="s">
        <v>8</v>
      </c>
      <c r="C72" s="23">
        <v>7.3208782676350781E-2</v>
      </c>
      <c r="D72" s="23">
        <v>9.0126388952265879E-2</v>
      </c>
      <c r="E72" s="23">
        <v>0.13272819726262419</v>
      </c>
      <c r="F72" s="23">
        <v>0.32790722417278428</v>
      </c>
      <c r="G72" s="23">
        <v>0.46500000000000002</v>
      </c>
    </row>
    <row r="73" spans="2:7" ht="15.75" customHeight="1" x14ac:dyDescent="0.3">
      <c r="B73" s="22" t="s">
        <v>9</v>
      </c>
      <c r="C73" s="23">
        <v>9.3819072264084147E-2</v>
      </c>
      <c r="D73" s="23">
        <v>0.12761542415210347</v>
      </c>
      <c r="E73" s="23">
        <v>0.13097545916799369</v>
      </c>
      <c r="F73" s="23">
        <v>0.21411558229910987</v>
      </c>
      <c r="G73" s="23">
        <v>0.28710000000000002</v>
      </c>
    </row>
    <row r="74" spans="2:7" ht="15.75" customHeight="1" x14ac:dyDescent="0.3">
      <c r="B74" s="22" t="s">
        <v>10</v>
      </c>
      <c r="C74" s="23"/>
      <c r="D74" s="23"/>
      <c r="E74" s="23">
        <v>0.10301876830180134</v>
      </c>
      <c r="F74" s="23">
        <v>0.25890859011878131</v>
      </c>
      <c r="G74" s="23">
        <v>0.1391</v>
      </c>
    </row>
    <row r="75" spans="2:7" ht="15.75" customHeight="1" x14ac:dyDescent="0.3">
      <c r="B75" s="22" t="s">
        <v>11</v>
      </c>
      <c r="C75" s="23">
        <v>9.9510526380277131E-2</v>
      </c>
      <c r="D75" s="23">
        <v>9.1948323315094616E-2</v>
      </c>
      <c r="E75" s="23">
        <v>4.8222933402863877E-2</v>
      </c>
      <c r="F75" s="23">
        <v>5.1508462104488117E-3</v>
      </c>
      <c r="G75" s="23">
        <v>0.2397</v>
      </c>
    </row>
    <row r="76" spans="2:7" ht="15.75" customHeight="1" x14ac:dyDescent="0.3">
      <c r="B76" s="22" t="s">
        <v>12</v>
      </c>
      <c r="C76" s="23">
        <v>0.19980886937079312</v>
      </c>
      <c r="D76" s="23">
        <v>0.12340991425492054</v>
      </c>
      <c r="E76" s="23">
        <v>0.13365165490728304</v>
      </c>
      <c r="F76" s="23">
        <v>0.17688393506178812</v>
      </c>
      <c r="G76" s="23">
        <v>0.21659999999999999</v>
      </c>
    </row>
    <row r="77" spans="2:7" ht="15.75" customHeight="1" x14ac:dyDescent="0.3">
      <c r="B77" s="22" t="s">
        <v>13</v>
      </c>
      <c r="C77" s="23"/>
      <c r="D77" s="23"/>
      <c r="E77" s="23">
        <v>0.25196892467078458</v>
      </c>
      <c r="F77" s="23">
        <v>-2.8439439872960826E-2</v>
      </c>
      <c r="G77" s="23">
        <v>0.41410000000000002</v>
      </c>
    </row>
    <row r="78" spans="2:7" ht="15.75" customHeight="1" x14ac:dyDescent="0.3">
      <c r="B78" s="22" t="s">
        <v>14</v>
      </c>
      <c r="C78" s="23">
        <v>0.13495265899809428</v>
      </c>
      <c r="D78" s="23">
        <v>7.3632051948961497E-2</v>
      </c>
      <c r="E78" s="23">
        <v>4.9229375598962788E-2</v>
      </c>
      <c r="F78" s="23">
        <v>-3.5649981994958613E-2</v>
      </c>
      <c r="G78" s="23">
        <v>1.8E-3</v>
      </c>
    </row>
    <row r="79" spans="2:7" ht="15.75" customHeight="1" x14ac:dyDescent="0.3">
      <c r="B79" s="24" t="s">
        <v>15</v>
      </c>
      <c r="C79" s="23"/>
      <c r="D79" s="23">
        <v>1.4880081248613175E-2</v>
      </c>
      <c r="E79" s="23">
        <v>-6.9658890383399452E-2</v>
      </c>
      <c r="F79" s="23">
        <v>-0.14551482777675451</v>
      </c>
      <c r="G79" s="23">
        <v>3.8600000000000002E-2</v>
      </c>
    </row>
    <row r="80" spans="2:7" ht="15.75" customHeight="1" x14ac:dyDescent="0.3">
      <c r="B80" s="24" t="s">
        <v>16</v>
      </c>
      <c r="C80" s="23"/>
      <c r="D80" s="23"/>
      <c r="E80" s="23"/>
      <c r="F80" s="23">
        <v>5.0383877159309032E-2</v>
      </c>
      <c r="G80" s="23">
        <v>9.4E-2</v>
      </c>
    </row>
    <row r="81" spans="2:9" ht="15.75" customHeight="1" x14ac:dyDescent="0.3">
      <c r="B81" s="24" t="s">
        <v>18</v>
      </c>
      <c r="C81" s="23">
        <v>0.1617773495214534</v>
      </c>
      <c r="D81" s="23">
        <v>0.15826082737948743</v>
      </c>
      <c r="E81" s="23">
        <v>0.10783279735903029</v>
      </c>
      <c r="F81" s="23">
        <v>5.7939914163090078E-2</v>
      </c>
      <c r="G81" s="23">
        <v>0.17299999999999999</v>
      </c>
    </row>
    <row r="82" spans="2:9" ht="15.75" customHeight="1" x14ac:dyDescent="0.3">
      <c r="B82" s="24" t="s">
        <v>19</v>
      </c>
      <c r="C82" s="23">
        <v>9.8289208417648988E-2</v>
      </c>
      <c r="D82" s="23">
        <v>4.8100533323297112E-2</v>
      </c>
      <c r="E82" s="23">
        <v>-3.0648360318455192E-2</v>
      </c>
      <c r="F82" s="23">
        <v>-0.19546979865771807</v>
      </c>
      <c r="G82" s="23"/>
    </row>
    <row r="83" spans="2:9" ht="15.75" customHeight="1" thickBot="1" x14ac:dyDescent="0.35">
      <c r="B83" s="25" t="s">
        <v>20</v>
      </c>
      <c r="C83" s="26"/>
      <c r="D83" s="26"/>
      <c r="E83" s="26">
        <v>8.5710109305209947E-2</v>
      </c>
      <c r="F83" s="26">
        <v>0.11190193752471322</v>
      </c>
      <c r="G83" s="26">
        <v>6.9800000000000001E-2</v>
      </c>
    </row>
    <row r="84" spans="2:9" ht="14.4" thickBot="1" x14ac:dyDescent="0.35">
      <c r="B84" s="3"/>
      <c r="C84" s="23"/>
      <c r="E84" s="23"/>
    </row>
    <row r="85" spans="2:9" ht="13.8" x14ac:dyDescent="0.3">
      <c r="B85" s="27" t="s">
        <v>21</v>
      </c>
      <c r="C85" s="28">
        <v>0.13359151196270291</v>
      </c>
      <c r="D85" s="28">
        <v>0.12723400109186822</v>
      </c>
      <c r="E85" s="28">
        <v>9.5775747701204672E-2</v>
      </c>
      <c r="F85" s="28">
        <v>0.10157038606013469</v>
      </c>
      <c r="G85" s="28">
        <v>0.3029313428193765</v>
      </c>
    </row>
    <row r="88" spans="2:9" ht="13.8" x14ac:dyDescent="0.3">
      <c r="B88" s="29" t="s">
        <v>28</v>
      </c>
    </row>
    <row r="89" spans="2:9" ht="13.8" x14ac:dyDescent="0.3">
      <c r="B89" s="30" t="s">
        <v>4</v>
      </c>
      <c r="C89" s="30" t="s">
        <v>29</v>
      </c>
      <c r="D89" s="30" t="s">
        <v>30</v>
      </c>
      <c r="E89" s="30" t="s">
        <v>31</v>
      </c>
      <c r="F89" s="30" t="s">
        <v>32</v>
      </c>
      <c r="G89" s="30" t="s">
        <v>33</v>
      </c>
      <c r="H89" s="30" t="s">
        <v>34</v>
      </c>
      <c r="I89" s="30" t="s">
        <v>35</v>
      </c>
    </row>
    <row r="90" spans="2:9" ht="15.75" customHeight="1" x14ac:dyDescent="0.3">
      <c r="B90" s="31" t="s">
        <v>8</v>
      </c>
      <c r="C90" s="32">
        <v>6.8099999999999994E-2</v>
      </c>
      <c r="D90" s="32">
        <v>3.8399999999999997E-2</v>
      </c>
      <c r="E90" s="32">
        <v>1.9870202708116336E-2</v>
      </c>
      <c r="F90" s="32">
        <v>1.4469624428130653E-2</v>
      </c>
      <c r="G90" s="32">
        <v>6.9326161661437319E-2</v>
      </c>
      <c r="H90" s="32">
        <v>4.6524876566654008E-2</v>
      </c>
      <c r="I90" s="32">
        <v>5.8728323699421964E-2</v>
      </c>
    </row>
    <row r="91" spans="2:9" ht="15.75" customHeight="1" x14ac:dyDescent="0.3">
      <c r="B91" s="31" t="s">
        <v>9</v>
      </c>
      <c r="C91" s="32">
        <v>5.8999999999999997E-2</v>
      </c>
      <c r="D91" s="32">
        <v>3.73E-2</v>
      </c>
      <c r="E91" s="32">
        <v>4.2746515229736708E-2</v>
      </c>
      <c r="F91" s="32">
        <v>5.0144164472859472E-2</v>
      </c>
      <c r="G91" s="32">
        <v>3.6301108139090564E-2</v>
      </c>
      <c r="H91" s="32">
        <v>2.6424159231297185E-2</v>
      </c>
      <c r="I91" s="32">
        <v>7.1343638525564801E-2</v>
      </c>
    </row>
    <row r="92" spans="2:9" ht="15.75" customHeight="1" x14ac:dyDescent="0.3">
      <c r="B92" s="31" t="s">
        <v>10</v>
      </c>
      <c r="C92" s="32">
        <v>7.1099999999999997E-2</v>
      </c>
      <c r="D92" s="32">
        <v>6.5000000000000002E-2</v>
      </c>
      <c r="E92" s="32">
        <v>6.0440311773553947E-2</v>
      </c>
      <c r="F92" s="32">
        <v>8.1769667756928899E-2</v>
      </c>
      <c r="G92" s="32">
        <v>8.9528912703728508E-2</v>
      </c>
      <c r="H92" s="32"/>
      <c r="I92" s="32"/>
    </row>
    <row r="93" spans="2:9" ht="15.75" customHeight="1" x14ac:dyDescent="0.3">
      <c r="B93" s="31" t="s">
        <v>11</v>
      </c>
      <c r="C93" s="32">
        <v>5.62E-2</v>
      </c>
      <c r="D93" s="32">
        <v>3.2199999999999999E-2</v>
      </c>
      <c r="E93" s="32">
        <v>3.2796486090775991E-2</v>
      </c>
      <c r="F93" s="32">
        <v>3.2818248712288445E-2</v>
      </c>
      <c r="G93" s="32">
        <v>7.5782842319807295E-2</v>
      </c>
      <c r="H93" s="32">
        <v>4.3048694424841216E-2</v>
      </c>
      <c r="I93" s="32">
        <v>9.113001215066828E-3</v>
      </c>
    </row>
    <row r="94" spans="2:9" ht="15.75" customHeight="1" x14ac:dyDescent="0.3">
      <c r="B94" s="31" t="s">
        <v>12</v>
      </c>
      <c r="C94" s="32">
        <v>6.7000000000000004E-2</v>
      </c>
      <c r="D94" s="32">
        <v>5.2699999999999997E-2</v>
      </c>
      <c r="E94" s="32">
        <v>5.3119209388511425E-2</v>
      </c>
      <c r="F94" s="32">
        <v>4.5795977707778046E-2</v>
      </c>
      <c r="G94" s="32">
        <v>6.4764841942945253E-2</v>
      </c>
      <c r="H94" s="32">
        <v>4.6143704680290047E-2</v>
      </c>
      <c r="I94" s="32">
        <v>5.3797468354430382E-2</v>
      </c>
    </row>
    <row r="95" spans="2:9" ht="15.75" customHeight="1" x14ac:dyDescent="0.3">
      <c r="B95" s="31" t="s">
        <v>13</v>
      </c>
      <c r="C95" s="32">
        <v>4.0899999999999999E-2</v>
      </c>
      <c r="D95" s="32">
        <v>2.75E-2</v>
      </c>
      <c r="E95" s="32">
        <v>2.0802377414561663E-2</v>
      </c>
      <c r="F95" s="32">
        <v>2.3531110148693517E-2</v>
      </c>
      <c r="G95" s="32">
        <v>4.2047531992687383E-2</v>
      </c>
      <c r="H95" s="32"/>
      <c r="I95" s="32"/>
    </row>
    <row r="96" spans="2:9" ht="15.75" customHeight="1" x14ac:dyDescent="0.3">
      <c r="B96" s="31" t="s">
        <v>14</v>
      </c>
      <c r="C96" s="32">
        <v>8.5099999999999995E-2</v>
      </c>
      <c r="D96" s="32">
        <v>9.1800000000000007E-2</v>
      </c>
      <c r="E96" s="32">
        <v>8.4017923823749063E-2</v>
      </c>
      <c r="F96" s="32">
        <v>9.1825711199135754E-2</v>
      </c>
      <c r="G96" s="32">
        <v>9.1168091168091173E-2</v>
      </c>
      <c r="H96" s="32">
        <v>8.5106382978723402E-2</v>
      </c>
      <c r="I96" s="32">
        <v>5.4862842892768077E-2</v>
      </c>
    </row>
    <row r="97" spans="2:11" ht="15.75" customHeight="1" x14ac:dyDescent="0.3">
      <c r="B97" s="31" t="s">
        <v>15</v>
      </c>
      <c r="C97" s="32">
        <v>2.4299999999999999E-2</v>
      </c>
      <c r="D97" s="32"/>
      <c r="E97" s="32">
        <v>2.8454408277646046E-2</v>
      </c>
      <c r="F97" s="32">
        <v>3.9602136673420517E-2</v>
      </c>
      <c r="G97" s="32">
        <v>2.5090144230769232E-2</v>
      </c>
      <c r="H97" s="32">
        <v>-1.2493753123438282E-3</v>
      </c>
      <c r="I97" s="32"/>
    </row>
    <row r="98" spans="2:11" ht="15.75" customHeight="1" x14ac:dyDescent="0.3">
      <c r="B98" s="31" t="s">
        <v>16</v>
      </c>
      <c r="C98" s="32">
        <v>5.6099999999999997E-2</v>
      </c>
      <c r="D98" s="32"/>
      <c r="E98" s="32">
        <v>4.202832343535861E-2</v>
      </c>
      <c r="F98" s="32">
        <v>1.0076775431861805E-2</v>
      </c>
      <c r="G98" s="32">
        <v>-3.8461538461538464E-2</v>
      </c>
      <c r="H98" s="32">
        <v>0</v>
      </c>
      <c r="I98" s="32"/>
    </row>
    <row r="99" spans="2:11" ht="15.75" customHeight="1" x14ac:dyDescent="0.3">
      <c r="B99" s="31" t="s">
        <v>18</v>
      </c>
      <c r="C99" s="32">
        <v>3.1399999999999997E-2</v>
      </c>
      <c r="D99" s="32"/>
      <c r="E99" s="32">
        <v>1.1268875366238449E-2</v>
      </c>
      <c r="F99" s="32">
        <v>3.5765379113018598E-3</v>
      </c>
      <c r="G99" s="32">
        <v>2.6701767581797667E-2</v>
      </c>
      <c r="H99" s="32">
        <v>2.1547502448579822E-2</v>
      </c>
      <c r="I99" s="32">
        <v>6.6000000000000003E-2</v>
      </c>
    </row>
    <row r="100" spans="2:11" ht="15.75" customHeight="1" x14ac:dyDescent="0.3">
      <c r="B100" s="31" t="s">
        <v>19</v>
      </c>
      <c r="C100" s="32"/>
      <c r="D100" s="32"/>
      <c r="E100" s="32">
        <v>-3.9103232533889469E-2</v>
      </c>
      <c r="F100" s="32">
        <v>-3.4395973154362415E-2</v>
      </c>
      <c r="G100" s="32">
        <v>3.792949576082106E-2</v>
      </c>
      <c r="H100" s="32">
        <v>6.672226855713094E-2</v>
      </c>
      <c r="I100" s="32">
        <v>4.4680851063829789E-2</v>
      </c>
    </row>
    <row r="101" spans="2:11" ht="15.75" customHeight="1" thickBot="1" x14ac:dyDescent="0.35">
      <c r="B101" s="33" t="s">
        <v>20</v>
      </c>
      <c r="C101" s="34">
        <v>1.9E-2</v>
      </c>
      <c r="D101" s="34"/>
      <c r="E101" s="34">
        <v>2.6671408250355619E-2</v>
      </c>
      <c r="F101" s="34">
        <v>3.0051403716884143E-2</v>
      </c>
      <c r="G101" s="34">
        <v>3.7017167381974247E-2</v>
      </c>
      <c r="H101" s="34"/>
      <c r="I101" s="34"/>
    </row>
    <row r="102" spans="2:11" ht="14.4" thickBot="1" x14ac:dyDescent="0.35">
      <c r="B102" s="3"/>
      <c r="E102" s="23"/>
      <c r="F102" s="23"/>
      <c r="G102" s="23"/>
      <c r="H102" s="23"/>
      <c r="I102" s="23"/>
    </row>
    <row r="103" spans="2:11" ht="13.8" x14ac:dyDescent="0.3">
      <c r="B103" s="27" t="s">
        <v>21</v>
      </c>
      <c r="C103" s="35">
        <v>6.2E-2</v>
      </c>
      <c r="D103" s="35">
        <v>4.3999999999999997E-2</v>
      </c>
      <c r="E103" s="35">
        <v>3.3423966110351665E-2</v>
      </c>
      <c r="F103" s="35">
        <v>3.5035395909805978E-2</v>
      </c>
      <c r="G103" s="35">
        <v>6.6449913377791492E-2</v>
      </c>
      <c r="H103" s="35">
        <v>5.8267403094989303E-2</v>
      </c>
      <c r="I103" s="35">
        <v>8.5328603803330377E-2</v>
      </c>
    </row>
    <row r="105" spans="2:11" ht="13.8" x14ac:dyDescent="0.3">
      <c r="B105" s="20" t="s">
        <v>36</v>
      </c>
    </row>
    <row r="106" spans="2:11" ht="13.8" x14ac:dyDescent="0.3">
      <c r="B106" s="36" t="s">
        <v>4</v>
      </c>
      <c r="C106" s="36" t="s">
        <v>37</v>
      </c>
      <c r="F106" s="36" t="s">
        <v>4</v>
      </c>
      <c r="G106" s="36" t="s">
        <v>38</v>
      </c>
      <c r="J106" s="36" t="s">
        <v>4</v>
      </c>
      <c r="K106" s="36" t="s">
        <v>39</v>
      </c>
    </row>
    <row r="107" spans="2:11" ht="15.75" customHeight="1" x14ac:dyDescent="0.3">
      <c r="B107" s="37" t="s">
        <v>8</v>
      </c>
      <c r="C107" s="38">
        <v>0.12250859106529209</v>
      </c>
      <c r="F107" s="37" t="s">
        <v>8</v>
      </c>
      <c r="G107" s="39">
        <v>1.4762516046213094</v>
      </c>
      <c r="J107" s="37" t="s">
        <v>8</v>
      </c>
      <c r="K107" s="39">
        <v>1.0621993127147766</v>
      </c>
    </row>
    <row r="108" spans="2:11" ht="15.75" customHeight="1" x14ac:dyDescent="0.3">
      <c r="B108" s="37" t="s">
        <v>9</v>
      </c>
      <c r="C108" s="38">
        <v>6.4033742331288349E-2</v>
      </c>
      <c r="F108" s="37" t="s">
        <v>9</v>
      </c>
      <c r="G108" s="39">
        <v>9.7758620689655178</v>
      </c>
      <c r="J108" s="37" t="s">
        <v>9</v>
      </c>
      <c r="K108" s="39">
        <v>1.5356595092024541</v>
      </c>
    </row>
    <row r="109" spans="2:11" ht="15.75" customHeight="1" x14ac:dyDescent="0.3">
      <c r="B109" s="37" t="s">
        <v>10</v>
      </c>
      <c r="C109" s="38">
        <v>0.19966666666666666</v>
      </c>
      <c r="F109" s="37" t="s">
        <v>10</v>
      </c>
      <c r="G109" s="39">
        <v>7.4050632911392409</v>
      </c>
      <c r="J109" s="37" t="s">
        <v>10</v>
      </c>
      <c r="K109" s="39">
        <v>0.87766666666666671</v>
      </c>
    </row>
    <row r="110" spans="2:11" ht="15.75" customHeight="1" x14ac:dyDescent="0.3">
      <c r="B110" s="37" t="s">
        <v>11</v>
      </c>
      <c r="C110" s="38">
        <v>0</v>
      </c>
      <c r="F110" s="37" t="s">
        <v>11</v>
      </c>
      <c r="G110" s="39">
        <v>6.4</v>
      </c>
      <c r="J110" s="37" t="s">
        <v>11</v>
      </c>
      <c r="K110" s="39">
        <v>0.62239089184060725</v>
      </c>
    </row>
    <row r="111" spans="2:11" ht="15.75" customHeight="1" x14ac:dyDescent="0.3">
      <c r="B111" s="37" t="s">
        <v>12</v>
      </c>
      <c r="C111" s="38">
        <v>0.16041896361631752</v>
      </c>
      <c r="F111" s="37" t="s">
        <v>12</v>
      </c>
      <c r="G111" s="39">
        <v>8.6750000000000007</v>
      </c>
      <c r="J111" s="37" t="s">
        <v>12</v>
      </c>
      <c r="K111" s="39">
        <v>0.74255788313120175</v>
      </c>
    </row>
    <row r="112" spans="2:11" ht="15.75" customHeight="1" x14ac:dyDescent="0.3">
      <c r="B112" s="37" t="s">
        <v>13</v>
      </c>
      <c r="C112" s="38">
        <v>0.69443099273607745</v>
      </c>
      <c r="F112" s="37" t="s">
        <v>13</v>
      </c>
      <c r="G112" s="39">
        <v>1.8323353293413174</v>
      </c>
      <c r="J112" s="37" t="s">
        <v>13</v>
      </c>
      <c r="K112" s="39">
        <v>2.168038740920097</v>
      </c>
    </row>
    <row r="113" spans="2:11" ht="15.75" customHeight="1" x14ac:dyDescent="0.3">
      <c r="B113" s="37" t="s">
        <v>15</v>
      </c>
      <c r="C113" s="38">
        <v>2.2509578544061302E-2</v>
      </c>
      <c r="F113" s="37" t="s">
        <v>15</v>
      </c>
      <c r="G113" s="39">
        <v>18.384615384615383</v>
      </c>
      <c r="J113" s="37" t="s">
        <v>15</v>
      </c>
      <c r="K113" s="39">
        <v>0.31369731800766282</v>
      </c>
    </row>
    <row r="114" spans="2:11" ht="15.75" customHeight="1" x14ac:dyDescent="0.3">
      <c r="B114" s="37" t="s">
        <v>14</v>
      </c>
      <c r="C114" s="38">
        <v>0.15949554896142434</v>
      </c>
      <c r="F114" s="37" t="s">
        <v>14</v>
      </c>
      <c r="G114" s="39">
        <v>5.1269841269841274</v>
      </c>
      <c r="J114" s="37" t="s">
        <v>14</v>
      </c>
      <c r="K114" s="39">
        <v>1.8093471810089021</v>
      </c>
    </row>
    <row r="115" spans="2:11" ht="15.75" customHeight="1" x14ac:dyDescent="0.3">
      <c r="B115" s="37" t="s">
        <v>16</v>
      </c>
      <c r="C115" s="38">
        <v>1.4692378328741965E-2</v>
      </c>
      <c r="F115" s="37" t="s">
        <v>16</v>
      </c>
      <c r="G115" s="39">
        <v>20.2</v>
      </c>
      <c r="J115" s="37" t="s">
        <v>16</v>
      </c>
      <c r="K115" s="39">
        <v>0.4428374655647383</v>
      </c>
    </row>
    <row r="116" spans="2:11" ht="15.75" customHeight="1" x14ac:dyDescent="0.3">
      <c r="B116" s="37" t="s">
        <v>18</v>
      </c>
      <c r="C116" s="38">
        <v>9.7629009762900981E-2</v>
      </c>
      <c r="F116" s="37" t="s">
        <v>18</v>
      </c>
      <c r="G116" s="39">
        <v>3.2857142857142856</v>
      </c>
      <c r="J116" s="37" t="s">
        <v>18</v>
      </c>
      <c r="K116" s="39">
        <v>2.0390516039051603</v>
      </c>
    </row>
    <row r="117" spans="2:11" ht="15.75" customHeight="1" x14ac:dyDescent="0.3">
      <c r="B117" s="37" t="s">
        <v>20</v>
      </c>
      <c r="C117" s="38">
        <v>0.08</v>
      </c>
      <c r="F117" s="37" t="s">
        <v>20</v>
      </c>
      <c r="G117" s="39">
        <v>-4.125</v>
      </c>
      <c r="J117" s="37" t="s">
        <v>20</v>
      </c>
      <c r="K117" s="39">
        <v>1.8453608247422681</v>
      </c>
    </row>
    <row r="118" spans="2:11" ht="15.75" customHeight="1" x14ac:dyDescent="0.3">
      <c r="B118" s="37" t="s">
        <v>19</v>
      </c>
      <c r="C118" s="38">
        <v>3.1347962382445138E-2</v>
      </c>
      <c r="F118" s="37" t="s">
        <v>19</v>
      </c>
      <c r="G118" s="39">
        <v>3.6956521739130435</v>
      </c>
      <c r="J118" s="37" t="s">
        <v>19</v>
      </c>
      <c r="K118" s="39">
        <v>1.2727272727272727</v>
      </c>
    </row>
    <row r="119" spans="2:11" ht="15.75" customHeight="1" x14ac:dyDescent="0.3">
      <c r="B119" s="37"/>
      <c r="C119" s="40"/>
      <c r="F119" s="37"/>
      <c r="G119" s="41"/>
      <c r="J119" s="37" t="s">
        <v>40</v>
      </c>
      <c r="K119" s="38">
        <v>0.55838926174496639</v>
      </c>
    </row>
    <row r="121" spans="2:11" ht="13.8" x14ac:dyDescent="0.3">
      <c r="B121" s="17" t="s">
        <v>21</v>
      </c>
      <c r="C121" s="42">
        <v>0.12602262837249784</v>
      </c>
      <c r="F121" s="17" t="s">
        <v>21</v>
      </c>
      <c r="G121" s="17">
        <v>3.7</v>
      </c>
      <c r="J121" s="17" t="s">
        <v>21</v>
      </c>
      <c r="K121" s="17">
        <v>1</v>
      </c>
    </row>
    <row r="137" spans="2:6" ht="13.8" x14ac:dyDescent="0.3">
      <c r="B137" s="20" t="s">
        <v>41</v>
      </c>
    </row>
    <row r="138" spans="2:6" ht="13.8" x14ac:dyDescent="0.3">
      <c r="B138" s="36" t="s">
        <v>4</v>
      </c>
      <c r="C138" s="36" t="s">
        <v>42</v>
      </c>
      <c r="E138" s="36" t="s">
        <v>4</v>
      </c>
      <c r="F138" s="36" t="s">
        <v>43</v>
      </c>
    </row>
    <row r="139" spans="2:6" ht="15.75" customHeight="1" x14ac:dyDescent="0.3">
      <c r="B139" s="37" t="s">
        <v>8</v>
      </c>
      <c r="C139" s="39">
        <v>1.4595278473836246</v>
      </c>
      <c r="E139" s="37" t="s">
        <v>8</v>
      </c>
      <c r="F139" s="41">
        <v>58.738631769337161</v>
      </c>
    </row>
    <row r="140" spans="2:6" ht="15.75" customHeight="1" x14ac:dyDescent="0.3">
      <c r="B140" s="37" t="s">
        <v>9</v>
      </c>
      <c r="C140" s="39">
        <v>1.3615064810873532</v>
      </c>
      <c r="E140" s="37" t="s">
        <v>9</v>
      </c>
      <c r="F140" s="41">
        <v>56.952262755421842</v>
      </c>
    </row>
    <row r="141" spans="2:6" ht="15.75" customHeight="1" x14ac:dyDescent="0.3">
      <c r="B141" s="37" t="s">
        <v>10</v>
      </c>
      <c r="C141" s="39">
        <v>1.1496140262238699</v>
      </c>
      <c r="E141" s="37" t="s">
        <v>10</v>
      </c>
      <c r="F141" s="41">
        <v>42.623127904975043</v>
      </c>
    </row>
    <row r="142" spans="2:6" ht="15.75" customHeight="1" x14ac:dyDescent="0.3">
      <c r="B142" s="37" t="s">
        <v>11</v>
      </c>
      <c r="C142" s="39">
        <v>2.5179224579370887</v>
      </c>
      <c r="E142" s="37" t="s">
        <v>11</v>
      </c>
      <c r="F142" s="41">
        <v>10.796909492273731</v>
      </c>
    </row>
    <row r="143" spans="2:6" ht="15.75" customHeight="1" x14ac:dyDescent="0.3">
      <c r="B143" s="37" t="s">
        <v>12</v>
      </c>
      <c r="C143" s="39">
        <v>1.7624555895232588</v>
      </c>
      <c r="E143" s="37" t="s">
        <v>12</v>
      </c>
      <c r="F143" s="41">
        <v>40.306542282529684</v>
      </c>
    </row>
    <row r="144" spans="2:6" ht="15.75" customHeight="1" x14ac:dyDescent="0.3">
      <c r="B144" s="37" t="s">
        <v>13</v>
      </c>
      <c r="C144" s="39">
        <v>1.0830248545742993</v>
      </c>
      <c r="E144" s="37" t="s">
        <v>13</v>
      </c>
      <c r="F144" s="41">
        <v>36.937346614696118</v>
      </c>
    </row>
    <row r="145" spans="1:16" ht="15.75" customHeight="1" x14ac:dyDescent="0.3">
      <c r="B145" s="37" t="s">
        <v>15</v>
      </c>
      <c r="C145" s="39">
        <v>1.1361161524500907</v>
      </c>
      <c r="E145" s="37" t="s">
        <v>15</v>
      </c>
      <c r="F145" s="41">
        <v>1.4790937557561246</v>
      </c>
    </row>
    <row r="146" spans="1:16" ht="15.75" customHeight="1" x14ac:dyDescent="0.3">
      <c r="B146" s="37" t="s">
        <v>14</v>
      </c>
      <c r="C146" s="39">
        <v>3.2142857142857144</v>
      </c>
      <c r="E146" s="37" t="s">
        <v>14</v>
      </c>
      <c r="F146" s="41">
        <v>45.871444004321205</v>
      </c>
    </row>
    <row r="147" spans="1:16" ht="15.75" customHeight="1" x14ac:dyDescent="0.3">
      <c r="B147" s="37" t="s">
        <v>16</v>
      </c>
      <c r="C147" s="39">
        <v>0.58273381294964033</v>
      </c>
      <c r="E147" s="37" t="s">
        <v>16</v>
      </c>
      <c r="F147" s="41">
        <v>28.548464491362765</v>
      </c>
    </row>
    <row r="148" spans="1:16" ht="15.75" customHeight="1" x14ac:dyDescent="0.3">
      <c r="B148" s="37" t="s">
        <v>18</v>
      </c>
      <c r="C148" s="39">
        <v>1.0998005436793259</v>
      </c>
      <c r="E148" s="37" t="s">
        <v>18</v>
      </c>
      <c r="F148" s="41">
        <v>36.333774439675729</v>
      </c>
    </row>
    <row r="149" spans="1:16" ht="15.75" customHeight="1" x14ac:dyDescent="0.3">
      <c r="B149" s="37" t="s">
        <v>20</v>
      </c>
      <c r="C149" s="39">
        <v>1.4731115758989624</v>
      </c>
      <c r="E149" s="37" t="s">
        <v>20</v>
      </c>
      <c r="F149" s="41">
        <v>44.573586397785682</v>
      </c>
    </row>
    <row r="150" spans="1:16" ht="15.75" customHeight="1" x14ac:dyDescent="0.3">
      <c r="B150" s="37" t="s">
        <v>19</v>
      </c>
      <c r="C150" s="39">
        <v>1.3228962818003913</v>
      </c>
      <c r="E150" s="37" t="s">
        <v>19</v>
      </c>
      <c r="F150" s="41">
        <v>23.884228187919465</v>
      </c>
    </row>
    <row r="151" spans="1:16" ht="15.75" customHeight="1" x14ac:dyDescent="0.3">
      <c r="B151" s="37" t="s">
        <v>40</v>
      </c>
      <c r="C151" s="39">
        <v>1.1489361702127661</v>
      </c>
      <c r="E151" s="37" t="s">
        <v>40</v>
      </c>
      <c r="F151" s="41">
        <v>77.554806070826302</v>
      </c>
    </row>
    <row r="152" spans="1:16" ht="13.8" x14ac:dyDescent="0.3">
      <c r="C152" s="43"/>
    </row>
    <row r="153" spans="1:16" ht="13.8" x14ac:dyDescent="0.3">
      <c r="B153" s="17" t="s">
        <v>21</v>
      </c>
      <c r="C153" s="44">
        <v>1.4</v>
      </c>
      <c r="E153" s="17" t="s">
        <v>21</v>
      </c>
      <c r="F153" s="17">
        <v>38</v>
      </c>
    </row>
    <row r="155" spans="1:16" ht="13.8" x14ac:dyDescent="0.3">
      <c r="B155" s="36" t="s">
        <v>44</v>
      </c>
    </row>
    <row r="156" spans="1:16" ht="13.8" x14ac:dyDescent="0.3">
      <c r="A156" s="3"/>
      <c r="B156" s="36" t="s">
        <v>4</v>
      </c>
      <c r="C156" s="36" t="s">
        <v>45</v>
      </c>
      <c r="E156" s="36" t="s">
        <v>4</v>
      </c>
      <c r="F156" s="36" t="s">
        <v>46</v>
      </c>
      <c r="I156" s="20" t="s">
        <v>47</v>
      </c>
      <c r="J156" s="7" t="s">
        <v>4</v>
      </c>
      <c r="K156" s="7" t="s">
        <v>48</v>
      </c>
      <c r="L156" s="7" t="s">
        <v>49</v>
      </c>
      <c r="O156" s="7" t="s">
        <v>4</v>
      </c>
      <c r="P156" s="7" t="s">
        <v>50</v>
      </c>
    </row>
    <row r="157" spans="1:16" ht="15.75" customHeight="1" x14ac:dyDescent="0.3">
      <c r="B157" s="37" t="s">
        <v>8</v>
      </c>
      <c r="C157" s="45">
        <v>4.2611683848797252E-2</v>
      </c>
      <c r="D157" s="23"/>
      <c r="E157" s="37" t="s">
        <v>8</v>
      </c>
      <c r="F157" s="45">
        <v>2.0604852110335661E-2</v>
      </c>
      <c r="J157" s="10" t="s">
        <v>8</v>
      </c>
      <c r="K157" s="14">
        <v>129.65517241379311</v>
      </c>
      <c r="L157" s="14">
        <v>6.2312231155396933</v>
      </c>
      <c r="O157" s="10" t="s">
        <v>8</v>
      </c>
      <c r="P157" s="46">
        <v>7.7127659574468084E-3</v>
      </c>
    </row>
    <row r="158" spans="1:16" ht="15.75" customHeight="1" x14ac:dyDescent="0.3">
      <c r="B158" s="37" t="s">
        <v>9</v>
      </c>
      <c r="C158" s="45">
        <v>0.15874233128834356</v>
      </c>
      <c r="D158" s="23"/>
      <c r="E158" s="37" t="s">
        <v>9</v>
      </c>
      <c r="F158" s="45">
        <v>6.2556663644605617E-2</v>
      </c>
      <c r="J158" s="10" t="s">
        <v>9</v>
      </c>
      <c r="K158" s="14">
        <v>52.853648593558908</v>
      </c>
      <c r="L158" s="14">
        <v>11.1224865329489</v>
      </c>
      <c r="O158" s="10" t="s">
        <v>9</v>
      </c>
      <c r="P158" s="46">
        <v>1.8920169687620517E-2</v>
      </c>
    </row>
    <row r="159" spans="1:16" ht="15.75" customHeight="1" x14ac:dyDescent="0.3">
      <c r="B159" s="37" t="s">
        <v>10</v>
      </c>
      <c r="C159" s="45">
        <v>0.14733333333333334</v>
      </c>
      <c r="D159" s="23"/>
      <c r="E159" s="37" t="s">
        <v>10</v>
      </c>
      <c r="F159" s="45">
        <v>7.2673462676751066E-2</v>
      </c>
      <c r="J159" s="10" t="s">
        <v>10</v>
      </c>
      <c r="K159" s="14">
        <v>44.634703196347033</v>
      </c>
      <c r="L159" s="14">
        <v>5.6660787263968695</v>
      </c>
      <c r="O159" s="10" t="s">
        <v>10</v>
      </c>
      <c r="P159" s="46">
        <v>2.2404092071611256E-2</v>
      </c>
    </row>
    <row r="160" spans="1:16" ht="15.75" customHeight="1" x14ac:dyDescent="0.3">
      <c r="B160" s="37" t="s">
        <v>11</v>
      </c>
      <c r="C160" s="45">
        <v>6.0721062618595827E-2</v>
      </c>
      <c r="D160" s="23"/>
      <c r="E160" s="37" t="s">
        <v>11</v>
      </c>
      <c r="F160" s="45">
        <v>3.6482084690553744E-2</v>
      </c>
      <c r="J160" s="10" t="s">
        <v>11</v>
      </c>
      <c r="K160" s="14">
        <v>81.744708146247604</v>
      </c>
      <c r="L160" s="14">
        <v>4.1995018162947586</v>
      </c>
      <c r="O160" s="10" t="s">
        <v>11</v>
      </c>
      <c r="P160" s="46">
        <v>1.223320778405524E-2</v>
      </c>
    </row>
    <row r="161" spans="2:16" ht="15.75" customHeight="1" x14ac:dyDescent="0.3">
      <c r="B161" s="37" t="s">
        <v>12</v>
      </c>
      <c r="C161" s="45">
        <v>0.14222712238147739</v>
      </c>
      <c r="D161" s="23"/>
      <c r="E161" s="37" t="s">
        <v>12</v>
      </c>
      <c r="F161" s="45">
        <v>8.1619740588421391E-2</v>
      </c>
      <c r="J161" s="10" t="s">
        <v>12</v>
      </c>
      <c r="K161" s="14">
        <v>57.947761194029852</v>
      </c>
      <c r="L161" s="14">
        <v>7.801442725534506</v>
      </c>
      <c r="O161" s="10" t="s">
        <v>12</v>
      </c>
      <c r="P161" s="46">
        <v>1.7256922086284609E-2</v>
      </c>
    </row>
    <row r="162" spans="2:16" ht="15.75" customHeight="1" x14ac:dyDescent="0.3">
      <c r="B162" s="37" t="s">
        <v>13</v>
      </c>
      <c r="C162" s="45">
        <v>6.7796610169491525E-2</v>
      </c>
      <c r="D162" s="23"/>
      <c r="E162" s="37" t="s">
        <v>13</v>
      </c>
      <c r="F162" s="45">
        <v>2.1234642802972849E-2</v>
      </c>
      <c r="J162" s="10" t="s">
        <v>13</v>
      </c>
      <c r="K162" s="14">
        <v>92.366050260787105</v>
      </c>
      <c r="L162" s="14">
        <v>6.314734774066797</v>
      </c>
      <c r="O162" s="10" t="s">
        <v>13</v>
      </c>
      <c r="P162" s="46">
        <v>1.0826488706365503E-2</v>
      </c>
    </row>
    <row r="163" spans="2:16" ht="15.75" customHeight="1" x14ac:dyDescent="0.3">
      <c r="B163" s="37" t="s">
        <v>15</v>
      </c>
      <c r="C163" s="45">
        <v>0.10775862068965517</v>
      </c>
      <c r="D163" s="23"/>
      <c r="E163" s="37" t="s">
        <v>15</v>
      </c>
      <c r="F163" s="45">
        <v>8.2026977761574915E-2</v>
      </c>
      <c r="J163" s="10" t="s">
        <v>15</v>
      </c>
      <c r="K163" s="14">
        <v>75.570570570570567</v>
      </c>
      <c r="L163" s="14">
        <v>8.5874629080118687</v>
      </c>
      <c r="O163" s="10" t="s">
        <v>15</v>
      </c>
      <c r="P163" s="46">
        <v>1.3232664414861912E-2</v>
      </c>
    </row>
    <row r="164" spans="2:16" ht="15.75" customHeight="1" x14ac:dyDescent="0.3">
      <c r="B164" s="37" t="s">
        <v>14</v>
      </c>
      <c r="C164" s="45">
        <v>9.7922848664688422E-2</v>
      </c>
      <c r="D164" s="23"/>
      <c r="E164" s="37" t="s">
        <v>14</v>
      </c>
      <c r="F164" s="45">
        <v>3.4856086612094009E-2</v>
      </c>
      <c r="J164" s="10" t="s">
        <v>14</v>
      </c>
      <c r="K164" s="14">
        <v>45.589480048367591</v>
      </c>
      <c r="L164" s="14">
        <v>4.9658814589665656</v>
      </c>
      <c r="O164" s="10" t="s">
        <v>14</v>
      </c>
      <c r="P164" s="46">
        <v>2.1934884954578609E-2</v>
      </c>
    </row>
    <row r="165" spans="2:16" ht="15.75" customHeight="1" x14ac:dyDescent="0.3">
      <c r="B165" s="37" t="s">
        <v>16</v>
      </c>
      <c r="C165" s="45">
        <v>2.1120293847566574E-2</v>
      </c>
      <c r="D165" s="23"/>
      <c r="E165" s="37" t="s">
        <v>16</v>
      </c>
      <c r="F165" s="45">
        <v>1.5101772816808929E-2</v>
      </c>
      <c r="J165" s="10" t="s">
        <v>16</v>
      </c>
      <c r="K165" s="14">
        <v>97.620481927710827</v>
      </c>
      <c r="L165" s="14">
        <v>2.1539703856749313</v>
      </c>
      <c r="O165" s="10" t="s">
        <v>16</v>
      </c>
      <c r="P165" s="46">
        <v>1.0243751928417156E-2</v>
      </c>
    </row>
    <row r="166" spans="2:16" ht="15.75" customHeight="1" x14ac:dyDescent="0.3">
      <c r="B166" s="37" t="s">
        <v>18</v>
      </c>
      <c r="C166" s="45">
        <v>6.9735006973500699E-2</v>
      </c>
      <c r="D166" s="23"/>
      <c r="E166" s="37" t="s">
        <v>18</v>
      </c>
      <c r="F166" s="45">
        <v>2.2946305644791189E-2</v>
      </c>
      <c r="J166" s="10" t="s">
        <v>18</v>
      </c>
      <c r="K166" s="14">
        <v>197.00854700854703</v>
      </c>
      <c r="L166" s="14">
        <v>7.8381899060903955</v>
      </c>
      <c r="O166" s="10" t="s">
        <v>18</v>
      </c>
      <c r="P166" s="46">
        <v>5.0759219088937092E-3</v>
      </c>
    </row>
    <row r="167" spans="2:16" ht="15.75" customHeight="1" x14ac:dyDescent="0.3">
      <c r="B167" s="37" t="s">
        <v>20</v>
      </c>
      <c r="C167" s="45">
        <v>-0.12886597938144329</v>
      </c>
      <c r="D167" s="23"/>
      <c r="E167" s="37" t="s">
        <v>20</v>
      </c>
      <c r="F167" s="45">
        <v>-4.5262522631261314E-2</v>
      </c>
      <c r="J167" s="10" t="s">
        <v>20</v>
      </c>
      <c r="K167" s="14">
        <v>51.507352941176471</v>
      </c>
      <c r="L167" s="14">
        <v>7.04461357210179</v>
      </c>
      <c r="O167" s="10" t="s">
        <v>20</v>
      </c>
      <c r="P167" s="46">
        <v>1.9414703783012133E-2</v>
      </c>
    </row>
    <row r="168" spans="2:16" ht="15.75" customHeight="1" x14ac:dyDescent="0.3">
      <c r="B168" s="37" t="s">
        <v>19</v>
      </c>
      <c r="C168" s="45">
        <v>0.11755485893416928</v>
      </c>
      <c r="D168" s="23"/>
      <c r="E168" s="37" t="s">
        <v>19</v>
      </c>
      <c r="F168" s="45">
        <v>5.1688490696071676E-2</v>
      </c>
      <c r="J168" s="10" t="s">
        <v>19</v>
      </c>
      <c r="K168" s="14">
        <v>-24.771595583459625</v>
      </c>
      <c r="L168" s="14">
        <v>5.4970462633451964</v>
      </c>
      <c r="O168" s="10" t="s">
        <v>19</v>
      </c>
      <c r="P168" s="46">
        <v>-4.0368816640447468E-2</v>
      </c>
    </row>
    <row r="169" spans="2:16" ht="15.75" customHeight="1" x14ac:dyDescent="0.3">
      <c r="B169" s="37" t="s">
        <v>40</v>
      </c>
      <c r="C169" s="45">
        <v>0.1580547112462006</v>
      </c>
      <c r="D169" s="23"/>
      <c r="E169" s="37" t="s">
        <v>40</v>
      </c>
      <c r="F169" s="45">
        <v>6.9798657718120799E-2</v>
      </c>
      <c r="J169" s="15" t="s">
        <v>40</v>
      </c>
      <c r="K169" s="47">
        <v>44.08038444735692</v>
      </c>
      <c r="L169" s="47">
        <v>7.5523952095808387</v>
      </c>
      <c r="O169" s="15" t="s">
        <v>40</v>
      </c>
      <c r="P169" s="48">
        <v>2.2685827552031714E-2</v>
      </c>
    </row>
    <row r="170" spans="2:16" ht="13.8" x14ac:dyDescent="0.3">
      <c r="P170" s="32"/>
    </row>
    <row r="171" spans="2:16" ht="13.8" x14ac:dyDescent="0.3">
      <c r="B171" s="17" t="s">
        <v>21</v>
      </c>
      <c r="C171" s="49">
        <v>7.5999999999999998E-2</v>
      </c>
      <c r="D171" s="32"/>
      <c r="E171" s="17" t="s">
        <v>21</v>
      </c>
      <c r="F171" s="49">
        <v>0.04</v>
      </c>
      <c r="J171" s="17" t="s">
        <v>21</v>
      </c>
      <c r="K171" s="17">
        <v>58</v>
      </c>
      <c r="L171" s="17">
        <v>6</v>
      </c>
      <c r="O171" s="17" t="s">
        <v>21</v>
      </c>
      <c r="P171" s="50">
        <v>1.2999999999999999E-2</v>
      </c>
    </row>
    <row r="189" spans="2:9" ht="13.8" x14ac:dyDescent="0.3">
      <c r="B189" s="20" t="s">
        <v>47</v>
      </c>
    </row>
    <row r="190" spans="2:9" ht="13.8" x14ac:dyDescent="0.3">
      <c r="B190" s="7" t="s">
        <v>4</v>
      </c>
      <c r="C190" s="7" t="s">
        <v>48</v>
      </c>
      <c r="E190" s="7" t="s">
        <v>4</v>
      </c>
      <c r="F190" s="7" t="s">
        <v>49</v>
      </c>
      <c r="H190" s="7" t="s">
        <v>4</v>
      </c>
      <c r="I190" s="7" t="s">
        <v>50</v>
      </c>
    </row>
    <row r="191" spans="2:9" ht="15.75" customHeight="1" x14ac:dyDescent="0.3">
      <c r="B191" s="10" t="s">
        <v>8</v>
      </c>
      <c r="C191" s="51">
        <v>129.10507246376812</v>
      </c>
      <c r="E191" s="10" t="s">
        <v>8</v>
      </c>
      <c r="F191" s="52">
        <v>10.102139175257731</v>
      </c>
      <c r="G191" s="32"/>
      <c r="H191" s="10" t="s">
        <v>8</v>
      </c>
      <c r="I191" s="53">
        <v>7.7456290517217185E-3</v>
      </c>
    </row>
    <row r="192" spans="2:9" ht="15.75" customHeight="1" x14ac:dyDescent="0.3">
      <c r="B192" s="10" t="s">
        <v>9</v>
      </c>
      <c r="C192" s="54">
        <v>69.824775876120626</v>
      </c>
      <c r="E192" s="10" t="s">
        <v>9</v>
      </c>
      <c r="F192" s="55">
        <v>13.468845858895705</v>
      </c>
      <c r="G192" s="32"/>
      <c r="H192" s="10" t="s">
        <v>9</v>
      </c>
      <c r="I192" s="56">
        <v>1.432156405018967E-2</v>
      </c>
    </row>
    <row r="193" spans="2:9" ht="15.75" customHeight="1" x14ac:dyDescent="0.3">
      <c r="B193" s="10" t="s">
        <v>10</v>
      </c>
      <c r="C193" s="57">
        <v>63.462059620596207</v>
      </c>
      <c r="E193" s="10" t="s">
        <v>10</v>
      </c>
      <c r="F193" s="58">
        <v>10.069525000000001</v>
      </c>
      <c r="G193" s="32"/>
      <c r="H193" s="10" t="s">
        <v>10</v>
      </c>
      <c r="I193" s="59">
        <v>1.5757446354222267E-2</v>
      </c>
    </row>
    <row r="194" spans="2:9" ht="15.75" customHeight="1" x14ac:dyDescent="0.3">
      <c r="B194" s="10" t="s">
        <v>11</v>
      </c>
      <c r="C194" s="60">
        <v>97.65735815602838</v>
      </c>
      <c r="E194" s="10" t="s">
        <v>11</v>
      </c>
      <c r="F194" s="61">
        <v>7.5847126592572511</v>
      </c>
      <c r="G194" s="32"/>
      <c r="H194" s="10" t="s">
        <v>11</v>
      </c>
      <c r="I194" s="62">
        <v>1.023988380273699E-2</v>
      </c>
    </row>
    <row r="195" spans="2:9" ht="15.75" customHeight="1" x14ac:dyDescent="0.3">
      <c r="B195" s="10" t="s">
        <v>12</v>
      </c>
      <c r="C195" s="63">
        <v>70.24024024024024</v>
      </c>
      <c r="E195" s="10" t="s">
        <v>12</v>
      </c>
      <c r="F195" s="64">
        <v>11.088974641675854</v>
      </c>
      <c r="G195" s="32"/>
      <c r="H195" s="10" t="s">
        <v>12</v>
      </c>
      <c r="I195" s="65">
        <v>1.4236853356135101E-2</v>
      </c>
    </row>
    <row r="196" spans="2:9" ht="15.75" customHeight="1" x14ac:dyDescent="0.3">
      <c r="B196" s="10" t="s">
        <v>13</v>
      </c>
      <c r="C196" s="66">
        <v>94.914213090446935</v>
      </c>
      <c r="E196" s="10" t="s">
        <v>13</v>
      </c>
      <c r="F196" s="63">
        <v>7.377753026634382</v>
      </c>
      <c r="G196" s="32"/>
      <c r="H196" s="10" t="s">
        <v>13</v>
      </c>
      <c r="I196" s="67">
        <v>1.0535829855609365E-2</v>
      </c>
    </row>
    <row r="197" spans="2:9" ht="15.75" customHeight="1" x14ac:dyDescent="0.3">
      <c r="B197" s="10" t="s">
        <v>15</v>
      </c>
      <c r="C197" s="68">
        <v>58.041172800998126</v>
      </c>
      <c r="E197" s="10" t="s">
        <v>15</v>
      </c>
      <c r="F197" s="69">
        <v>6.2383141762452103</v>
      </c>
      <c r="G197" s="32"/>
      <c r="H197" s="10" t="s">
        <v>15</v>
      </c>
      <c r="I197" s="70">
        <v>1.722914875322442E-2</v>
      </c>
    </row>
    <row r="198" spans="2:9" ht="15.75" customHeight="1" x14ac:dyDescent="0.3">
      <c r="B198" s="10" t="s">
        <v>14</v>
      </c>
      <c r="C198" s="71">
        <v>92.273156899810957</v>
      </c>
      <c r="E198" s="10" t="s">
        <v>14</v>
      </c>
      <c r="F198" s="72">
        <v>8.3285422848664687</v>
      </c>
      <c r="G198" s="32"/>
      <c r="H198" s="10" t="s">
        <v>14</v>
      </c>
      <c r="I198" s="73">
        <v>1.0837387964148527E-2</v>
      </c>
    </row>
    <row r="199" spans="2:9" ht="15.75" customHeight="1" x14ac:dyDescent="0.3">
      <c r="B199" s="10" t="s">
        <v>16</v>
      </c>
      <c r="C199" s="74">
        <v>92.362428842504755</v>
      </c>
      <c r="E199" s="10" t="s">
        <v>16</v>
      </c>
      <c r="F199" s="75">
        <v>2.156628787878788</v>
      </c>
      <c r="G199" s="32"/>
      <c r="H199" s="10" t="s">
        <v>16</v>
      </c>
      <c r="I199" s="76">
        <v>1.0826913199794555E-2</v>
      </c>
    </row>
    <row r="200" spans="2:9" ht="15.75" customHeight="1" x14ac:dyDescent="0.3">
      <c r="B200" s="10" t="s">
        <v>18</v>
      </c>
      <c r="C200" s="55">
        <v>88.34020146520146</v>
      </c>
      <c r="E200" s="10" t="s">
        <v>18</v>
      </c>
      <c r="F200" s="77">
        <v>11.03254532775453</v>
      </c>
      <c r="G200" s="32"/>
      <c r="H200" s="10" t="s">
        <v>18</v>
      </c>
      <c r="I200" s="78">
        <v>1.1319874569155416E-2</v>
      </c>
    </row>
    <row r="201" spans="2:9" ht="15.75" customHeight="1" x14ac:dyDescent="0.3">
      <c r="B201" s="10" t="s">
        <v>20</v>
      </c>
      <c r="C201" s="79">
        <v>3891</v>
      </c>
      <c r="E201" s="10" t="s">
        <v>20</v>
      </c>
      <c r="F201" s="80">
        <v>9.9280670103092792</v>
      </c>
      <c r="G201" s="32"/>
      <c r="H201" s="10" t="s">
        <v>20</v>
      </c>
      <c r="I201" s="81">
        <v>2.5700334104343357E-4</v>
      </c>
    </row>
    <row r="202" spans="2:9" ht="15.75" customHeight="1" x14ac:dyDescent="0.3">
      <c r="B202" s="10" t="s">
        <v>19</v>
      </c>
      <c r="C202" s="75">
        <v>79.695121951219505</v>
      </c>
      <c r="E202" s="10" t="s">
        <v>19</v>
      </c>
      <c r="F202" s="82">
        <v>8.6040752351097183</v>
      </c>
      <c r="G202" s="32"/>
      <c r="H202" s="10" t="s">
        <v>19</v>
      </c>
      <c r="I202" s="83">
        <v>1.2547819433817903E-2</v>
      </c>
    </row>
    <row r="203" spans="2:9" ht="15.75" customHeight="1" x14ac:dyDescent="0.3">
      <c r="B203" s="15" t="s">
        <v>40</v>
      </c>
      <c r="C203" s="84">
        <v>44.08038444735692</v>
      </c>
      <c r="E203" s="15" t="s">
        <v>40</v>
      </c>
      <c r="F203" s="85">
        <v>7.5523952095808387</v>
      </c>
      <c r="G203" s="32"/>
      <c r="H203" s="15" t="s">
        <v>40</v>
      </c>
      <c r="I203" s="86">
        <v>2.2685827552031714E-2</v>
      </c>
    </row>
    <row r="204" spans="2:9" ht="13.8" x14ac:dyDescent="0.3">
      <c r="B204" s="19"/>
      <c r="C204" s="19"/>
      <c r="E204" s="19"/>
      <c r="F204" s="19"/>
      <c r="G204" s="32"/>
      <c r="H204" s="19"/>
      <c r="I204" s="87"/>
    </row>
    <row r="205" spans="2:9" ht="13.8" x14ac:dyDescent="0.3">
      <c r="B205" s="17" t="s">
        <v>21</v>
      </c>
      <c r="C205" s="88">
        <v>58</v>
      </c>
      <c r="E205" s="17" t="s">
        <v>21</v>
      </c>
      <c r="F205" s="88">
        <v>9</v>
      </c>
      <c r="G205" s="32"/>
      <c r="H205" s="17" t="s">
        <v>21</v>
      </c>
      <c r="I205" s="49">
        <v>1.2999999999999999E-2</v>
      </c>
    </row>
    <row r="221" spans="2:41" ht="13.8" x14ac:dyDescent="0.3">
      <c r="B221" s="21" t="s">
        <v>51</v>
      </c>
      <c r="F221" s="21" t="s">
        <v>52</v>
      </c>
      <c r="O221" s="21" t="s">
        <v>53</v>
      </c>
      <c r="AB221" s="21" t="s">
        <v>28</v>
      </c>
      <c r="AF221" s="21" t="s">
        <v>36</v>
      </c>
      <c r="AI221" s="21" t="s">
        <v>54</v>
      </c>
      <c r="AK221" s="21" t="s">
        <v>44</v>
      </c>
      <c r="AM221" s="21" t="s">
        <v>47</v>
      </c>
    </row>
    <row r="222" spans="2:41" ht="13.8" x14ac:dyDescent="0.3">
      <c r="B222" s="21" t="s">
        <v>55</v>
      </c>
      <c r="C222" s="21" t="s">
        <v>4</v>
      </c>
      <c r="D222" s="21" t="s">
        <v>56</v>
      </c>
      <c r="E222" s="21" t="s">
        <v>5</v>
      </c>
      <c r="F222" s="21" t="s">
        <v>57</v>
      </c>
      <c r="G222" s="21" t="s">
        <v>58</v>
      </c>
      <c r="H222" s="21" t="s">
        <v>59</v>
      </c>
      <c r="I222" s="21" t="s">
        <v>60</v>
      </c>
      <c r="J222" s="21" t="s">
        <v>61</v>
      </c>
      <c r="K222" s="21" t="s">
        <v>62</v>
      </c>
      <c r="L222" s="21" t="s">
        <v>63</v>
      </c>
      <c r="M222" s="21" t="s">
        <v>64</v>
      </c>
      <c r="N222" s="21" t="s">
        <v>65</v>
      </c>
      <c r="O222" s="21" t="s">
        <v>6</v>
      </c>
      <c r="P222" s="21" t="s">
        <v>66</v>
      </c>
      <c r="Q222" s="21" t="s">
        <v>67</v>
      </c>
      <c r="R222" s="21" t="s">
        <v>68</v>
      </c>
      <c r="S222" s="21" t="s">
        <v>69</v>
      </c>
      <c r="T222" s="21" t="s">
        <v>7</v>
      </c>
      <c r="U222" s="21" t="s">
        <v>70</v>
      </c>
      <c r="V222" s="21" t="s">
        <v>71</v>
      </c>
      <c r="W222" s="21" t="s">
        <v>72</v>
      </c>
      <c r="X222" s="21" t="s">
        <v>73</v>
      </c>
      <c r="Y222" s="21" t="s">
        <v>74</v>
      </c>
      <c r="Z222" s="21" t="s">
        <v>75</v>
      </c>
      <c r="AA222" s="21" t="s">
        <v>76</v>
      </c>
      <c r="AB222" s="21" t="s">
        <v>77</v>
      </c>
      <c r="AC222" s="21" t="s">
        <v>78</v>
      </c>
      <c r="AD222" s="21" t="s">
        <v>79</v>
      </c>
      <c r="AE222" s="21" t="s">
        <v>80</v>
      </c>
      <c r="AF222" s="21" t="s">
        <v>37</v>
      </c>
      <c r="AG222" s="21" t="s">
        <v>38</v>
      </c>
      <c r="AH222" s="21" t="s">
        <v>39</v>
      </c>
      <c r="AI222" s="21" t="s">
        <v>81</v>
      </c>
      <c r="AJ222" s="21" t="s">
        <v>82</v>
      </c>
      <c r="AK222" s="36" t="s">
        <v>45</v>
      </c>
      <c r="AL222" s="36" t="s">
        <v>46</v>
      </c>
      <c r="AM222" s="7" t="s">
        <v>48</v>
      </c>
      <c r="AN222" s="7" t="s">
        <v>49</v>
      </c>
      <c r="AO222" s="7" t="s">
        <v>50</v>
      </c>
    </row>
    <row r="223" spans="2:41" ht="15.75" customHeight="1" x14ac:dyDescent="0.3">
      <c r="B223" s="89">
        <v>500575</v>
      </c>
      <c r="C223" s="22" t="s">
        <v>8</v>
      </c>
      <c r="D223" s="90">
        <f ca="1">IFERROR(__xludf.DUMMYFUNCTION("GOOGLEFINANCE(""bom:""&amp;B223,""price"")"),1778.75)</f>
        <v>1778.75</v>
      </c>
      <c r="E223" s="91">
        <f ca="1">IFERROR(__xludf.DUMMYFUNCTION("GOOGLEFINANCE(""bom:""&amp;B223,""marketcap"")/10000000"),58851.1519341)</f>
        <v>58851.151934100002</v>
      </c>
      <c r="F223" s="91">
        <v>7725</v>
      </c>
      <c r="G223" s="91">
        <v>5756</v>
      </c>
      <c r="H223" s="91">
        <v>12036</v>
      </c>
      <c r="I223" s="91">
        <v>6182</v>
      </c>
      <c r="J223" s="91">
        <v>33</v>
      </c>
      <c r="K223" s="91">
        <v>5787</v>
      </c>
      <c r="L223" s="91">
        <v>713</v>
      </c>
      <c r="M223" s="91">
        <v>2533</v>
      </c>
      <c r="N223" s="90">
        <v>1</v>
      </c>
      <c r="O223" s="3">
        <v>12481</v>
      </c>
      <c r="P223" s="3">
        <v>9399</v>
      </c>
      <c r="Q223" s="3">
        <v>6693</v>
      </c>
      <c r="R223" s="3">
        <v>5266</v>
      </c>
      <c r="S223" s="3">
        <v>4325</v>
      </c>
      <c r="T223" s="3">
        <v>248</v>
      </c>
      <c r="U223" s="90">
        <v>136</v>
      </c>
      <c r="V223" s="90">
        <v>464</v>
      </c>
      <c r="W223" s="90">
        <v>245</v>
      </c>
      <c r="X223" s="90">
        <v>254</v>
      </c>
      <c r="Y223" s="92">
        <f ca="1">IFERROR(__xludf.DUMMYFUNCTION("GOOGLEFINANCE(""nse:""&amp;C223,""eps"")"),13.8)</f>
        <v>13.8</v>
      </c>
      <c r="Z223" s="90">
        <v>779</v>
      </c>
      <c r="AA223" s="90">
        <v>12110</v>
      </c>
      <c r="AB223" s="93">
        <v>6.8099999999999994E-2</v>
      </c>
      <c r="AC223" s="93">
        <v>3.8399999999999997E-2</v>
      </c>
      <c r="AD223" s="93">
        <f t="shared" ref="AD223:AD234" si="0">T223/O223</f>
        <v>1.9870202708116336E-2</v>
      </c>
      <c r="AE223" s="93">
        <f t="shared" ref="AE223:AE234" si="1">W223/R223</f>
        <v>4.6524876566654008E-2</v>
      </c>
      <c r="AF223" s="94">
        <f t="shared" ref="AF223:AF234" si="2">L223/(K223+J223)</f>
        <v>0.12250859106529209</v>
      </c>
      <c r="AG223" s="95">
        <f t="shared" ref="AG223:AG234" si="3">(O223-(AA223-Z223))/Z223</f>
        <v>1.4762516046213094</v>
      </c>
      <c r="AH223" s="95">
        <f t="shared" ref="AH223:AH234" si="4">I223/(J223+K223)</f>
        <v>1.0621993127147766</v>
      </c>
      <c r="AI223" s="43">
        <f t="shared" ref="AI223:AI234" si="5">F223/G223</f>
        <v>1.3420778318276581</v>
      </c>
      <c r="AJ223" s="96">
        <f t="shared" ref="AJ223:AJ234" si="6">(M223/O223)*365</f>
        <v>74.076195817642827</v>
      </c>
      <c r="AK223" s="23">
        <f t="shared" ref="AK223:AK234" si="7">T223/(J223+K223)</f>
        <v>4.2611683848797252E-2</v>
      </c>
      <c r="AL223" s="23">
        <f t="shared" ref="AL223:AL234" si="8">T223/H223</f>
        <v>2.0604852110335661E-2</v>
      </c>
      <c r="AM223" s="96">
        <f t="shared" ref="AM223:AM234" ca="1" si="9">D223/Y223</f>
        <v>128.89492753623188</v>
      </c>
      <c r="AN223" s="96">
        <f t="shared" ref="AN223:AN234" ca="1" si="10">D223/((K223+J223)/(J223/N223))</f>
        <v>10.085695876288659</v>
      </c>
      <c r="AO223" s="32">
        <f t="shared" ref="AO223:AO234" ca="1" si="11">Y223/D223</f>
        <v>7.7582572030920598E-3</v>
      </c>
    </row>
    <row r="224" spans="2:41" ht="15.75" customHeight="1" x14ac:dyDescent="0.3">
      <c r="B224" s="89">
        <v>500067</v>
      </c>
      <c r="C224" s="22" t="s">
        <v>9</v>
      </c>
      <c r="D224" s="90">
        <f ca="1">IFERROR(__xludf.DUMMYFUNCTION("GOOGLEFINANCE(""bom:""&amp;B224,""price"")"),1707.85)</f>
        <v>1707.85</v>
      </c>
      <c r="E224" s="91">
        <f ca="1">IFERROR(__xludf.DUMMYFUNCTION("GOOGLEFINANCE(""bom:""&amp;B224,""marketcap"")/10000000"),35036.74488)</f>
        <v>35036.744879999998</v>
      </c>
      <c r="F224" s="91">
        <v>5040</v>
      </c>
      <c r="G224" s="91">
        <v>3879</v>
      </c>
      <c r="H224" s="91">
        <v>6618</v>
      </c>
      <c r="I224" s="91">
        <v>4005</v>
      </c>
      <c r="J224" s="91">
        <v>41</v>
      </c>
      <c r="K224" s="91">
        <v>2567</v>
      </c>
      <c r="L224" s="91">
        <v>167</v>
      </c>
      <c r="M224" s="91">
        <v>1952</v>
      </c>
      <c r="N224" s="90">
        <v>2</v>
      </c>
      <c r="O224" s="90">
        <v>9685</v>
      </c>
      <c r="P224" s="90">
        <v>7977</v>
      </c>
      <c r="Q224" s="90">
        <v>5234</v>
      </c>
      <c r="R224" s="90">
        <v>2914</v>
      </c>
      <c r="S224" s="90">
        <v>2523</v>
      </c>
      <c r="T224" s="90">
        <v>414</v>
      </c>
      <c r="U224" s="90">
        <v>400</v>
      </c>
      <c r="V224" s="90">
        <v>190</v>
      </c>
      <c r="W224" s="90">
        <v>77</v>
      </c>
      <c r="X224" s="90">
        <v>180</v>
      </c>
      <c r="Y224" s="92">
        <f ca="1">IFERROR(__xludf.DUMMYFUNCTION("GOOGLEFINANCE(""nse:""&amp;C224,""eps"")"),24.54)</f>
        <v>24.54</v>
      </c>
      <c r="Z224" s="90">
        <v>58</v>
      </c>
      <c r="AA224" s="90">
        <v>9176</v>
      </c>
      <c r="AB224" s="93">
        <v>5.8999999999999997E-2</v>
      </c>
      <c r="AC224" s="93">
        <v>3.73E-2</v>
      </c>
      <c r="AD224" s="93">
        <f t="shared" si="0"/>
        <v>4.2746515229736708E-2</v>
      </c>
      <c r="AE224" s="93">
        <f t="shared" si="1"/>
        <v>2.6424159231297185E-2</v>
      </c>
      <c r="AF224" s="94">
        <f t="shared" si="2"/>
        <v>6.4033742331288349E-2</v>
      </c>
      <c r="AG224" s="95">
        <f t="shared" si="3"/>
        <v>9.7758620689655178</v>
      </c>
      <c r="AH224" s="95">
        <f t="shared" si="4"/>
        <v>1.5356595092024541</v>
      </c>
      <c r="AI224" s="43">
        <f t="shared" si="5"/>
        <v>1.2993039443155452</v>
      </c>
      <c r="AJ224" s="96">
        <f t="shared" si="6"/>
        <v>73.565307176045437</v>
      </c>
      <c r="AK224" s="23">
        <f t="shared" si="7"/>
        <v>0.15874233128834356</v>
      </c>
      <c r="AL224" s="23">
        <f t="shared" si="8"/>
        <v>6.2556663644605617E-2</v>
      </c>
      <c r="AM224" s="96">
        <f t="shared" ca="1" si="9"/>
        <v>69.594539527302359</v>
      </c>
      <c r="AN224" s="96">
        <f t="shared" ca="1" si="10"/>
        <v>13.424434432515337</v>
      </c>
      <c r="AO224" s="32">
        <f t="shared" ca="1" si="11"/>
        <v>1.4368943408378956E-2</v>
      </c>
    </row>
    <row r="225" spans="2:41" ht="15.75" customHeight="1" x14ac:dyDescent="0.3">
      <c r="B225" s="89">
        <v>539876</v>
      </c>
      <c r="C225" s="22" t="s">
        <v>10</v>
      </c>
      <c r="D225" s="90">
        <f ca="1">IFERROR(__xludf.DUMMYFUNCTION("GOOGLEFINANCE(""bom:""&amp;B225,""price"")"),466.35)</f>
        <v>466.35</v>
      </c>
      <c r="E225" s="91">
        <f ca="1">IFERROR(__xludf.DUMMYFUNCTION("GOOGLEFINANCE(""bom:""&amp;B225,""marketcap"")/10000000"),29932.3129835)</f>
        <v>29932.3129835</v>
      </c>
      <c r="F225" s="91">
        <v>2705</v>
      </c>
      <c r="G225" s="91">
        <v>2063</v>
      </c>
      <c r="H225" s="91">
        <v>6082</v>
      </c>
      <c r="I225" s="91">
        <v>2633</v>
      </c>
      <c r="J225" s="91">
        <v>129</v>
      </c>
      <c r="K225" s="91">
        <v>2871</v>
      </c>
      <c r="L225" s="91">
        <v>599</v>
      </c>
      <c r="M225" s="91">
        <v>721</v>
      </c>
      <c r="N225" s="90">
        <v>2</v>
      </c>
      <c r="O225" s="90">
        <v>7313</v>
      </c>
      <c r="P225" s="90">
        <v>5809</v>
      </c>
      <c r="Q225" s="90">
        <v>4479</v>
      </c>
      <c r="R225" s="90"/>
      <c r="S225" s="90"/>
      <c r="T225" s="90">
        <v>442</v>
      </c>
      <c r="U225" s="90">
        <v>475</v>
      </c>
      <c r="V225" s="90">
        <v>401</v>
      </c>
      <c r="W225" s="90"/>
      <c r="X225" s="90"/>
      <c r="Y225" s="92">
        <f ca="1">IFERROR(__xludf.DUMMYFUNCTION("GOOGLEFINANCE(""nse:""&amp;C225,""eps"")"),7.38)</f>
        <v>7.38</v>
      </c>
      <c r="Z225" s="90">
        <v>79</v>
      </c>
      <c r="AA225" s="90">
        <v>6807</v>
      </c>
      <c r="AB225" s="93">
        <v>7.1099999999999997E-2</v>
      </c>
      <c r="AC225" s="93">
        <v>6.5000000000000002E-2</v>
      </c>
      <c r="AD225" s="93">
        <f t="shared" si="0"/>
        <v>6.0440311773553947E-2</v>
      </c>
      <c r="AE225" s="93" t="e">
        <f t="shared" si="1"/>
        <v>#DIV/0!</v>
      </c>
      <c r="AF225" s="94">
        <f t="shared" si="2"/>
        <v>0.19966666666666666</v>
      </c>
      <c r="AG225" s="95">
        <f t="shared" si="3"/>
        <v>7.4050632911392409</v>
      </c>
      <c r="AH225" s="95">
        <f t="shared" si="4"/>
        <v>0.87766666666666671</v>
      </c>
      <c r="AI225" s="43">
        <f t="shared" si="5"/>
        <v>1.3111972855065439</v>
      </c>
      <c r="AJ225" s="96">
        <f t="shared" si="6"/>
        <v>35.985915492957744</v>
      </c>
      <c r="AK225" s="23">
        <f t="shared" si="7"/>
        <v>0.14733333333333334</v>
      </c>
      <c r="AL225" s="23">
        <f t="shared" si="8"/>
        <v>7.2673462676751066E-2</v>
      </c>
      <c r="AM225" s="96">
        <f t="shared" ca="1" si="9"/>
        <v>63.19105691056911</v>
      </c>
      <c r="AN225" s="96">
        <f t="shared" ca="1" si="10"/>
        <v>10.026525000000001</v>
      </c>
      <c r="AO225" s="32">
        <f t="shared" ca="1" si="11"/>
        <v>1.5825024123512381E-2</v>
      </c>
    </row>
    <row r="226" spans="2:41" ht="15.75" customHeight="1" x14ac:dyDescent="0.3">
      <c r="B226" s="89">
        <v>500238</v>
      </c>
      <c r="C226" s="22" t="s">
        <v>11</v>
      </c>
      <c r="D226" s="90">
        <f ca="1">IFERROR(__xludf.DUMMYFUNCTION("GOOGLEFINANCE(""bom:""&amp;B226,""price"")"),2220)</f>
        <v>2220</v>
      </c>
      <c r="E226" s="91">
        <f ca="1">IFERROR(__xludf.DUMMYFUNCTION("GOOGLEFINANCE(""bom:""&amp;B226,""marketcap"")/10000000"),28162.367805)</f>
        <v>28162.367805000002</v>
      </c>
      <c r="F226" s="91">
        <v>4025</v>
      </c>
      <c r="G226" s="91">
        <v>1769</v>
      </c>
      <c r="H226" s="91">
        <v>6140</v>
      </c>
      <c r="I226" s="91">
        <v>2296</v>
      </c>
      <c r="J226" s="91">
        <v>127</v>
      </c>
      <c r="K226" s="91">
        <v>3562</v>
      </c>
      <c r="L226" s="91">
        <v>0</v>
      </c>
      <c r="M226" s="91">
        <v>340</v>
      </c>
      <c r="N226" s="90">
        <v>10</v>
      </c>
      <c r="O226" s="90">
        <v>6830</v>
      </c>
      <c r="P226" s="90">
        <v>6795</v>
      </c>
      <c r="Q226" s="90">
        <v>5397</v>
      </c>
      <c r="R226" s="90">
        <v>2834</v>
      </c>
      <c r="S226" s="90">
        <v>1646</v>
      </c>
      <c r="T226" s="90">
        <v>224</v>
      </c>
      <c r="U226" s="90">
        <v>223</v>
      </c>
      <c r="V226" s="90">
        <v>409</v>
      </c>
      <c r="W226" s="90">
        <v>122</v>
      </c>
      <c r="X226" s="90">
        <v>15</v>
      </c>
      <c r="Y226" s="92">
        <f ca="1">IFERROR(__xludf.DUMMYFUNCTION("GOOGLEFINANCE(""nse:""&amp;C226,""eps"")"),22.56)</f>
        <v>22.56</v>
      </c>
      <c r="Z226" s="90">
        <v>30</v>
      </c>
      <c r="AA226" s="90">
        <v>6668</v>
      </c>
      <c r="AB226" s="93">
        <v>5.62E-2</v>
      </c>
      <c r="AC226" s="93">
        <v>3.2199999999999999E-2</v>
      </c>
      <c r="AD226" s="93">
        <f t="shared" si="0"/>
        <v>3.2796486090775991E-2</v>
      </c>
      <c r="AE226" s="93">
        <f t="shared" si="1"/>
        <v>4.3048694424841216E-2</v>
      </c>
      <c r="AF226" s="94">
        <f t="shared" si="2"/>
        <v>0</v>
      </c>
      <c r="AG226" s="95">
        <f t="shared" si="3"/>
        <v>6.4</v>
      </c>
      <c r="AH226" s="95">
        <f t="shared" si="4"/>
        <v>0.62239089184060725</v>
      </c>
      <c r="AI226" s="43">
        <f t="shared" si="5"/>
        <v>2.2752967778405879</v>
      </c>
      <c r="AJ226" s="96">
        <f t="shared" si="6"/>
        <v>18.169838945827234</v>
      </c>
      <c r="AK226" s="23">
        <f t="shared" si="7"/>
        <v>6.0721062618595827E-2</v>
      </c>
      <c r="AL226" s="23">
        <f t="shared" si="8"/>
        <v>3.6482084690553744E-2</v>
      </c>
      <c r="AM226" s="96">
        <f t="shared" ca="1" si="9"/>
        <v>98.404255319148945</v>
      </c>
      <c r="AN226" s="96">
        <f t="shared" ca="1" si="10"/>
        <v>7.6427216047709408</v>
      </c>
      <c r="AO226" s="32">
        <f t="shared" ca="1" si="11"/>
        <v>1.0162162162162161E-2</v>
      </c>
    </row>
    <row r="227" spans="2:41" ht="15.75" customHeight="1" x14ac:dyDescent="0.3">
      <c r="B227" s="89">
        <v>532953</v>
      </c>
      <c r="C227" s="22" t="s">
        <v>12</v>
      </c>
      <c r="D227" s="90">
        <f ca="1">IFERROR(__xludf.DUMMYFUNCTION("GOOGLEFINANCE(""bom:""&amp;B227,""price"")"),468.8)</f>
        <v>468.8</v>
      </c>
      <c r="E227" s="91">
        <f ca="1">IFERROR(__xludf.DUMMYFUNCTION("GOOGLEFINANCE(""bom:""&amp;B227,""marketcap"")/10000000"),20379.6976095)</f>
        <v>20379.697609499999</v>
      </c>
      <c r="F227" s="91">
        <v>1637</v>
      </c>
      <c r="G227" s="91">
        <v>1002</v>
      </c>
      <c r="H227" s="91">
        <v>3161</v>
      </c>
      <c r="I227" s="91">
        <v>1347</v>
      </c>
      <c r="J227" s="91">
        <v>43</v>
      </c>
      <c r="K227" s="91">
        <v>1771</v>
      </c>
      <c r="L227" s="91">
        <v>291</v>
      </c>
      <c r="M227" s="91">
        <v>596</v>
      </c>
      <c r="N227" s="90">
        <v>1</v>
      </c>
      <c r="O227" s="90">
        <v>4857</v>
      </c>
      <c r="P227" s="90">
        <v>4127</v>
      </c>
      <c r="Q227" s="90">
        <v>2594</v>
      </c>
      <c r="R227" s="90">
        <v>1517</v>
      </c>
      <c r="S227" s="90">
        <v>316</v>
      </c>
      <c r="T227" s="90">
        <v>258</v>
      </c>
      <c r="U227" s="90">
        <v>189</v>
      </c>
      <c r="V227" s="90">
        <v>168</v>
      </c>
      <c r="W227" s="90">
        <v>70</v>
      </c>
      <c r="X227" s="90">
        <v>17</v>
      </c>
      <c r="Y227" s="92">
        <f ca="1">IFERROR(__xludf.DUMMYFUNCTION("GOOGLEFINANCE(""nse:""&amp;C227,""eps"")"),6.66)</f>
        <v>6.66</v>
      </c>
      <c r="Z227" s="90">
        <v>40</v>
      </c>
      <c r="AA227" s="90">
        <v>4550</v>
      </c>
      <c r="AB227" s="93">
        <v>6.7000000000000004E-2</v>
      </c>
      <c r="AC227" s="93">
        <v>5.2699999999999997E-2</v>
      </c>
      <c r="AD227" s="93">
        <f t="shared" si="0"/>
        <v>5.3119209388511425E-2</v>
      </c>
      <c r="AE227" s="93">
        <f t="shared" si="1"/>
        <v>4.6143704680290047E-2</v>
      </c>
      <c r="AF227" s="94">
        <f t="shared" si="2"/>
        <v>0.16041896361631752</v>
      </c>
      <c r="AG227" s="95">
        <f t="shared" si="3"/>
        <v>8.6750000000000007</v>
      </c>
      <c r="AH227" s="95">
        <f t="shared" si="4"/>
        <v>0.74255788313120175</v>
      </c>
      <c r="AI227" s="43">
        <f t="shared" si="5"/>
        <v>1.6337325349301397</v>
      </c>
      <c r="AJ227" s="96">
        <f t="shared" si="6"/>
        <v>44.788964381305334</v>
      </c>
      <c r="AK227" s="23">
        <f t="shared" si="7"/>
        <v>0.14222712238147739</v>
      </c>
      <c r="AL227" s="23">
        <f t="shared" si="8"/>
        <v>8.1619740588421391E-2</v>
      </c>
      <c r="AM227" s="96">
        <f t="shared" ca="1" si="9"/>
        <v>70.390390390390394</v>
      </c>
      <c r="AN227" s="96">
        <f t="shared" ca="1" si="10"/>
        <v>11.112679162072768</v>
      </c>
      <c r="AO227" s="32">
        <f t="shared" ca="1" si="11"/>
        <v>1.4206484641638225E-2</v>
      </c>
    </row>
    <row r="228" spans="2:41" ht="15.75" customHeight="1" x14ac:dyDescent="0.3">
      <c r="B228" s="89">
        <v>540902</v>
      </c>
      <c r="C228" s="22" t="s">
        <v>13</v>
      </c>
      <c r="D228" s="90">
        <f ca="1">IFERROR(__xludf.DUMMYFUNCTION("GOOGLEFINANCE(""bom:""&amp;B228,""price"")"),4485)</f>
        <v>4485</v>
      </c>
      <c r="E228" s="91">
        <f ca="1">IFERROR(__xludf.DUMMYFUNCTION("GOOGLEFINANCE(""bom:""&amp;B228,""marketcap"")/10000000"),15134.7472649)</f>
        <v>15134.747264899999</v>
      </c>
      <c r="F228" s="91">
        <v>3355</v>
      </c>
      <c r="G228" s="91">
        <v>3285</v>
      </c>
      <c r="H228" s="91">
        <v>6593</v>
      </c>
      <c r="I228" s="91">
        <v>4477</v>
      </c>
      <c r="J228" s="91">
        <v>34</v>
      </c>
      <c r="K228" s="91">
        <v>2031</v>
      </c>
      <c r="L228" s="91">
        <v>1434</v>
      </c>
      <c r="M228" s="91">
        <v>1569</v>
      </c>
      <c r="N228" s="90">
        <v>10</v>
      </c>
      <c r="O228" s="90">
        <v>6730</v>
      </c>
      <c r="P228" s="90">
        <v>6927</v>
      </c>
      <c r="Q228" s="90">
        <v>2188</v>
      </c>
      <c r="R228" s="90"/>
      <c r="S228" s="90"/>
      <c r="T228" s="90">
        <v>140</v>
      </c>
      <c r="U228" s="90">
        <v>163</v>
      </c>
      <c r="V228" s="90">
        <v>92</v>
      </c>
      <c r="W228" s="90"/>
      <c r="X228" s="90"/>
      <c r="Y228" s="92">
        <f ca="1">IFERROR(__xludf.DUMMYFUNCTION("GOOGLEFINANCE(""nse:""&amp;C228,""eps"")"),47.21)</f>
        <v>47.21</v>
      </c>
      <c r="Z228" s="90">
        <v>167</v>
      </c>
      <c r="AA228" s="90">
        <v>6591</v>
      </c>
      <c r="AB228" s="93">
        <v>4.0899999999999999E-2</v>
      </c>
      <c r="AC228" s="93">
        <v>2.75E-2</v>
      </c>
      <c r="AD228" s="93">
        <f t="shared" si="0"/>
        <v>2.0802377414561663E-2</v>
      </c>
      <c r="AE228" s="93" t="e">
        <f t="shared" si="1"/>
        <v>#DIV/0!</v>
      </c>
      <c r="AF228" s="94">
        <f t="shared" si="2"/>
        <v>0.69443099273607745</v>
      </c>
      <c r="AG228" s="95">
        <f t="shared" si="3"/>
        <v>1.8323353293413174</v>
      </c>
      <c r="AH228" s="95">
        <f t="shared" si="4"/>
        <v>2.168038740920097</v>
      </c>
      <c r="AI228" s="43">
        <f t="shared" si="5"/>
        <v>1.0213089802130899</v>
      </c>
      <c r="AJ228" s="96">
        <f t="shared" si="6"/>
        <v>85.094353640416045</v>
      </c>
      <c r="AK228" s="23">
        <f t="shared" si="7"/>
        <v>6.7796610169491525E-2</v>
      </c>
      <c r="AL228" s="23">
        <f t="shared" si="8"/>
        <v>2.1234642802972849E-2</v>
      </c>
      <c r="AM228" s="96">
        <f t="shared" ca="1" si="9"/>
        <v>95.001059097648806</v>
      </c>
      <c r="AN228" s="96">
        <f t="shared" ca="1" si="10"/>
        <v>7.3845036319612589</v>
      </c>
      <c r="AO228" s="32">
        <f t="shared" ca="1" si="11"/>
        <v>1.0526198439241918E-2</v>
      </c>
    </row>
    <row r="229" spans="2:41" ht="15.75" customHeight="1" x14ac:dyDescent="0.3">
      <c r="B229" s="89">
        <v>517506</v>
      </c>
      <c r="C229" s="22" t="s">
        <v>14</v>
      </c>
      <c r="D229" s="90">
        <f ca="1">IFERROR(__xludf.DUMMYFUNCTION("GOOGLEFINANCE(""bom:""&amp;B229,""price"")"),926.85)</f>
        <v>926.85</v>
      </c>
      <c r="E229" s="91">
        <f ca="1">IFERROR(__xludf.DUMMYFUNCTION("GOOGLEFINANCE(""bom:""&amp;B229,""marketcap"")/10000000"),12822.4879007)</f>
        <v>12822.4879007</v>
      </c>
      <c r="F229" s="91">
        <v>1944</v>
      </c>
      <c r="G229" s="91">
        <v>507</v>
      </c>
      <c r="H229" s="91">
        <v>2743</v>
      </c>
      <c r="I229" s="91">
        <v>655</v>
      </c>
      <c r="J229" s="91">
        <v>14</v>
      </c>
      <c r="K229" s="91">
        <v>2074</v>
      </c>
      <c r="L229" s="91">
        <v>47</v>
      </c>
      <c r="M229" s="91">
        <v>294</v>
      </c>
      <c r="N229" s="90">
        <v>1</v>
      </c>
      <c r="O229" s="90">
        <v>2678</v>
      </c>
      <c r="P229" s="90">
        <v>2777</v>
      </c>
      <c r="Q229" s="90">
        <v>2106</v>
      </c>
      <c r="R229" s="90">
        <v>1316</v>
      </c>
      <c r="S229" s="90">
        <v>401</v>
      </c>
      <c r="T229" s="90">
        <v>225</v>
      </c>
      <c r="U229" s="90">
        <v>255</v>
      </c>
      <c r="V229" s="90">
        <v>192</v>
      </c>
      <c r="W229" s="90">
        <v>112</v>
      </c>
      <c r="X229" s="90">
        <v>22</v>
      </c>
      <c r="Y229" s="92">
        <f ca="1">IFERROR(__xludf.DUMMYFUNCTION("GOOGLEFINANCE(""nse:""&amp;C229,""eps"")"),16.03)</f>
        <v>16.03</v>
      </c>
      <c r="Z229" s="90">
        <v>13</v>
      </c>
      <c r="AA229" s="90">
        <v>2452</v>
      </c>
      <c r="AB229" s="93">
        <v>8.5099999999999995E-2</v>
      </c>
      <c r="AC229" s="93">
        <v>9.1800000000000007E-2</v>
      </c>
      <c r="AD229" s="93">
        <f t="shared" si="0"/>
        <v>8.4017923823749063E-2</v>
      </c>
      <c r="AE229" s="93">
        <f t="shared" si="1"/>
        <v>8.5106382978723402E-2</v>
      </c>
      <c r="AF229" s="94">
        <f t="shared" si="2"/>
        <v>2.2509578544061302E-2</v>
      </c>
      <c r="AG229" s="95">
        <f t="shared" si="3"/>
        <v>18.384615384615383</v>
      </c>
      <c r="AH229" s="95">
        <f t="shared" si="4"/>
        <v>0.31369731800766282</v>
      </c>
      <c r="AI229" s="43">
        <f t="shared" si="5"/>
        <v>3.834319526627219</v>
      </c>
      <c r="AJ229" s="96">
        <f t="shared" si="6"/>
        <v>40.070948469006723</v>
      </c>
      <c r="AK229" s="23">
        <f t="shared" si="7"/>
        <v>0.10775862068965517</v>
      </c>
      <c r="AL229" s="23">
        <f t="shared" si="8"/>
        <v>8.2026977761574915E-2</v>
      </c>
      <c r="AM229" s="96">
        <f t="shared" ca="1" si="9"/>
        <v>57.819713038053649</v>
      </c>
      <c r="AN229" s="96">
        <f t="shared" ca="1" si="10"/>
        <v>6.2145114942528741</v>
      </c>
      <c r="AO229" s="32">
        <f t="shared" ca="1" si="11"/>
        <v>1.7295139450828074E-2</v>
      </c>
    </row>
    <row r="230" spans="2:41" ht="15.75" customHeight="1" x14ac:dyDescent="0.3">
      <c r="B230" s="89">
        <v>500031</v>
      </c>
      <c r="C230" s="24" t="s">
        <v>15</v>
      </c>
      <c r="D230" s="90">
        <f ca="1">IFERROR(__xludf.DUMMYFUNCTION("GOOGLEFINANCE(""bom:""&amp;B230,""price"")"),975.6)</f>
        <v>975.6</v>
      </c>
      <c r="E230" s="91">
        <f ca="1">IFERROR(__xludf.DUMMYFUNCTION("GOOGLEFINANCE(""bom:""&amp;B230,""marketcap"")/10000000"),11220.2276136)</f>
        <v>11220.2276136</v>
      </c>
      <c r="F230" s="91">
        <v>2504</v>
      </c>
      <c r="G230" s="91">
        <v>2204</v>
      </c>
      <c r="H230" s="91">
        <v>3787</v>
      </c>
      <c r="I230" s="91">
        <v>2439</v>
      </c>
      <c r="J230" s="91">
        <v>23</v>
      </c>
      <c r="K230" s="91">
        <v>1325</v>
      </c>
      <c r="L230" s="91">
        <v>215</v>
      </c>
      <c r="M230" s="91">
        <v>22</v>
      </c>
      <c r="N230" s="90">
        <v>2</v>
      </c>
      <c r="O230" s="3">
        <v>4639</v>
      </c>
      <c r="P230" s="90">
        <v>5429</v>
      </c>
      <c r="Q230" s="3">
        <v>6656</v>
      </c>
      <c r="R230" s="3">
        <v>4002</v>
      </c>
      <c r="T230" s="3">
        <v>132</v>
      </c>
      <c r="U230" s="90">
        <v>215</v>
      </c>
      <c r="V230" s="90">
        <v>167</v>
      </c>
      <c r="W230" s="90">
        <v>-5</v>
      </c>
      <c r="X230" s="90"/>
      <c r="Y230" s="92">
        <f ca="1">IFERROR(__xludf.DUMMYFUNCTION("GOOGLEFINANCE(""nse:""&amp;C230,""eps"")"),10.58)</f>
        <v>10.58</v>
      </c>
      <c r="Z230" s="90">
        <v>63</v>
      </c>
      <c r="AA230" s="90">
        <v>4379</v>
      </c>
      <c r="AB230" s="90"/>
      <c r="AC230" s="90"/>
      <c r="AD230" s="93">
        <f t="shared" si="0"/>
        <v>2.8454408277646046E-2</v>
      </c>
      <c r="AE230" s="93">
        <f t="shared" si="1"/>
        <v>-1.2493753123438282E-3</v>
      </c>
      <c r="AF230" s="94">
        <f t="shared" si="2"/>
        <v>0.15949554896142434</v>
      </c>
      <c r="AG230" s="95">
        <f t="shared" si="3"/>
        <v>5.1269841269841274</v>
      </c>
      <c r="AH230" s="95">
        <f t="shared" si="4"/>
        <v>1.8093471810089021</v>
      </c>
      <c r="AI230" s="43">
        <f t="shared" si="5"/>
        <v>1.1361161524500907</v>
      </c>
      <c r="AJ230" s="96">
        <f t="shared" si="6"/>
        <v>1.730976503556801</v>
      </c>
      <c r="AK230" s="23">
        <f t="shared" si="7"/>
        <v>9.7922848664688422E-2</v>
      </c>
      <c r="AL230" s="23">
        <f t="shared" si="8"/>
        <v>3.4856086612094009E-2</v>
      </c>
      <c r="AM230" s="96">
        <f t="shared" ca="1" si="9"/>
        <v>92.211720226843099</v>
      </c>
      <c r="AN230" s="96">
        <f t="shared" ca="1" si="10"/>
        <v>8.3229970326409504</v>
      </c>
      <c r="AO230" s="32">
        <f t="shared" ca="1" si="11"/>
        <v>1.0844608446084461E-2</v>
      </c>
    </row>
    <row r="231" spans="2:41" ht="15.75" customHeight="1" x14ac:dyDescent="0.3">
      <c r="B231" s="89">
        <v>543482</v>
      </c>
      <c r="C231" s="24" t="s">
        <v>16</v>
      </c>
      <c r="D231" s="90">
        <f ca="1">IFERROR(__xludf.DUMMYFUNCTION("GOOGLEFINANCE(""bom:""&amp;B231,""price"")"),490.7)</f>
        <v>490.7</v>
      </c>
      <c r="E231" s="91">
        <f ca="1">IFERROR(__xludf.DUMMYFUNCTION("GOOGLEFINANCE(""bom:""&amp;B231,""marketcap"")/10000000"),9509.50268)</f>
        <v>9509.5026799999996</v>
      </c>
      <c r="F231" s="91">
        <v>567</v>
      </c>
      <c r="G231" s="91">
        <v>973</v>
      </c>
      <c r="H231" s="91">
        <v>6092</v>
      </c>
      <c r="I231" s="91">
        <v>1929</v>
      </c>
      <c r="J231" s="91">
        <v>193</v>
      </c>
      <c r="K231" s="91">
        <v>4163</v>
      </c>
      <c r="L231" s="91">
        <v>64</v>
      </c>
      <c r="M231" s="91">
        <v>163</v>
      </c>
      <c r="N231" s="90">
        <v>10</v>
      </c>
      <c r="O231" s="3">
        <v>2189</v>
      </c>
      <c r="P231" s="90">
        <v>2084</v>
      </c>
      <c r="Q231" s="3">
        <v>26</v>
      </c>
      <c r="R231" s="3">
        <v>28</v>
      </c>
      <c r="T231" s="3">
        <v>92</v>
      </c>
      <c r="U231" s="90">
        <v>21</v>
      </c>
      <c r="V231" s="90">
        <v>-1</v>
      </c>
      <c r="W231" s="90">
        <v>0</v>
      </c>
      <c r="X231" s="90"/>
      <c r="Y231" s="92">
        <f ca="1">IFERROR(__xludf.DUMMYFUNCTION("GOOGLEFINANCE(""BOM:""&amp;B231,""eps"")"),5.27)</f>
        <v>5.27</v>
      </c>
      <c r="Z231" s="90">
        <v>10</v>
      </c>
      <c r="AA231" s="90">
        <v>1997</v>
      </c>
      <c r="AB231" s="90"/>
      <c r="AC231" s="90"/>
      <c r="AD231" s="93">
        <f t="shared" si="0"/>
        <v>4.202832343535861E-2</v>
      </c>
      <c r="AE231" s="93">
        <f t="shared" si="1"/>
        <v>0</v>
      </c>
      <c r="AF231" s="94">
        <f t="shared" si="2"/>
        <v>1.4692378328741965E-2</v>
      </c>
      <c r="AG231" s="95">
        <f t="shared" si="3"/>
        <v>20.2</v>
      </c>
      <c r="AH231" s="95">
        <f t="shared" si="4"/>
        <v>0.4428374655647383</v>
      </c>
      <c r="AI231" s="43">
        <f t="shared" si="5"/>
        <v>0.58273381294964033</v>
      </c>
      <c r="AJ231" s="96">
        <f t="shared" si="6"/>
        <v>27.17907720420283</v>
      </c>
      <c r="AK231" s="23">
        <f t="shared" si="7"/>
        <v>2.1120293847566574E-2</v>
      </c>
      <c r="AL231" s="23">
        <f t="shared" si="8"/>
        <v>1.5101772816808929E-2</v>
      </c>
      <c r="AM231" s="96">
        <f t="shared" ca="1" si="9"/>
        <v>93.111954459203048</v>
      </c>
      <c r="AN231" s="96">
        <f t="shared" ca="1" si="10"/>
        <v>2.174129935720845</v>
      </c>
      <c r="AO231" s="32">
        <f t="shared" ca="1" si="11"/>
        <v>1.0739759527206032E-2</v>
      </c>
    </row>
    <row r="232" spans="2:41" ht="15.75" customHeight="1" x14ac:dyDescent="0.3">
      <c r="B232" s="89">
        <v>505726</v>
      </c>
      <c r="C232" s="24" t="s">
        <v>18</v>
      </c>
      <c r="D232" s="90">
        <f ca="1">IFERROR(__xludf.DUMMYFUNCTION("GOOGLEFINANCE(""bom:""&amp;B232,""price"")"),1918.05)</f>
        <v>1918.05</v>
      </c>
      <c r="E232" s="91">
        <f ca="1">IFERROR(__xludf.DUMMYFUNCTION("GOOGLEFINANCE(""bom:""&amp;B232,""marketcap"")/10000000"),7750.2315572)</f>
        <v>7750.2315571999998</v>
      </c>
      <c r="F232" s="91">
        <v>1418.5</v>
      </c>
      <c r="G232" s="91">
        <v>1215</v>
      </c>
      <c r="H232" s="91">
        <v>2179</v>
      </c>
      <c r="I232" s="91">
        <v>1462</v>
      </c>
      <c r="J232" s="91">
        <v>41</v>
      </c>
      <c r="K232" s="91">
        <v>676</v>
      </c>
      <c r="L232" s="91">
        <v>70</v>
      </c>
      <c r="M232" s="91">
        <v>417</v>
      </c>
      <c r="N232" s="90">
        <v>10</v>
      </c>
      <c r="O232" s="90">
        <v>4437</v>
      </c>
      <c r="P232" s="90">
        <v>4194</v>
      </c>
      <c r="Q232" s="90">
        <v>2659</v>
      </c>
      <c r="R232" s="90">
        <v>1021</v>
      </c>
      <c r="S232" s="90">
        <v>468</v>
      </c>
      <c r="T232" s="90">
        <v>50</v>
      </c>
      <c r="U232" s="90">
        <v>15</v>
      </c>
      <c r="V232" s="90">
        <v>71</v>
      </c>
      <c r="W232" s="90">
        <v>22</v>
      </c>
      <c r="X232" s="90">
        <v>315</v>
      </c>
      <c r="Y232" s="92">
        <f ca="1">IFERROR(__xludf.DUMMYFUNCTION("GOOGLEFINANCE(""nse:""&amp;C232,""eps"")"),21.84)</f>
        <v>21.84</v>
      </c>
      <c r="Z232" s="90">
        <v>28</v>
      </c>
      <c r="AA232" s="90">
        <v>4373</v>
      </c>
      <c r="AB232" s="90"/>
      <c r="AC232" s="90"/>
      <c r="AD232" s="93">
        <f t="shared" si="0"/>
        <v>1.1268875366238449E-2</v>
      </c>
      <c r="AE232" s="93">
        <f t="shared" si="1"/>
        <v>2.1547502448579822E-2</v>
      </c>
      <c r="AF232" s="94">
        <f t="shared" si="2"/>
        <v>9.7629009762900981E-2</v>
      </c>
      <c r="AG232" s="95">
        <f t="shared" si="3"/>
        <v>3.2857142857142856</v>
      </c>
      <c r="AH232" s="95">
        <f t="shared" si="4"/>
        <v>2.0390516039051603</v>
      </c>
      <c r="AI232" s="43">
        <f t="shared" si="5"/>
        <v>1.1674897119341563</v>
      </c>
      <c r="AJ232" s="96">
        <f t="shared" si="6"/>
        <v>34.303583502366465</v>
      </c>
      <c r="AK232" s="23">
        <f t="shared" si="7"/>
        <v>6.9735006973500699E-2</v>
      </c>
      <c r="AL232" s="23">
        <f t="shared" si="8"/>
        <v>2.2946305644791189E-2</v>
      </c>
      <c r="AM232" s="96">
        <f t="shared" ca="1" si="9"/>
        <v>87.82280219780219</v>
      </c>
      <c r="AN232" s="96">
        <f t="shared" ca="1" si="10"/>
        <v>10.967928870292885</v>
      </c>
      <c r="AO232" s="32">
        <f t="shared" ca="1" si="11"/>
        <v>1.1386564479549542E-2</v>
      </c>
    </row>
    <row r="233" spans="2:41" ht="15.75" customHeight="1" x14ac:dyDescent="0.3">
      <c r="B233" s="89">
        <v>523398</v>
      </c>
      <c r="C233" s="24" t="s">
        <v>19</v>
      </c>
      <c r="D233" s="90">
        <f ca="1">IFERROR(__xludf.DUMMYFUNCTION("GOOGLEFINANCE(""bom:""&amp;B233,""price"")"),2117.45)</f>
        <v>2117.4499999999998</v>
      </c>
      <c r="E233" s="91">
        <f ca="1">IFERROR(__xludf.DUMMYFUNCTION("GOOGLEFINANCE(""bom:""&amp;B233,""marketcap"")/10000000"),5745.5690311)</f>
        <v>5745.5690310999998</v>
      </c>
      <c r="F233" s="91">
        <v>1162</v>
      </c>
      <c r="G233" s="91">
        <v>968</v>
      </c>
      <c r="H233" s="91">
        <v>1657</v>
      </c>
      <c r="I233" s="91">
        <v>1074</v>
      </c>
      <c r="J233" s="91">
        <v>27</v>
      </c>
      <c r="K233" s="91">
        <v>555</v>
      </c>
      <c r="L233" s="91">
        <v>48</v>
      </c>
      <c r="M233" s="91">
        <v>156</v>
      </c>
      <c r="N233" s="90">
        <v>10</v>
      </c>
      <c r="O233" s="90">
        <v>1918</v>
      </c>
      <c r="P233" s="90">
        <v>2384</v>
      </c>
      <c r="Q233" s="90">
        <v>2241</v>
      </c>
      <c r="R233" s="90">
        <v>1199</v>
      </c>
      <c r="S233" s="90">
        <v>470</v>
      </c>
      <c r="T233" s="90">
        <v>-75</v>
      </c>
      <c r="U233" s="90">
        <v>-82</v>
      </c>
      <c r="V233" s="90">
        <v>85</v>
      </c>
      <c r="W233" s="90">
        <v>80</v>
      </c>
      <c r="X233" s="90">
        <v>21</v>
      </c>
      <c r="Y233" s="92">
        <f ca="1">IFERROR(__xludf.DUMMYFUNCTION("GOOGLEFINANCE(""nse:""&amp;C233,""eps"")"),0.55)</f>
        <v>0.55000000000000004</v>
      </c>
      <c r="Z233" s="90">
        <v>16</v>
      </c>
      <c r="AA233" s="90">
        <v>2000</v>
      </c>
      <c r="AB233" s="90"/>
      <c r="AC233" s="90"/>
      <c r="AD233" s="93">
        <f t="shared" si="0"/>
        <v>-3.9103232533889469E-2</v>
      </c>
      <c r="AE233" s="93">
        <f t="shared" si="1"/>
        <v>6.672226855713094E-2</v>
      </c>
      <c r="AF233" s="94">
        <f t="shared" si="2"/>
        <v>8.247422680412371E-2</v>
      </c>
      <c r="AG233" s="95">
        <f t="shared" si="3"/>
        <v>-4.125</v>
      </c>
      <c r="AH233" s="95">
        <f t="shared" si="4"/>
        <v>1.8453608247422681</v>
      </c>
      <c r="AI233" s="43">
        <f t="shared" si="5"/>
        <v>1.2004132231404958</v>
      </c>
      <c r="AJ233" s="96">
        <f t="shared" si="6"/>
        <v>29.687174139728885</v>
      </c>
      <c r="AK233" s="23">
        <f t="shared" si="7"/>
        <v>-0.12886597938144329</v>
      </c>
      <c r="AL233" s="23">
        <f t="shared" si="8"/>
        <v>-4.5262522631261314E-2</v>
      </c>
      <c r="AM233" s="96">
        <f t="shared" ca="1" si="9"/>
        <v>3849.9090909090901</v>
      </c>
      <c r="AN233" s="96">
        <f t="shared" ca="1" si="10"/>
        <v>9.8232216494845357</v>
      </c>
      <c r="AO233" s="32">
        <f t="shared" ca="1" si="11"/>
        <v>2.5974639306713271E-4</v>
      </c>
    </row>
    <row r="234" spans="2:41" ht="15.75" customHeight="1" x14ac:dyDescent="0.3">
      <c r="B234" s="89">
        <v>541301</v>
      </c>
      <c r="C234" s="24" t="s">
        <v>20</v>
      </c>
      <c r="D234" s="90">
        <f ca="1">IFERROR(__xludf.DUMMYFUNCTION("GOOGLEFINANCE(""bom:""&amp;B234,""price"")"),262.35)</f>
        <v>262.35000000000002</v>
      </c>
      <c r="E234" s="91">
        <f ca="1">IFERROR(__xludf.DUMMYFUNCTION("GOOGLEFINANCE(""bom:""&amp;B234,""marketcap"")/10000000"),5591.253149)</f>
        <v>5591.2531490000001</v>
      </c>
      <c r="F234" s="91">
        <v>919</v>
      </c>
      <c r="G234" s="91">
        <v>718</v>
      </c>
      <c r="H234" s="91">
        <v>1451</v>
      </c>
      <c r="I234" s="91">
        <v>812</v>
      </c>
      <c r="J234" s="91">
        <v>21</v>
      </c>
      <c r="K234" s="91">
        <v>617</v>
      </c>
      <c r="L234" s="91">
        <v>20</v>
      </c>
      <c r="M234" s="91">
        <v>309</v>
      </c>
      <c r="N234" s="90">
        <v>1</v>
      </c>
      <c r="O234" s="90">
        <v>2812</v>
      </c>
      <c r="P234" s="90">
        <v>2529</v>
      </c>
      <c r="Q234" s="90">
        <v>1864</v>
      </c>
      <c r="R234" s="90"/>
      <c r="S234" s="90"/>
      <c r="T234" s="90">
        <v>75</v>
      </c>
      <c r="U234" s="90">
        <v>76</v>
      </c>
      <c r="V234" s="90">
        <v>69</v>
      </c>
      <c r="W234" s="90"/>
      <c r="X234" s="90"/>
      <c r="Y234" s="92">
        <f ca="1">IFERROR(__xludf.DUMMYFUNCTION("GOOGLEFINANCE(""nse:""&amp;C234,""eps"")"),3.28)</f>
        <v>3.28</v>
      </c>
      <c r="Z234" s="90">
        <v>23</v>
      </c>
      <c r="AA234" s="90">
        <v>2750</v>
      </c>
      <c r="AB234" s="90"/>
      <c r="AC234" s="90"/>
      <c r="AD234" s="93">
        <f t="shared" si="0"/>
        <v>2.6671408250355619E-2</v>
      </c>
      <c r="AE234" s="93" t="e">
        <f t="shared" si="1"/>
        <v>#DIV/0!</v>
      </c>
      <c r="AF234" s="94">
        <f t="shared" si="2"/>
        <v>3.1347962382445138E-2</v>
      </c>
      <c r="AG234" s="95">
        <f t="shared" si="3"/>
        <v>3.6956521739130435</v>
      </c>
      <c r="AH234" s="95">
        <f t="shared" si="4"/>
        <v>1.2727272727272727</v>
      </c>
      <c r="AI234" s="43">
        <f t="shared" si="5"/>
        <v>1.2799442896935933</v>
      </c>
      <c r="AJ234" s="96">
        <f t="shared" si="6"/>
        <v>40.108463726884779</v>
      </c>
      <c r="AK234" s="23">
        <f t="shared" si="7"/>
        <v>0.11755485893416928</v>
      </c>
      <c r="AL234" s="23">
        <f t="shared" si="8"/>
        <v>5.1688490696071676E-2</v>
      </c>
      <c r="AM234" s="96">
        <f t="shared" ca="1" si="9"/>
        <v>79.984756097560989</v>
      </c>
      <c r="AN234" s="96">
        <f t="shared" ca="1" si="10"/>
        <v>8.6353448275862075</v>
      </c>
      <c r="AO234" s="32">
        <f t="shared" ca="1" si="11"/>
        <v>1.2502382313703066E-2</v>
      </c>
    </row>
    <row r="235" spans="2:41" ht="15.75" customHeight="1" x14ac:dyDescent="0.3">
      <c r="B235" s="89">
        <v>543260</v>
      </c>
      <c r="C235" s="24" t="s">
        <v>83</v>
      </c>
      <c r="D235" s="90">
        <f ca="1">IFERROR(__xludf.DUMMYFUNCTION("GOOGLEFINANCE(""bom:""&amp;B235,""price"")"),816.65)</f>
        <v>816.65</v>
      </c>
      <c r="E235" s="91">
        <f ca="1">IFERROR(__xludf.DUMMYFUNCTION("GOOGLEFINANCE(""bom:""&amp;B235,""marketcap"")/10000000"),2696.197322)</f>
        <v>2696.197322</v>
      </c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0"/>
      <c r="AD235" s="90"/>
      <c r="AE235" s="90"/>
      <c r="AF235" s="90"/>
      <c r="AG235" s="90"/>
      <c r="AH235" s="90"/>
    </row>
    <row r="236" spans="2:41" ht="15.75" customHeight="1" x14ac:dyDescent="0.3">
      <c r="B236" s="89">
        <v>524091</v>
      </c>
      <c r="C236" s="24" t="s">
        <v>40</v>
      </c>
      <c r="D236" s="90">
        <f ca="1">IFERROR(__xludf.DUMMYFUNCTION("GOOGLEFINANCE(""bom:""&amp;B236,""price"")"),892.55)</f>
        <v>892.55</v>
      </c>
      <c r="E236" s="91">
        <f ca="1">IFERROR(__xludf.DUMMYFUNCTION("GOOGLEFINANCE(""bom:""&amp;B236,""marketcap"")/10000000"),2528.2788997)</f>
        <v>2528.2788996999998</v>
      </c>
      <c r="F236" s="96"/>
      <c r="G236" s="96"/>
      <c r="H236" s="96"/>
      <c r="I236" s="96"/>
      <c r="J236" s="96"/>
      <c r="K236" s="96"/>
      <c r="L236" s="96"/>
      <c r="M236" s="96"/>
      <c r="O236" s="3"/>
      <c r="Q236" s="3"/>
      <c r="R236" s="3"/>
      <c r="S236" s="3"/>
      <c r="T236" s="3"/>
      <c r="AF236" s="97"/>
      <c r="AG236" s="43"/>
      <c r="AH236" s="43"/>
    </row>
    <row r="237" spans="2:41" ht="15.75" customHeight="1" x14ac:dyDescent="0.3">
      <c r="B237" s="89">
        <v>543449</v>
      </c>
      <c r="C237" s="24" t="s">
        <v>84</v>
      </c>
      <c r="D237" s="90">
        <f ca="1">IFERROR(__xludf.DUMMYFUNCTION("GOOGLEFINANCE(""bom:""&amp;B237,""price"")"),1386.1)</f>
        <v>1386.1</v>
      </c>
      <c r="E237" s="91">
        <f ca="1">IFERROR(__xludf.DUMMYFUNCTION("GOOGLEFINANCE(""bom:""&amp;B237,""marketcap"")/10000000"),1847.1597107)</f>
        <v>1847.1597107</v>
      </c>
    </row>
    <row r="238" spans="2:41" ht="15.75" customHeight="1" x14ac:dyDescent="0.3">
      <c r="B238" s="89">
        <v>517421</v>
      </c>
      <c r="C238" s="24" t="s">
        <v>85</v>
      </c>
      <c r="D238" s="90">
        <f ca="1">IFERROR(__xludf.DUMMYFUNCTION("GOOGLEFINANCE(""bom:""&amp;B238,""price"")"),949)</f>
        <v>949</v>
      </c>
      <c r="E238" s="91">
        <f ca="1">IFERROR(__xludf.DUMMYFUNCTION("GOOGLEFINANCE(""bom:""&amp;B238,""marketcap"")/10000000"),1701.6861712)</f>
        <v>1701.6861712</v>
      </c>
    </row>
    <row r="239" spans="2:41" ht="15.75" customHeight="1" x14ac:dyDescent="0.3">
      <c r="B239" s="89">
        <v>543725</v>
      </c>
      <c r="C239" s="24" t="s">
        <v>86</v>
      </c>
      <c r="D239" s="90">
        <f ca="1">IFERROR(__xludf.DUMMYFUNCTION("GOOGLEFINANCE(""bom:""&amp;B239,""price"")"),261.35)</f>
        <v>261.35000000000002</v>
      </c>
      <c r="E239" s="91">
        <f ca="1">IFERROR(__xludf.DUMMYFUNCTION("GOOGLEFINANCE(""bom:""&amp;B239,""marketcap"")/10000000"),1296.1550887)</f>
        <v>1296.1550887000001</v>
      </c>
    </row>
    <row r="240" spans="2:41" ht="15.75" customHeight="1" x14ac:dyDescent="0.3">
      <c r="B240" s="89">
        <v>502865</v>
      </c>
      <c r="C240" s="24" t="s">
        <v>87</v>
      </c>
      <c r="D240" s="90">
        <f ca="1">IFERROR(__xludf.DUMMYFUNCTION("GOOGLEFINANCE(""bom:""&amp;B240,""price"")"),620.85)</f>
        <v>620.85</v>
      </c>
      <c r="E240" s="91">
        <f ca="1">IFERROR(__xludf.DUMMYFUNCTION("GOOGLEFINANCE(""bom:""&amp;B240,""marketcap"")/10000000"),800.8101703)</f>
        <v>800.81017029999998</v>
      </c>
    </row>
    <row r="241" spans="2:41" ht="15.75" customHeight="1" x14ac:dyDescent="0.3">
      <c r="B241" s="89">
        <v>505729</v>
      </c>
      <c r="C241" s="24" t="s">
        <v>88</v>
      </c>
      <c r="D241" s="90">
        <f ca="1">IFERROR(__xludf.DUMMYFUNCTION("GOOGLEFINANCE(""bom:""&amp;B241,""price"")"),95.03)</f>
        <v>95.03</v>
      </c>
      <c r="E241" s="91">
        <f ca="1">IFERROR(__xludf.DUMMYFUNCTION("GOOGLEFINANCE(""bom:""&amp;B241,""marketcap"")/10000000"),581.5173566)</f>
        <v>581.51735659999997</v>
      </c>
    </row>
    <row r="242" spans="2:41" ht="15.75" customHeight="1" x14ac:dyDescent="0.3">
      <c r="B242" s="89">
        <v>505840</v>
      </c>
      <c r="C242" s="24" t="s">
        <v>89</v>
      </c>
      <c r="D242" s="90">
        <f ca="1">IFERROR(__xludf.DUMMYFUNCTION("GOOGLEFINANCE(""bom:""&amp;B242,""price"")"),38.4)</f>
        <v>38.4</v>
      </c>
      <c r="E242" s="91">
        <f ca="1">IFERROR(__xludf.DUMMYFUNCTION("GOOGLEFINANCE(""bom:""&amp;B242,""marketcap"")/10000000"),23.4233865)</f>
        <v>23.423386499999999</v>
      </c>
    </row>
    <row r="244" spans="2:41" ht="13.8" x14ac:dyDescent="0.3">
      <c r="B244" s="98"/>
      <c r="C244" s="98" t="s">
        <v>21</v>
      </c>
      <c r="D244" s="98">
        <f t="shared" ref="D244:M244" ca="1" si="12">SUM(D223:D242)</f>
        <v>22877.679999999997</v>
      </c>
      <c r="E244" s="99">
        <f t="shared" ca="1" si="12"/>
        <v>251611.52251430007</v>
      </c>
      <c r="F244" s="99">
        <f t="shared" si="12"/>
        <v>33001.5</v>
      </c>
      <c r="G244" s="99">
        <f t="shared" si="12"/>
        <v>24339</v>
      </c>
      <c r="H244" s="99">
        <f t="shared" si="12"/>
        <v>58539</v>
      </c>
      <c r="I244" s="99">
        <f t="shared" si="12"/>
        <v>29311</v>
      </c>
      <c r="J244" s="99">
        <f t="shared" si="12"/>
        <v>726</v>
      </c>
      <c r="K244" s="99">
        <f t="shared" si="12"/>
        <v>27999</v>
      </c>
      <c r="L244" s="99">
        <f t="shared" si="12"/>
        <v>3668</v>
      </c>
      <c r="M244" s="99">
        <f t="shared" si="12"/>
        <v>9072</v>
      </c>
      <c r="N244" s="100">
        <f>AVERAGE(N223:N236)</f>
        <v>5</v>
      </c>
      <c r="O244" s="98">
        <f t="shared" ref="O244:AA244" si="13">SUM(O223:O242)</f>
        <v>66569</v>
      </c>
      <c r="P244" s="98">
        <f t="shared" si="13"/>
        <v>60431</v>
      </c>
      <c r="Q244" s="98">
        <f t="shared" si="13"/>
        <v>42137</v>
      </c>
      <c r="R244" s="98">
        <f t="shared" si="13"/>
        <v>20097</v>
      </c>
      <c r="S244" s="98">
        <f t="shared" si="13"/>
        <v>10149</v>
      </c>
      <c r="T244" s="98">
        <f t="shared" si="13"/>
        <v>2225</v>
      </c>
      <c r="U244" s="98">
        <f t="shared" si="13"/>
        <v>2086</v>
      </c>
      <c r="V244" s="98">
        <f t="shared" si="13"/>
        <v>2307</v>
      </c>
      <c r="W244" s="98">
        <f t="shared" si="13"/>
        <v>723</v>
      </c>
      <c r="X244" s="98">
        <f t="shared" si="13"/>
        <v>824</v>
      </c>
      <c r="Y244" s="99">
        <f t="shared" ca="1" si="13"/>
        <v>179.70000000000005</v>
      </c>
      <c r="Z244" s="98">
        <f t="shared" si="13"/>
        <v>1306</v>
      </c>
      <c r="AA244" s="98">
        <f t="shared" si="13"/>
        <v>63853</v>
      </c>
      <c r="AD244" s="23">
        <f>T244/O244</f>
        <v>3.3423966110351665E-2</v>
      </c>
      <c r="AE244" s="23">
        <f>W244/R244</f>
        <v>3.5975518734139421E-2</v>
      </c>
      <c r="AF244" s="97">
        <f>L244/(K244+J244)</f>
        <v>0.12769364664926022</v>
      </c>
      <c r="AG244" s="43">
        <f>(O244-(AA244-Z244))/Z244</f>
        <v>3.0796324655436447</v>
      </c>
      <c r="AH244" s="43">
        <f>I244/(J244+K244)</f>
        <v>1.0204003481288078</v>
      </c>
      <c r="AI244" s="43">
        <f>F244/G244</f>
        <v>1.3559102674719585</v>
      </c>
      <c r="AJ244" s="96">
        <f>(M244/O244)*365</f>
        <v>49.742072135678768</v>
      </c>
      <c r="AK244" s="23">
        <f>T244/(J244+K244)</f>
        <v>7.7458659704090507E-2</v>
      </c>
      <c r="AL244" s="23">
        <f>T244/H244</f>
        <v>3.8008848801653596E-2</v>
      </c>
      <c r="AM244" s="96">
        <f ca="1">D244/Y244</f>
        <v>127.31040623260985</v>
      </c>
      <c r="AN244" s="96">
        <f t="shared" ref="AN244:AO244" ca="1" si="14">MEDIAN(AN223:AN234)</f>
        <v>9.2292832385353716</v>
      </c>
      <c r="AO244" s="32">
        <f t="shared" ca="1" si="14"/>
        <v>1.1115586462817002E-2</v>
      </c>
    </row>
    <row r="245" spans="2:41" ht="13.8" x14ac:dyDescent="0.3">
      <c r="AK245" s="23"/>
    </row>
    <row r="246" spans="2:41" ht="13.8" x14ac:dyDescent="0.3">
      <c r="AK246" s="23"/>
    </row>
    <row r="247" spans="2:41" ht="13.8" x14ac:dyDescent="0.3">
      <c r="B247" s="21" t="s">
        <v>90</v>
      </c>
      <c r="AK247" s="23"/>
    </row>
    <row r="248" spans="2:41" ht="13.8" x14ac:dyDescent="0.3">
      <c r="C248" s="21" t="s">
        <v>22</v>
      </c>
      <c r="J248" s="29" t="s">
        <v>28</v>
      </c>
      <c r="S248" s="29" t="s">
        <v>91</v>
      </c>
      <c r="X248" s="29" t="s">
        <v>54</v>
      </c>
      <c r="AB248" s="29" t="s">
        <v>54</v>
      </c>
      <c r="AG248" s="21" t="s">
        <v>47</v>
      </c>
      <c r="AK248" s="23"/>
    </row>
    <row r="249" spans="2:41" ht="13.8" x14ac:dyDescent="0.3">
      <c r="C249" s="21" t="s">
        <v>4</v>
      </c>
      <c r="D249" s="21" t="s">
        <v>23</v>
      </c>
      <c r="E249" s="21" t="s">
        <v>24</v>
      </c>
      <c r="F249" s="21" t="s">
        <v>25</v>
      </c>
      <c r="G249" s="21" t="s">
        <v>26</v>
      </c>
      <c r="H249" s="21" t="s">
        <v>27</v>
      </c>
      <c r="J249" s="30" t="s">
        <v>4</v>
      </c>
      <c r="K249" s="30" t="s">
        <v>29</v>
      </c>
      <c r="L249" s="30" t="s">
        <v>30</v>
      </c>
      <c r="M249" s="30" t="s">
        <v>31</v>
      </c>
      <c r="N249" s="30" t="s">
        <v>32</v>
      </c>
      <c r="O249" s="30" t="s">
        <v>33</v>
      </c>
      <c r="P249" s="30" t="s">
        <v>34</v>
      </c>
      <c r="Q249" s="30" t="s">
        <v>35</v>
      </c>
      <c r="S249" s="30" t="s">
        <v>4</v>
      </c>
      <c r="T249" s="30" t="s">
        <v>37</v>
      </c>
      <c r="U249" s="30" t="s">
        <v>38</v>
      </c>
      <c r="V249" s="30" t="s">
        <v>39</v>
      </c>
      <c r="X249" s="30" t="s">
        <v>4</v>
      </c>
      <c r="Y249" s="21" t="s">
        <v>81</v>
      </c>
      <c r="Z249" s="21" t="s">
        <v>82</v>
      </c>
      <c r="AB249" s="30" t="s">
        <v>4</v>
      </c>
      <c r="AC249" s="36" t="s">
        <v>45</v>
      </c>
      <c r="AD249" s="36" t="s">
        <v>46</v>
      </c>
      <c r="AF249" s="30" t="s">
        <v>4</v>
      </c>
      <c r="AG249" s="7" t="s">
        <v>48</v>
      </c>
      <c r="AI249" s="30" t="s">
        <v>4</v>
      </c>
      <c r="AJ249" s="7" t="s">
        <v>49</v>
      </c>
      <c r="AK249" s="23"/>
      <c r="AL249" s="30" t="s">
        <v>4</v>
      </c>
      <c r="AM249" s="7" t="s">
        <v>50</v>
      </c>
    </row>
    <row r="250" spans="2:41" ht="15.75" customHeight="1" x14ac:dyDescent="0.3">
      <c r="C250" s="24" t="s">
        <v>8</v>
      </c>
      <c r="D250" s="23">
        <v>7.3208782676350781E-2</v>
      </c>
      <c r="E250" s="23">
        <v>9.0126388952265879E-2</v>
      </c>
      <c r="F250" s="23">
        <v>0.13272819726262419</v>
      </c>
      <c r="G250" s="23">
        <f t="shared" ref="G250:G261" si="15">(O223/P223)-1</f>
        <v>0.32790722417278428</v>
      </c>
      <c r="H250" s="23">
        <v>0.46500000000000002</v>
      </c>
      <c r="J250" s="31" t="s">
        <v>8</v>
      </c>
      <c r="K250" s="23">
        <v>6.8099999999999994E-2</v>
      </c>
      <c r="L250" s="23">
        <v>3.8399999999999997E-2</v>
      </c>
      <c r="M250" s="23">
        <v>1.9870202708116336E-2</v>
      </c>
      <c r="N250" s="23">
        <v>1.4469624428130653E-2</v>
      </c>
      <c r="O250" s="23">
        <v>6.9326161661437319E-2</v>
      </c>
      <c r="P250" s="23">
        <v>4.6524876566654008E-2</v>
      </c>
      <c r="Q250" s="23">
        <v>5.8728323699421964E-2</v>
      </c>
      <c r="S250" s="31" t="s">
        <v>8</v>
      </c>
      <c r="T250" s="97">
        <v>0.12250859106529209</v>
      </c>
      <c r="U250" s="43">
        <v>1.4762516046213094</v>
      </c>
      <c r="V250" s="43">
        <v>1.0621993127147766</v>
      </c>
      <c r="X250" s="31" t="s">
        <v>8</v>
      </c>
      <c r="Y250" s="43">
        <v>1.3420778318276581</v>
      </c>
      <c r="Z250" s="96">
        <v>74.076195817642827</v>
      </c>
      <c r="AB250" s="31" t="s">
        <v>8</v>
      </c>
      <c r="AC250" s="23">
        <v>4.2611683848797252E-2</v>
      </c>
      <c r="AD250" s="23">
        <v>2.0604852110335661E-2</v>
      </c>
      <c r="AF250" s="31" t="s">
        <v>8</v>
      </c>
      <c r="AG250" s="96">
        <v>129.10507246376812</v>
      </c>
      <c r="AI250" s="31" t="s">
        <v>8</v>
      </c>
      <c r="AJ250" s="96">
        <v>10.102139175257731</v>
      </c>
      <c r="AK250" s="23"/>
      <c r="AL250" s="31" t="s">
        <v>8</v>
      </c>
      <c r="AM250" s="32">
        <v>7.7456290517217185E-3</v>
      </c>
    </row>
    <row r="251" spans="2:41" ht="15.75" customHeight="1" x14ac:dyDescent="0.3">
      <c r="C251" s="24" t="s">
        <v>9</v>
      </c>
      <c r="D251" s="23">
        <v>9.3819072264084147E-2</v>
      </c>
      <c r="E251" s="23">
        <v>0.12761542415210347</v>
      </c>
      <c r="F251" s="23">
        <v>0.13097545916799369</v>
      </c>
      <c r="G251" s="23">
        <f t="shared" si="15"/>
        <v>0.21411558229910987</v>
      </c>
      <c r="H251" s="23">
        <v>0.28710000000000002</v>
      </c>
      <c r="J251" s="31" t="s">
        <v>9</v>
      </c>
      <c r="K251" s="23">
        <v>5.8999999999999997E-2</v>
      </c>
      <c r="L251" s="23">
        <v>3.73E-2</v>
      </c>
      <c r="M251" s="23">
        <v>4.2746515229736708E-2</v>
      </c>
      <c r="N251" s="23">
        <v>5.0144164472859472E-2</v>
      </c>
      <c r="O251" s="23">
        <v>3.6301108139090564E-2</v>
      </c>
      <c r="P251" s="23">
        <v>2.6424159231297185E-2</v>
      </c>
      <c r="Q251" s="23">
        <v>7.1343638525564801E-2</v>
      </c>
      <c r="S251" s="31" t="s">
        <v>9</v>
      </c>
      <c r="T251" s="97">
        <v>6.4033742331288349E-2</v>
      </c>
      <c r="U251" s="43">
        <v>9.7758620689655178</v>
      </c>
      <c r="V251" s="43">
        <v>1.5356595092024541</v>
      </c>
      <c r="X251" s="31" t="s">
        <v>9</v>
      </c>
      <c r="Y251" s="43">
        <v>1.2993039443155452</v>
      </c>
      <c r="Z251" s="96">
        <v>73.565307176045437</v>
      </c>
      <c r="AB251" s="31" t="s">
        <v>9</v>
      </c>
      <c r="AC251" s="23">
        <v>0.15874233128834356</v>
      </c>
      <c r="AD251" s="23">
        <v>6.2556663644605617E-2</v>
      </c>
      <c r="AF251" s="31" t="s">
        <v>9</v>
      </c>
      <c r="AG251" s="96">
        <v>69.824775876120626</v>
      </c>
      <c r="AI251" s="31" t="s">
        <v>9</v>
      </c>
      <c r="AJ251" s="96">
        <v>13.468845858895705</v>
      </c>
      <c r="AK251" s="23"/>
      <c r="AL251" s="31" t="s">
        <v>9</v>
      </c>
      <c r="AM251" s="32">
        <v>1.432156405018967E-2</v>
      </c>
    </row>
    <row r="252" spans="2:41" ht="15.75" customHeight="1" x14ac:dyDescent="0.3">
      <c r="C252" s="24" t="s">
        <v>10</v>
      </c>
      <c r="D252" s="23"/>
      <c r="E252" s="23"/>
      <c r="F252" s="23">
        <v>0.10301876830180134</v>
      </c>
      <c r="G252" s="23">
        <f t="shared" si="15"/>
        <v>0.25890859011878131</v>
      </c>
      <c r="H252" s="23">
        <v>0.1391</v>
      </c>
      <c r="J252" s="31" t="s">
        <v>10</v>
      </c>
      <c r="K252" s="23">
        <v>7.1099999999999997E-2</v>
      </c>
      <c r="L252" s="23">
        <v>6.5000000000000002E-2</v>
      </c>
      <c r="M252" s="23">
        <v>6.0440311773553947E-2</v>
      </c>
      <c r="N252" s="23">
        <v>8.1769667756928899E-2</v>
      </c>
      <c r="O252" s="23">
        <v>8.9528912703728508E-2</v>
      </c>
      <c r="P252" s="23"/>
      <c r="Q252" s="23"/>
      <c r="S252" s="31" t="s">
        <v>10</v>
      </c>
      <c r="T252" s="97">
        <v>0.19966666666666666</v>
      </c>
      <c r="U252" s="43">
        <v>7.4050632911392409</v>
      </c>
      <c r="V252" s="43">
        <v>0.87766666666666671</v>
      </c>
      <c r="X252" s="31" t="s">
        <v>10</v>
      </c>
      <c r="Y252" s="43">
        <v>1.3111972855065439</v>
      </c>
      <c r="Z252" s="96">
        <v>35.985915492957744</v>
      </c>
      <c r="AB252" s="31" t="s">
        <v>10</v>
      </c>
      <c r="AC252" s="23">
        <v>0.14733333333333334</v>
      </c>
      <c r="AD252" s="23">
        <v>7.2673462676751066E-2</v>
      </c>
      <c r="AF252" s="31" t="s">
        <v>10</v>
      </c>
      <c r="AG252" s="96">
        <v>63.462059620596207</v>
      </c>
      <c r="AI252" s="31" t="s">
        <v>10</v>
      </c>
      <c r="AJ252" s="96">
        <v>10.069525000000001</v>
      </c>
      <c r="AK252" s="23"/>
      <c r="AL252" s="31" t="s">
        <v>10</v>
      </c>
      <c r="AM252" s="32">
        <v>1.5757446354222267E-2</v>
      </c>
    </row>
    <row r="253" spans="2:41" ht="15.75" customHeight="1" x14ac:dyDescent="0.3">
      <c r="C253" s="24" t="s">
        <v>11</v>
      </c>
      <c r="D253" s="23">
        <v>9.9510526380277131E-2</v>
      </c>
      <c r="E253" s="23">
        <v>9.1948323315094616E-2</v>
      </c>
      <c r="F253" s="23">
        <v>4.8222933402863877E-2</v>
      </c>
      <c r="G253" s="23">
        <f t="shared" si="15"/>
        <v>5.1508462104488117E-3</v>
      </c>
      <c r="H253" s="23">
        <v>0.2397</v>
      </c>
      <c r="J253" s="31" t="s">
        <v>11</v>
      </c>
      <c r="K253" s="23">
        <v>5.62E-2</v>
      </c>
      <c r="L253" s="23">
        <v>3.2199999999999999E-2</v>
      </c>
      <c r="M253" s="23">
        <v>3.2796486090775991E-2</v>
      </c>
      <c r="N253" s="23">
        <v>3.2818248712288445E-2</v>
      </c>
      <c r="O253" s="23">
        <v>7.5782842319807295E-2</v>
      </c>
      <c r="P253" s="23">
        <v>4.3048694424841216E-2</v>
      </c>
      <c r="Q253" s="23">
        <v>9.113001215066828E-3</v>
      </c>
      <c r="S253" s="31" t="s">
        <v>11</v>
      </c>
      <c r="T253" s="97">
        <v>0</v>
      </c>
      <c r="U253" s="43">
        <v>6.4</v>
      </c>
      <c r="V253" s="43">
        <v>0.62239089184060725</v>
      </c>
      <c r="X253" s="31" t="s">
        <v>11</v>
      </c>
      <c r="Y253" s="43">
        <v>2.2752967778405879</v>
      </c>
      <c r="Z253" s="96">
        <v>18.169838945827234</v>
      </c>
      <c r="AB253" s="31" t="s">
        <v>11</v>
      </c>
      <c r="AC253" s="23">
        <v>6.0721062618595827E-2</v>
      </c>
      <c r="AD253" s="23">
        <v>3.6482084690553744E-2</v>
      </c>
      <c r="AF253" s="31" t="s">
        <v>11</v>
      </c>
      <c r="AG253" s="96">
        <v>97.65735815602838</v>
      </c>
      <c r="AI253" s="31" t="s">
        <v>11</v>
      </c>
      <c r="AJ253" s="96">
        <v>7.5847126592572511</v>
      </c>
      <c r="AK253" s="23"/>
      <c r="AL253" s="31" t="s">
        <v>11</v>
      </c>
      <c r="AM253" s="32">
        <v>1.023988380273699E-2</v>
      </c>
    </row>
    <row r="254" spans="2:41" ht="15.75" customHeight="1" x14ac:dyDescent="0.3">
      <c r="C254" s="24" t="s">
        <v>12</v>
      </c>
      <c r="D254" s="23">
        <v>0.19980886937079312</v>
      </c>
      <c r="E254" s="23">
        <v>0.12340991425492054</v>
      </c>
      <c r="F254" s="23">
        <v>0.13365165490728304</v>
      </c>
      <c r="G254" s="23">
        <f t="shared" si="15"/>
        <v>0.17688393506178812</v>
      </c>
      <c r="H254" s="23">
        <v>0.21659999999999999</v>
      </c>
      <c r="J254" s="31" t="s">
        <v>12</v>
      </c>
      <c r="K254" s="23">
        <v>6.7000000000000004E-2</v>
      </c>
      <c r="L254" s="23">
        <v>5.2699999999999997E-2</v>
      </c>
      <c r="M254" s="23">
        <v>5.3119209388511425E-2</v>
      </c>
      <c r="N254" s="23">
        <v>4.5795977707778046E-2</v>
      </c>
      <c r="O254" s="23">
        <v>6.4764841942945253E-2</v>
      </c>
      <c r="P254" s="23">
        <v>4.6143704680290047E-2</v>
      </c>
      <c r="Q254" s="23">
        <v>5.3797468354430382E-2</v>
      </c>
      <c r="S254" s="31" t="s">
        <v>12</v>
      </c>
      <c r="T254" s="97">
        <v>0.16041896361631752</v>
      </c>
      <c r="U254" s="43">
        <v>8.6750000000000007</v>
      </c>
      <c r="V254" s="43">
        <v>0.74255788313120175</v>
      </c>
      <c r="X254" s="31" t="s">
        <v>12</v>
      </c>
      <c r="Y254" s="43">
        <v>1.6337325349301397</v>
      </c>
      <c r="Z254" s="96">
        <v>44.788964381305334</v>
      </c>
      <c r="AB254" s="31" t="s">
        <v>12</v>
      </c>
      <c r="AC254" s="23">
        <v>0.14222712238147739</v>
      </c>
      <c r="AD254" s="23">
        <v>8.1619740588421391E-2</v>
      </c>
      <c r="AF254" s="31" t="s">
        <v>12</v>
      </c>
      <c r="AG254" s="96">
        <v>70.24024024024024</v>
      </c>
      <c r="AI254" s="31" t="s">
        <v>12</v>
      </c>
      <c r="AJ254" s="96">
        <v>11.088974641675854</v>
      </c>
      <c r="AK254" s="23"/>
      <c r="AL254" s="31" t="s">
        <v>12</v>
      </c>
      <c r="AM254" s="32">
        <v>1.4236853356135101E-2</v>
      </c>
    </row>
    <row r="255" spans="2:41" ht="15.75" customHeight="1" x14ac:dyDescent="0.3">
      <c r="C255" s="24" t="s">
        <v>13</v>
      </c>
      <c r="D255" s="23"/>
      <c r="E255" s="23"/>
      <c r="F255" s="23">
        <v>0.25196892467078458</v>
      </c>
      <c r="G255" s="23">
        <f t="shared" si="15"/>
        <v>-2.8439439872960826E-2</v>
      </c>
      <c r="H255" s="23">
        <v>0.41410000000000002</v>
      </c>
      <c r="J255" s="31" t="s">
        <v>13</v>
      </c>
      <c r="K255" s="23">
        <v>4.0899999999999999E-2</v>
      </c>
      <c r="L255" s="23">
        <v>2.75E-2</v>
      </c>
      <c r="M255" s="23">
        <v>2.0802377414561663E-2</v>
      </c>
      <c r="N255" s="23">
        <v>2.3531110148693517E-2</v>
      </c>
      <c r="O255" s="23">
        <v>4.2047531992687383E-2</v>
      </c>
      <c r="P255" s="23"/>
      <c r="Q255" s="23"/>
      <c r="S255" s="31" t="s">
        <v>13</v>
      </c>
      <c r="T255" s="97">
        <v>0.69443099273607745</v>
      </c>
      <c r="U255" s="43">
        <v>1.8323353293413174</v>
      </c>
      <c r="V255" s="43">
        <v>2.168038740920097</v>
      </c>
      <c r="X255" s="31" t="s">
        <v>13</v>
      </c>
      <c r="Y255" s="43">
        <v>1.0213089802130899</v>
      </c>
      <c r="Z255" s="96">
        <v>85.094353640416045</v>
      </c>
      <c r="AB255" s="31" t="s">
        <v>13</v>
      </c>
      <c r="AC255" s="23">
        <v>6.7796610169491525E-2</v>
      </c>
      <c r="AD255" s="23">
        <v>2.1234642802972849E-2</v>
      </c>
      <c r="AF255" s="31" t="s">
        <v>13</v>
      </c>
      <c r="AG255" s="96">
        <v>94.914213090446935</v>
      </c>
      <c r="AI255" s="31" t="s">
        <v>13</v>
      </c>
      <c r="AJ255" s="96">
        <v>7.377753026634382</v>
      </c>
      <c r="AK255" s="23"/>
      <c r="AL255" s="31" t="s">
        <v>13</v>
      </c>
      <c r="AM255" s="32">
        <v>1.0535829855609365E-2</v>
      </c>
    </row>
    <row r="256" spans="2:41" ht="15.75" customHeight="1" x14ac:dyDescent="0.3">
      <c r="C256" s="24" t="s">
        <v>14</v>
      </c>
      <c r="D256" s="23">
        <v>0.13495265899809428</v>
      </c>
      <c r="E256" s="23">
        <v>7.3632051948961497E-2</v>
      </c>
      <c r="F256" s="23">
        <v>4.9229375598962788E-2</v>
      </c>
      <c r="G256" s="23">
        <f t="shared" si="15"/>
        <v>-3.5649981994958613E-2</v>
      </c>
      <c r="H256" s="23">
        <v>1.8E-3</v>
      </c>
      <c r="J256" s="31" t="s">
        <v>14</v>
      </c>
      <c r="K256" s="23">
        <v>8.5099999999999995E-2</v>
      </c>
      <c r="L256" s="23">
        <v>9.1800000000000007E-2</v>
      </c>
      <c r="M256" s="23">
        <v>8.4017923823749063E-2</v>
      </c>
      <c r="N256" s="23">
        <v>9.1825711199135754E-2</v>
      </c>
      <c r="O256" s="23">
        <v>9.1168091168091173E-2</v>
      </c>
      <c r="P256" s="23">
        <v>8.5106382978723402E-2</v>
      </c>
      <c r="Q256" s="23">
        <v>5.4862842892768077E-2</v>
      </c>
      <c r="S256" s="31" t="s">
        <v>14</v>
      </c>
      <c r="T256" s="97">
        <v>2.2509578544061302E-2</v>
      </c>
      <c r="U256" s="43">
        <v>18.384615384615383</v>
      </c>
      <c r="V256" s="43">
        <v>0.31369731800766282</v>
      </c>
      <c r="X256" s="31" t="s">
        <v>14</v>
      </c>
      <c r="Y256" s="43">
        <v>3.834319526627219</v>
      </c>
      <c r="Z256" s="96">
        <v>40.070948469006723</v>
      </c>
      <c r="AB256" s="31" t="s">
        <v>14</v>
      </c>
      <c r="AC256" s="23">
        <v>0.10775862068965517</v>
      </c>
      <c r="AD256" s="23">
        <v>8.2026977761574915E-2</v>
      </c>
      <c r="AF256" s="31" t="s">
        <v>14</v>
      </c>
      <c r="AG256" s="96">
        <v>58.041172800998126</v>
      </c>
      <c r="AI256" s="31" t="s">
        <v>14</v>
      </c>
      <c r="AJ256" s="96">
        <v>6.2383141762452103</v>
      </c>
      <c r="AL256" s="31" t="s">
        <v>14</v>
      </c>
      <c r="AM256" s="32">
        <v>1.722914875322442E-2</v>
      </c>
    </row>
    <row r="257" spans="3:39" ht="15.75" customHeight="1" x14ac:dyDescent="0.3">
      <c r="C257" s="24" t="s">
        <v>15</v>
      </c>
      <c r="D257" s="23"/>
      <c r="E257" s="23">
        <v>1.4880081248613175E-2</v>
      </c>
      <c r="F257" s="23">
        <v>-6.9658890383399452E-2</v>
      </c>
      <c r="G257" s="23">
        <f t="shared" si="15"/>
        <v>-0.14551482777675451</v>
      </c>
      <c r="H257" s="23">
        <v>3.8600000000000002E-2</v>
      </c>
      <c r="J257" s="31" t="s">
        <v>15</v>
      </c>
      <c r="K257" s="23">
        <v>2.4299999999999999E-2</v>
      </c>
      <c r="M257" s="23">
        <v>2.8454408277646046E-2</v>
      </c>
      <c r="N257" s="23">
        <v>3.9602136673420517E-2</v>
      </c>
      <c r="O257" s="23">
        <v>2.5090144230769232E-2</v>
      </c>
      <c r="P257" s="23">
        <v>-1.2493753123438282E-3</v>
      </c>
      <c r="Q257" s="23"/>
      <c r="S257" s="31" t="s">
        <v>15</v>
      </c>
      <c r="T257" s="97">
        <v>0.15949554896142434</v>
      </c>
      <c r="U257" s="43">
        <v>5.1269841269841274</v>
      </c>
      <c r="V257" s="43">
        <v>1.8093471810089021</v>
      </c>
      <c r="X257" s="31" t="s">
        <v>15</v>
      </c>
      <c r="Y257" s="43">
        <v>1.1361161524500907</v>
      </c>
      <c r="Z257" s="96">
        <v>1.730976503556801</v>
      </c>
      <c r="AB257" s="31" t="s">
        <v>15</v>
      </c>
      <c r="AC257" s="23">
        <v>9.7922848664688422E-2</v>
      </c>
      <c r="AD257" s="23">
        <v>3.4856086612094009E-2</v>
      </c>
      <c r="AF257" s="31" t="s">
        <v>15</v>
      </c>
      <c r="AG257" s="96">
        <v>92.273156899810957</v>
      </c>
      <c r="AI257" s="31" t="s">
        <v>15</v>
      </c>
      <c r="AJ257" s="96">
        <v>8.3285422848664687</v>
      </c>
      <c r="AL257" s="31" t="s">
        <v>15</v>
      </c>
      <c r="AM257" s="32">
        <v>1.0837387964148527E-2</v>
      </c>
    </row>
    <row r="258" spans="3:39" ht="15.75" customHeight="1" x14ac:dyDescent="0.3">
      <c r="C258" s="24" t="s">
        <v>16</v>
      </c>
      <c r="D258" s="23"/>
      <c r="E258" s="23"/>
      <c r="F258" s="23"/>
      <c r="G258" s="23">
        <f t="shared" si="15"/>
        <v>5.0383877159309032E-2</v>
      </c>
      <c r="H258" s="23">
        <v>9.4E-2</v>
      </c>
      <c r="J258" s="31" t="s">
        <v>16</v>
      </c>
      <c r="K258" s="23">
        <v>5.6099999999999997E-2</v>
      </c>
      <c r="M258" s="23">
        <v>4.202832343535861E-2</v>
      </c>
      <c r="N258" s="23">
        <v>1.0076775431861805E-2</v>
      </c>
      <c r="O258" s="23">
        <v>-3.8461538461538464E-2</v>
      </c>
      <c r="P258" s="23">
        <v>0</v>
      </c>
      <c r="Q258" s="23"/>
      <c r="S258" s="31" t="s">
        <v>16</v>
      </c>
      <c r="T258" s="97">
        <v>1.4692378328741965E-2</v>
      </c>
      <c r="U258" s="43">
        <v>20.2</v>
      </c>
      <c r="V258" s="43">
        <v>0.4428374655647383</v>
      </c>
      <c r="X258" s="31" t="s">
        <v>16</v>
      </c>
      <c r="Y258" s="43">
        <v>0.58273381294964033</v>
      </c>
      <c r="Z258" s="96">
        <v>27.17907720420283</v>
      </c>
      <c r="AB258" s="31" t="s">
        <v>16</v>
      </c>
      <c r="AC258" s="23">
        <v>2.1120293847566574E-2</v>
      </c>
      <c r="AD258" s="23">
        <v>1.5101772816808929E-2</v>
      </c>
      <c r="AF258" s="31" t="s">
        <v>16</v>
      </c>
      <c r="AG258" s="96">
        <v>92.362428842504755</v>
      </c>
      <c r="AI258" s="31" t="s">
        <v>16</v>
      </c>
      <c r="AJ258" s="96">
        <v>2.156628787878788</v>
      </c>
      <c r="AL258" s="31" t="s">
        <v>16</v>
      </c>
      <c r="AM258" s="32">
        <v>1.0826913199794555E-2</v>
      </c>
    </row>
    <row r="259" spans="3:39" ht="15.75" customHeight="1" x14ac:dyDescent="0.3">
      <c r="C259" s="24" t="s">
        <v>18</v>
      </c>
      <c r="D259" s="23">
        <v>0.1617773495214534</v>
      </c>
      <c r="E259" s="23">
        <v>0.15826082737948743</v>
      </c>
      <c r="F259" s="23">
        <v>0.10783279735903029</v>
      </c>
      <c r="G259" s="23">
        <f t="shared" si="15"/>
        <v>5.7939914163090078E-2</v>
      </c>
      <c r="H259" s="23">
        <v>0.17299999999999999</v>
      </c>
      <c r="J259" s="31" t="s">
        <v>18</v>
      </c>
      <c r="K259" s="23">
        <v>3.1399999999999997E-2</v>
      </c>
      <c r="M259" s="23">
        <v>1.1268875366238449E-2</v>
      </c>
      <c r="N259" s="23">
        <v>3.5765379113018598E-3</v>
      </c>
      <c r="O259" s="23">
        <v>2.6701767581797667E-2</v>
      </c>
      <c r="P259" s="23">
        <v>2.1547502448579822E-2</v>
      </c>
      <c r="Q259" s="23">
        <v>6.6000000000000003E-2</v>
      </c>
      <c r="S259" s="31" t="s">
        <v>18</v>
      </c>
      <c r="T259" s="97">
        <v>9.7629009762900981E-2</v>
      </c>
      <c r="U259" s="43">
        <v>3.2857142857142856</v>
      </c>
      <c r="V259" s="43">
        <v>2.0390516039051603</v>
      </c>
      <c r="X259" s="31" t="s">
        <v>18</v>
      </c>
      <c r="Y259" s="43">
        <v>1.1674897119341563</v>
      </c>
      <c r="Z259" s="96">
        <v>34.303583502366465</v>
      </c>
      <c r="AB259" s="31" t="s">
        <v>18</v>
      </c>
      <c r="AC259" s="23">
        <v>6.9735006973500699E-2</v>
      </c>
      <c r="AD259" s="23">
        <v>2.2946305644791189E-2</v>
      </c>
      <c r="AF259" s="31" t="s">
        <v>18</v>
      </c>
      <c r="AG259" s="96">
        <v>88.34020146520146</v>
      </c>
      <c r="AI259" s="31" t="s">
        <v>18</v>
      </c>
      <c r="AJ259" s="96">
        <v>11.03254532775453</v>
      </c>
      <c r="AL259" s="31" t="s">
        <v>18</v>
      </c>
      <c r="AM259" s="32">
        <v>1.1319874569155416E-2</v>
      </c>
    </row>
    <row r="260" spans="3:39" ht="15.75" customHeight="1" x14ac:dyDescent="0.3">
      <c r="C260" s="24" t="s">
        <v>19</v>
      </c>
      <c r="D260" s="23">
        <v>9.8289208417648988E-2</v>
      </c>
      <c r="E260" s="23">
        <v>4.8100533323297112E-2</v>
      </c>
      <c r="F260" s="23">
        <v>-3.0648360318455192E-2</v>
      </c>
      <c r="G260" s="23">
        <f t="shared" si="15"/>
        <v>-0.19546979865771807</v>
      </c>
      <c r="H260" s="23"/>
      <c r="J260" s="31" t="s">
        <v>19</v>
      </c>
      <c r="K260" s="23"/>
      <c r="M260" s="23">
        <v>-3.9103232533889469E-2</v>
      </c>
      <c r="N260" s="23">
        <v>-3.4395973154362415E-2</v>
      </c>
      <c r="O260" s="23">
        <v>3.792949576082106E-2</v>
      </c>
      <c r="P260" s="23">
        <v>6.672226855713094E-2</v>
      </c>
      <c r="Q260" s="23">
        <v>4.4680851063829789E-2</v>
      </c>
      <c r="S260" s="31" t="s">
        <v>19</v>
      </c>
      <c r="T260" s="97">
        <v>0.08</v>
      </c>
      <c r="U260" s="43">
        <v>-4.125</v>
      </c>
      <c r="V260" s="43">
        <v>1.8453608247422681</v>
      </c>
      <c r="X260" s="31" t="s">
        <v>19</v>
      </c>
      <c r="Y260" s="43">
        <v>1.2004132231404958</v>
      </c>
      <c r="Z260" s="96">
        <v>29.687174139728885</v>
      </c>
      <c r="AB260" s="31" t="s">
        <v>19</v>
      </c>
      <c r="AC260" s="23">
        <v>-0.12886597938144329</v>
      </c>
      <c r="AD260" s="23">
        <v>-4.5262522631261314E-2</v>
      </c>
      <c r="AF260" s="31" t="s">
        <v>19</v>
      </c>
      <c r="AG260" s="96">
        <v>3891</v>
      </c>
      <c r="AI260" s="31" t="s">
        <v>19</v>
      </c>
      <c r="AJ260" s="96">
        <v>9.9280670103092792</v>
      </c>
      <c r="AL260" s="31" t="s">
        <v>19</v>
      </c>
      <c r="AM260" s="32">
        <v>2.5700334104343357E-4</v>
      </c>
    </row>
    <row r="261" spans="3:39" ht="15.75" customHeight="1" thickBot="1" x14ac:dyDescent="0.35">
      <c r="C261" s="25" t="s">
        <v>20</v>
      </c>
      <c r="D261" s="26"/>
      <c r="E261" s="26"/>
      <c r="F261" s="26">
        <v>8.5710109305209947E-2</v>
      </c>
      <c r="G261" s="26">
        <f t="shared" si="15"/>
        <v>0.11190193752471322</v>
      </c>
      <c r="H261" s="26">
        <v>6.9800000000000001E-2</v>
      </c>
      <c r="J261" s="33" t="s">
        <v>20</v>
      </c>
      <c r="K261" s="26">
        <v>1.9E-2</v>
      </c>
      <c r="L261" s="101"/>
      <c r="M261" s="26">
        <v>2.6671408250355619E-2</v>
      </c>
      <c r="N261" s="26">
        <v>3.0051403716884143E-2</v>
      </c>
      <c r="O261" s="26">
        <v>3.7017167381974247E-2</v>
      </c>
      <c r="P261" s="26"/>
      <c r="Q261" s="26"/>
      <c r="S261" s="33" t="s">
        <v>20</v>
      </c>
      <c r="T261" s="102">
        <v>3.1347962382445138E-2</v>
      </c>
      <c r="U261" s="103">
        <v>3.6956521739130435</v>
      </c>
      <c r="V261" s="103">
        <v>1.2727272727272727</v>
      </c>
      <c r="X261" s="33" t="s">
        <v>20</v>
      </c>
      <c r="Y261" s="103">
        <v>1.2799442896935933</v>
      </c>
      <c r="Z261" s="104">
        <v>40.108463726884779</v>
      </c>
      <c r="AB261" s="33" t="s">
        <v>20</v>
      </c>
      <c r="AC261" s="26">
        <v>0.11755485893416928</v>
      </c>
      <c r="AD261" s="26">
        <v>5.1688490696071676E-2</v>
      </c>
      <c r="AF261" s="33" t="s">
        <v>20</v>
      </c>
      <c r="AG261" s="104">
        <v>79.695121951219505</v>
      </c>
      <c r="AI261" s="33" t="s">
        <v>20</v>
      </c>
      <c r="AJ261" s="104">
        <v>8.6040752351097183</v>
      </c>
      <c r="AL261" s="33" t="s">
        <v>20</v>
      </c>
      <c r="AM261" s="34">
        <v>1.2547819433817903E-2</v>
      </c>
    </row>
    <row r="262" spans="3:39" ht="13.8" x14ac:dyDescent="0.3">
      <c r="C262" s="3"/>
      <c r="D262" s="23"/>
      <c r="F262" s="23"/>
      <c r="J262" s="3"/>
      <c r="M262" s="23"/>
      <c r="N262" s="23"/>
      <c r="O262" s="23"/>
      <c r="P262" s="23"/>
      <c r="Q262" s="23"/>
      <c r="S262" s="3"/>
      <c r="X262" s="3"/>
      <c r="AB262" s="3"/>
      <c r="AF262" s="3"/>
      <c r="AI262" s="3"/>
      <c r="AL262" s="3"/>
    </row>
    <row r="263" spans="3:39" ht="14.4" thickBot="1" x14ac:dyDescent="0.35">
      <c r="C263" s="3"/>
      <c r="D263" s="23"/>
      <c r="E263" s="23"/>
      <c r="F263" s="23"/>
      <c r="J263" s="3"/>
      <c r="K263" s="23"/>
      <c r="M263" s="23"/>
      <c r="N263" s="23"/>
      <c r="O263" s="23"/>
      <c r="P263" s="23"/>
      <c r="Q263" s="23"/>
      <c r="S263" s="3"/>
      <c r="X263" s="3"/>
      <c r="AB263" s="3"/>
      <c r="AF263" s="3"/>
      <c r="AI263" s="3"/>
      <c r="AL263" s="3"/>
    </row>
    <row r="264" spans="3:39" ht="13.8" x14ac:dyDescent="0.3">
      <c r="C264" s="27" t="s">
        <v>21</v>
      </c>
      <c r="D264" s="28">
        <v>0.13359151196270291</v>
      </c>
      <c r="E264" s="28">
        <v>0.12723400109186822</v>
      </c>
      <c r="F264" s="28">
        <v>9.5775747701204672E-2</v>
      </c>
      <c r="G264" s="28">
        <f>(O244/P244)-1</f>
        <v>0.10157038606013469</v>
      </c>
      <c r="H264" s="28">
        <v>0.3029313428193765</v>
      </c>
      <c r="J264" s="27" t="s">
        <v>21</v>
      </c>
      <c r="K264" s="28">
        <v>6.2E-2</v>
      </c>
      <c r="L264" s="28">
        <v>4.3999999999999997E-2</v>
      </c>
      <c r="M264" s="28">
        <v>3.3423966110351665E-2</v>
      </c>
      <c r="N264" s="28">
        <v>3.5035395909805978E-2</v>
      </c>
      <c r="O264" s="28">
        <v>6.6449913377791492E-2</v>
      </c>
      <c r="P264" s="28">
        <v>5.8267403094989303E-2</v>
      </c>
      <c r="Q264" s="28">
        <v>8.5328603803330377E-2</v>
      </c>
      <c r="S264" s="27" t="s">
        <v>21</v>
      </c>
      <c r="T264" s="105">
        <v>0.12602262837249784</v>
      </c>
      <c r="U264" s="106">
        <v>3.1</v>
      </c>
      <c r="V264" s="106">
        <v>10</v>
      </c>
      <c r="X264" s="27" t="s">
        <v>21</v>
      </c>
      <c r="Y264" s="106">
        <v>1.4</v>
      </c>
      <c r="Z264" s="106">
        <v>50</v>
      </c>
      <c r="AB264" s="27" t="s">
        <v>21</v>
      </c>
      <c r="AC264" s="28">
        <v>7.7499999999999999E-2</v>
      </c>
      <c r="AD264" s="28">
        <v>3.7999999999999999E-2</v>
      </c>
      <c r="AF264" s="27" t="s">
        <v>21</v>
      </c>
      <c r="AG264" s="106">
        <v>127</v>
      </c>
      <c r="AI264" s="27" t="s">
        <v>21</v>
      </c>
      <c r="AJ264" s="27">
        <v>9</v>
      </c>
      <c r="AL264" s="27" t="s">
        <v>21</v>
      </c>
      <c r="AM264" s="27">
        <v>9</v>
      </c>
    </row>
    <row r="265" spans="3:39" ht="13.8" x14ac:dyDescent="0.3">
      <c r="C265" s="3"/>
    </row>
    <row r="266" spans="3:39" ht="13.8" x14ac:dyDescent="0.3">
      <c r="C266" s="3"/>
    </row>
    <row r="267" spans="3:39" ht="13.8" x14ac:dyDescent="0.3">
      <c r="C267" s="3"/>
    </row>
    <row r="268" spans="3:39" ht="13.8" x14ac:dyDescent="0.3">
      <c r="C268" s="3"/>
    </row>
    <row r="269" spans="3:39" ht="13.8" x14ac:dyDescent="0.3">
      <c r="C269" s="3"/>
    </row>
  </sheetData>
  <mergeCells count="1">
    <mergeCell ref="B2:N3"/>
  </mergeCells>
  <conditionalFormatting sqref="C39:C48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72:C84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07:C119">
    <cfRule type="colorScale" priority="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C139:C151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57:C169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72:G83 D250:H261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85:G85 D264:H264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90:I101 K250:R261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03:I103 K264:R264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139:F151">
    <cfRule type="colorScale" priority="6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F157:F169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39:G51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72:G84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06:G119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39:K51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07:K119">
    <cfRule type="colorScale" priority="8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K157:K169">
    <cfRule type="colorScale" priority="12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L157:L169">
    <cfRule type="colorScale" priority="13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P157:P169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T250:T261">
    <cfRule type="colorScale" priority="20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V249:V261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G250:AG261">
    <cfRule type="colorScale" priority="22">
      <colorScale>
        <cfvo type="min"/>
        <cfvo type="percentile" val="50"/>
        <cfvo type="max"/>
        <color rgb="FF57BB8A"/>
        <color rgb="FFFFFFFF"/>
        <color rgb="FFE67C73"/>
      </colorScale>
    </cfRule>
  </conditionalFormatting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Household Appliances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2024-09-04T09:34:09Z</dcterms:created>
  <dcterms:modified xsi:type="dcterms:W3CDTF">2024-09-04T09:34:23Z</dcterms:modified>
</cp:coreProperties>
</file>