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14A37F87-52C4-4565-AA3F-104A66EDFFB3}" xr6:coauthVersionLast="47" xr6:coauthVersionMax="47" xr10:uidLastSave="{00000000-0000-0000-0000-000000000000}"/>
  <bookViews>
    <workbookView xWindow="-108" yWindow="-108" windowWidth="23256" windowHeight="12456" xr2:uid="{5EE709CD-DF5E-452D-B833-C4AC39070E84}"/>
  </bookViews>
  <sheets>
    <sheet name="Housing Finance Companies" sheetId="1" r:id="rId1"/>
  </sheets>
  <externalReferences>
    <externalReference r:id="rId2"/>
  </externalReferences>
  <definedNames>
    <definedName name="_xlnm._FilterDatabase" localSheetId="0" hidden="1">'Housing Finance Companies'!$A$60:$D$80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2" i="1" l="1"/>
  <c r="K82" i="1"/>
  <c r="I82" i="1"/>
  <c r="H82" i="1"/>
  <c r="G82" i="1"/>
  <c r="F82" i="1"/>
  <c r="J82" i="1" s="1"/>
  <c r="E82" i="1"/>
  <c r="C80" i="1"/>
  <c r="D79" i="1"/>
  <c r="C79" i="1"/>
  <c r="D78" i="1"/>
  <c r="C78" i="1"/>
  <c r="D77" i="1"/>
  <c r="C77" i="1"/>
  <c r="D76" i="1"/>
  <c r="C76" i="1"/>
  <c r="D75" i="1"/>
  <c r="C75" i="1"/>
  <c r="J74" i="1"/>
  <c r="D74" i="1"/>
  <c r="C74" i="1"/>
  <c r="J73" i="1"/>
  <c r="D73" i="1"/>
  <c r="C73" i="1"/>
  <c r="J72" i="1"/>
  <c r="D72" i="1"/>
  <c r="C72" i="1"/>
  <c r="J71" i="1"/>
  <c r="D71" i="1"/>
  <c r="C71" i="1"/>
  <c r="J70" i="1"/>
  <c r="D70" i="1"/>
  <c r="C70" i="1"/>
  <c r="J69" i="1"/>
  <c r="D69" i="1"/>
  <c r="C69" i="1"/>
  <c r="J68" i="1"/>
  <c r="D68" i="1"/>
  <c r="C68" i="1"/>
  <c r="J67" i="1"/>
  <c r="D67" i="1"/>
  <c r="C67" i="1"/>
  <c r="J66" i="1"/>
  <c r="D66" i="1"/>
  <c r="C66" i="1"/>
  <c r="J65" i="1"/>
  <c r="D65" i="1"/>
  <c r="C65" i="1"/>
  <c r="J64" i="1"/>
  <c r="D64" i="1"/>
  <c r="C64" i="1"/>
  <c r="J63" i="1"/>
  <c r="D63" i="1"/>
  <c r="C63" i="1"/>
  <c r="J62" i="1"/>
  <c r="D62" i="1"/>
  <c r="D82" i="1" s="1"/>
  <c r="C62" i="1"/>
  <c r="J61" i="1"/>
  <c r="D61" i="1"/>
  <c r="C61" i="1"/>
  <c r="C17" i="1"/>
</calcChain>
</file>

<file path=xl/sharedStrings.xml><?xml version="1.0" encoding="utf-8"?>
<sst xmlns="http://schemas.openxmlformats.org/spreadsheetml/2006/main" count="105" uniqueCount="35">
  <si>
    <t>HOUSING FINANCE COMPANIES</t>
  </si>
  <si>
    <t>Security Name</t>
  </si>
  <si>
    <t>MARKETCAP</t>
  </si>
  <si>
    <t>AUM_FY24</t>
  </si>
  <si>
    <t>Sales_fy24</t>
  </si>
  <si>
    <t>PROFIT 2024</t>
  </si>
  <si>
    <t>BAJAJHFL</t>
  </si>
  <si>
    <t>LICHSGFIN</t>
  </si>
  <si>
    <t>PNBHOUSING</t>
  </si>
  <si>
    <t>AADHARHFC</t>
  </si>
  <si>
    <t>APTUS</t>
  </si>
  <si>
    <t>AAVAS</t>
  </si>
  <si>
    <t>SAMMAANCAP</t>
  </si>
  <si>
    <t>CANFINHOME</t>
  </si>
  <si>
    <t>HOMEFIRST</t>
  </si>
  <si>
    <t>OTHER_11</t>
  </si>
  <si>
    <t>Industrry</t>
  </si>
  <si>
    <t>MARGIN %</t>
  </si>
  <si>
    <t>GROWTH 4Y</t>
  </si>
  <si>
    <t>GNPA%</t>
  </si>
  <si>
    <t>Security Code</t>
  </si>
  <si>
    <t>CMP</t>
  </si>
  <si>
    <t>SALES 2023</t>
  </si>
  <si>
    <t>PROFIT 2023</t>
  </si>
  <si>
    <t>INDIASHLTR</t>
  </si>
  <si>
    <t>REPCOHOME</t>
  </si>
  <si>
    <t>GICHSGFIN</t>
  </si>
  <si>
    <t>SRGHFL</t>
  </si>
  <si>
    <t>STARHFL</t>
  </si>
  <si>
    <t>RHFL</t>
  </si>
  <si>
    <t>MEHTAHG</t>
  </si>
  <si>
    <t>INDIAHOME</t>
  </si>
  <si>
    <t>INDBNK</t>
  </si>
  <si>
    <t>SAHARAHOUS</t>
  </si>
  <si>
    <t>ZHINDHSG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</si>
</sst>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color rgb="FF000000"/>
      <name val="Calibri"/>
      <scheme val="minor"/>
    </font>
    <font>
      <sz val="36"/>
      <color rgb="FFFFFFFF"/>
      <name val="Arial"/>
    </font>
    <font>
      <b/>
      <sz val="11"/>
      <color rgb="FFFFFFFF"/>
      <name val="Arial"/>
    </font>
    <font>
      <sz val="10"/>
      <color theme="1"/>
      <name val="Calibri"/>
      <scheme val="minor"/>
    </font>
    <font>
      <b/>
      <sz val="11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Arial"/>
    </font>
  </fonts>
  <fills count="29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D2EDE0"/>
        <bgColor rgb="FFD2EDE0"/>
      </patternFill>
    </fill>
    <fill>
      <patternFill patternType="solid">
        <fgColor rgb="FFD9F0E4"/>
        <bgColor rgb="FFD9F0E4"/>
      </patternFill>
    </fill>
    <fill>
      <patternFill patternType="solid">
        <fgColor rgb="FFCFECDD"/>
        <bgColor rgb="FFCFECDD"/>
      </patternFill>
    </fill>
    <fill>
      <patternFill patternType="solid">
        <fgColor rgb="FF57BB8A"/>
        <bgColor rgb="FF57BB8A"/>
      </patternFill>
    </fill>
    <fill>
      <patternFill patternType="solid">
        <fgColor rgb="FFDFF2E9"/>
        <bgColor rgb="FFDFF2E9"/>
      </patternFill>
    </fill>
    <fill>
      <patternFill patternType="solid">
        <fgColor rgb="FFDCF1E7"/>
        <bgColor rgb="FFDCF1E7"/>
      </patternFill>
    </fill>
    <fill>
      <patternFill patternType="solid">
        <fgColor rgb="FFD7EFE4"/>
        <bgColor rgb="FFD7EFE4"/>
      </patternFill>
    </fill>
    <fill>
      <patternFill patternType="solid">
        <fgColor rgb="FFFEFFFF"/>
        <bgColor rgb="FFFEFFFF"/>
      </patternFill>
    </fill>
    <fill>
      <patternFill patternType="solid">
        <fgColor rgb="FFFAFDFC"/>
        <bgColor rgb="FFFAFDFC"/>
      </patternFill>
    </fill>
    <fill>
      <patternFill patternType="solid">
        <fgColor rgb="FFF5FBF8"/>
        <bgColor rgb="FFF5FBF8"/>
      </patternFill>
    </fill>
    <fill>
      <patternFill patternType="solid">
        <fgColor rgb="FFEB9790"/>
        <bgColor rgb="FFEB9790"/>
      </patternFill>
    </fill>
    <fill>
      <patternFill patternType="solid">
        <fgColor rgb="FFF4C6C2"/>
        <bgColor rgb="FFF4C6C2"/>
      </patternFill>
    </fill>
    <fill>
      <patternFill patternType="solid">
        <fgColor rgb="FFFEFDFD"/>
        <bgColor rgb="FFFEFDFD"/>
      </patternFill>
    </fill>
    <fill>
      <patternFill patternType="solid">
        <fgColor rgb="FFFBEFEE"/>
        <bgColor rgb="FFFBEFEE"/>
      </patternFill>
    </fill>
    <fill>
      <patternFill patternType="solid">
        <fgColor rgb="FFFEFFFE"/>
        <bgColor rgb="FFFEFFFE"/>
      </patternFill>
    </fill>
    <fill>
      <patternFill patternType="solid">
        <fgColor rgb="FFFFFFFF"/>
        <bgColor rgb="FFFFFFFF"/>
      </patternFill>
    </fill>
    <fill>
      <patternFill patternType="solid">
        <fgColor rgb="FFE3F4EC"/>
        <bgColor rgb="FFE3F4EC"/>
      </patternFill>
    </fill>
    <fill>
      <patternFill patternType="solid">
        <fgColor rgb="FFF4FBF7"/>
        <bgColor rgb="FFF4FBF7"/>
      </patternFill>
    </fill>
    <fill>
      <patternFill patternType="solid">
        <fgColor rgb="FFF5CECB"/>
        <bgColor rgb="FFF5CECB"/>
      </patternFill>
    </fill>
    <fill>
      <patternFill patternType="solid">
        <fgColor rgb="FFF5CDC9"/>
        <bgColor rgb="FFF5CDC9"/>
      </patternFill>
    </fill>
    <fill>
      <patternFill patternType="solid">
        <fgColor rgb="FFF6FCF9"/>
        <bgColor rgb="FFF6FCF9"/>
      </patternFill>
    </fill>
    <fill>
      <patternFill patternType="solid">
        <fgColor rgb="FFF1BAB5"/>
        <bgColor rgb="FFF1BAB5"/>
      </patternFill>
    </fill>
    <fill>
      <patternFill patternType="solid">
        <fgColor rgb="FFCCEBDC"/>
        <bgColor rgb="FFCCEBDC"/>
      </patternFill>
    </fill>
    <fill>
      <patternFill patternType="solid">
        <fgColor rgb="FFECF7F2"/>
        <bgColor rgb="FFECF7F2"/>
      </patternFill>
    </fill>
    <fill>
      <patternFill patternType="solid">
        <fgColor rgb="FFE67C73"/>
        <bgColor rgb="FFE67C73"/>
      </patternFill>
    </fill>
    <fill>
      <patternFill patternType="solid">
        <fgColor rgb="FFDBF1E6"/>
        <bgColor rgb="FFDBF1E6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/>
    <xf numFmtId="0" fontId="3" fillId="0" borderId="0" xfId="0" applyFont="1"/>
    <xf numFmtId="1" fontId="4" fillId="0" borderId="1" xfId="0" applyNumberFormat="1" applyFont="1" applyBorder="1" applyAlignment="1">
      <alignment horizontal="right"/>
    </xf>
    <xf numFmtId="0" fontId="5" fillId="0" borderId="0" xfId="0" applyFont="1"/>
    <xf numFmtId="0" fontId="5" fillId="3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6" fillId="5" borderId="2" xfId="0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0" fontId="6" fillId="6" borderId="2" xfId="0" applyFont="1" applyFill="1" applyBorder="1" applyAlignment="1">
      <alignment horizontal="right"/>
    </xf>
    <xf numFmtId="0" fontId="5" fillId="7" borderId="0" xfId="0" applyFont="1" applyFill="1" applyAlignment="1">
      <alignment horizontal="right"/>
    </xf>
    <xf numFmtId="0" fontId="5" fillId="8" borderId="0" xfId="0" applyFont="1" applyFill="1" applyAlignment="1">
      <alignment horizontal="right"/>
    </xf>
    <xf numFmtId="0" fontId="6" fillId="9" borderId="2" xfId="0" applyFont="1" applyFill="1" applyBorder="1" applyAlignment="1">
      <alignment horizontal="right"/>
    </xf>
    <xf numFmtId="0" fontId="5" fillId="10" borderId="0" xfId="0" applyFont="1" applyFill="1" applyAlignment="1">
      <alignment horizontal="right"/>
    </xf>
    <xf numFmtId="0" fontId="5" fillId="11" borderId="0" xfId="0" applyFont="1" applyFill="1" applyAlignment="1">
      <alignment horizontal="right"/>
    </xf>
    <xf numFmtId="0" fontId="6" fillId="12" borderId="2" xfId="0" applyFont="1" applyFill="1" applyBorder="1" applyAlignment="1">
      <alignment horizontal="right"/>
    </xf>
    <xf numFmtId="0" fontId="5" fillId="13" borderId="0" xfId="0" applyFont="1" applyFill="1" applyAlignment="1">
      <alignment horizontal="right"/>
    </xf>
    <xf numFmtId="0" fontId="5" fillId="14" borderId="0" xfId="0" applyFont="1" applyFill="1" applyAlignment="1">
      <alignment horizontal="right"/>
    </xf>
    <xf numFmtId="0" fontId="6" fillId="15" borderId="2" xfId="0" applyFont="1" applyFill="1" applyBorder="1" applyAlignment="1">
      <alignment horizontal="right"/>
    </xf>
    <xf numFmtId="0" fontId="5" fillId="0" borderId="3" xfId="0" applyFont="1" applyBorder="1"/>
    <xf numFmtId="0" fontId="5" fillId="16" borderId="3" xfId="0" applyFont="1" applyFill="1" applyBorder="1" applyAlignment="1">
      <alignment horizontal="right"/>
    </xf>
    <xf numFmtId="0" fontId="5" fillId="17" borderId="0" xfId="0" applyFont="1" applyFill="1" applyAlignment="1">
      <alignment horizontal="right"/>
    </xf>
    <xf numFmtId="0" fontId="6" fillId="18" borderId="2" xfId="0" applyFont="1" applyFill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0" fontId="6" fillId="19" borderId="2" xfId="0" applyFont="1" applyFill="1" applyBorder="1" applyAlignment="1">
      <alignment horizontal="right"/>
    </xf>
    <xf numFmtId="0" fontId="5" fillId="20" borderId="0" xfId="0" applyFont="1" applyFill="1" applyAlignment="1">
      <alignment horizontal="right"/>
    </xf>
    <xf numFmtId="1" fontId="3" fillId="0" borderId="0" xfId="0" applyNumberFormat="1" applyFont="1"/>
    <xf numFmtId="0" fontId="5" fillId="21" borderId="3" xfId="0" applyFont="1" applyFill="1" applyBorder="1" applyAlignment="1">
      <alignment horizontal="right"/>
    </xf>
    <xf numFmtId="0" fontId="6" fillId="22" borderId="4" xfId="0" applyFont="1" applyFill="1" applyBorder="1" applyAlignment="1">
      <alignment horizontal="right"/>
    </xf>
    <xf numFmtId="0" fontId="3" fillId="0" borderId="3" xfId="0" applyFont="1" applyBorder="1"/>
    <xf numFmtId="0" fontId="3" fillId="0" borderId="5" xfId="0" applyFont="1" applyBorder="1"/>
    <xf numFmtId="1" fontId="3" fillId="0" borderId="5" xfId="0" applyNumberFormat="1" applyFont="1" applyBorder="1"/>
    <xf numFmtId="0" fontId="2" fillId="2" borderId="6" xfId="0" applyFont="1" applyFill="1" applyBorder="1"/>
    <xf numFmtId="1" fontId="2" fillId="2" borderId="6" xfId="0" applyNumberFormat="1" applyFont="1" applyFill="1" applyBorder="1"/>
    <xf numFmtId="164" fontId="5" fillId="23" borderId="0" xfId="0" applyNumberFormat="1" applyFont="1" applyFill="1" applyAlignment="1">
      <alignment horizontal="right"/>
    </xf>
    <xf numFmtId="164" fontId="3" fillId="0" borderId="0" xfId="0" applyNumberFormat="1" applyFont="1"/>
    <xf numFmtId="10" fontId="3" fillId="0" borderId="0" xfId="0" applyNumberFormat="1" applyFont="1"/>
    <xf numFmtId="164" fontId="5" fillId="24" borderId="0" xfId="0" applyNumberFormat="1" applyFont="1" applyFill="1" applyAlignment="1">
      <alignment horizontal="right"/>
    </xf>
    <xf numFmtId="164" fontId="5" fillId="18" borderId="0" xfId="0" applyNumberFormat="1" applyFont="1" applyFill="1" applyAlignment="1">
      <alignment horizontal="right"/>
    </xf>
    <xf numFmtId="164" fontId="5" fillId="25" borderId="0" xfId="0" applyNumberFormat="1" applyFont="1" applyFill="1" applyAlignment="1">
      <alignment horizontal="right"/>
    </xf>
    <xf numFmtId="164" fontId="5" fillId="6" borderId="0" xfId="0" applyNumberFormat="1" applyFont="1" applyFill="1" applyAlignment="1">
      <alignment horizontal="right"/>
    </xf>
    <xf numFmtId="164" fontId="5" fillId="26" borderId="0" xfId="0" applyNumberFormat="1" applyFont="1" applyFill="1" applyAlignment="1">
      <alignment horizontal="right"/>
    </xf>
    <xf numFmtId="164" fontId="5" fillId="27" borderId="0" xfId="0" applyNumberFormat="1" applyFont="1" applyFill="1" applyAlignment="1">
      <alignment horizontal="right"/>
    </xf>
    <xf numFmtId="164" fontId="5" fillId="15" borderId="0" xfId="0" applyNumberFormat="1" applyFont="1" applyFill="1" applyAlignment="1">
      <alignment horizontal="right"/>
    </xf>
    <xf numFmtId="164" fontId="5" fillId="28" borderId="3" xfId="0" applyNumberFormat="1" applyFont="1" applyFill="1" applyBorder="1" applyAlignment="1">
      <alignment horizontal="right"/>
    </xf>
    <xf numFmtId="164" fontId="3" fillId="0" borderId="3" xfId="0" applyNumberFormat="1" applyFont="1" applyBorder="1"/>
    <xf numFmtId="10" fontId="3" fillId="0" borderId="3" xfId="0" applyNumberFormat="1" applyFont="1" applyBorder="1"/>
    <xf numFmtId="164" fontId="3" fillId="0" borderId="5" xfId="0" applyNumberFormat="1" applyFont="1" applyBorder="1"/>
    <xf numFmtId="0" fontId="7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7" fillId="0" borderId="8" xfId="0" applyFont="1" applyBorder="1" applyAlignment="1">
      <alignment horizontal="right"/>
    </xf>
    <xf numFmtId="1" fontId="7" fillId="0" borderId="9" xfId="0" applyNumberFormat="1" applyFont="1" applyBorder="1" applyAlignment="1">
      <alignment horizontal="right"/>
    </xf>
    <xf numFmtId="10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'Housing Finance Companies'!$C$5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BF2B-4A2C-A865-2E59AF483754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BF2B-4A2C-A865-2E59AF483754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BF2B-4A2C-A865-2E59AF483754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BF2B-4A2C-A865-2E59AF483754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BF2B-4A2C-A865-2E59AF483754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BF2B-4A2C-A865-2E59AF483754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BF2B-4A2C-A865-2E59AF483754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BF2B-4A2C-A865-2E59AF483754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BF2B-4A2C-A865-2E59AF483754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BF2B-4A2C-A865-2E59AF483754}"/>
              </c:ext>
            </c:extLst>
          </c:dPt>
          <c:cat>
            <c:strRef>
              <c:f>'Housing Finance Companies'!$B$6:$B$15</c:f>
              <c:strCache>
                <c:ptCount val="10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  <c:pt idx="9">
                  <c:v>OTHER_11</c:v>
                </c:pt>
              </c:strCache>
            </c:strRef>
          </c:cat>
          <c:val>
            <c:numRef>
              <c:f>'Housing Finance Companies'!$C$6:$C$15</c:f>
              <c:numCache>
                <c:formatCode>0</c:formatCode>
                <c:ptCount val="10"/>
                <c:pt idx="0">
                  <c:v>131034.7635536</c:v>
                </c:pt>
                <c:pt idx="1">
                  <c:v>37320.99</c:v>
                </c:pt>
                <c:pt idx="2">
                  <c:v>25151.773766499999</c:v>
                </c:pt>
                <c:pt idx="3">
                  <c:v>20984.169622500001</c:v>
                </c:pt>
                <c:pt idx="4">
                  <c:v>18230.771799999999</c:v>
                </c:pt>
                <c:pt idx="5">
                  <c:v>14413.005256500001</c:v>
                </c:pt>
                <c:pt idx="6">
                  <c:v>11818.76</c:v>
                </c:pt>
                <c:pt idx="7">
                  <c:v>11764.161714899999</c:v>
                </c:pt>
                <c:pt idx="8">
                  <c:v>10806.703292300001</c:v>
                </c:pt>
                <c:pt idx="9" formatCode="General">
                  <c:v>14164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2B-4A2C-A865-2E59AF483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AUM_FY24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'Housing Finance Companies'!$G$5</c:f>
              <c:strCache>
                <c:ptCount val="1"/>
                <c:pt idx="0">
                  <c:v>AUM_FY24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C066-4BB2-82BD-DDF0CBF61A57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C066-4BB2-82BD-DDF0CBF61A57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C066-4BB2-82BD-DDF0CBF61A57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C066-4BB2-82BD-DDF0CBF61A57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C066-4BB2-82BD-DDF0CBF61A57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C066-4BB2-82BD-DDF0CBF61A57}"/>
              </c:ext>
            </c:extLst>
          </c:dPt>
          <c:cat>
            <c:strRef>
              <c:f>'Housing Finance Companies'!$F$6:$F$11</c:f>
              <c:strCache>
                <c:ptCount val="6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</c:strCache>
            </c:strRef>
          </c:cat>
          <c:val>
            <c:numRef>
              <c:f>'Housing Finance Companies'!$G$6:$G$11</c:f>
              <c:numCache>
                <c:formatCode>General</c:formatCode>
                <c:ptCount val="6"/>
                <c:pt idx="0">
                  <c:v>91370</c:v>
                </c:pt>
                <c:pt idx="1">
                  <c:v>286800</c:v>
                </c:pt>
                <c:pt idx="2">
                  <c:v>71240</c:v>
                </c:pt>
                <c:pt idx="3">
                  <c:v>21100</c:v>
                </c:pt>
                <c:pt idx="4">
                  <c:v>6760</c:v>
                </c:pt>
                <c:pt idx="5">
                  <c:v>17310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066-4BB2-82BD-DDF0CBF6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Sales_fy24 and PROFIT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Companies'!$K$5</c:f>
              <c:strCache>
                <c:ptCount val="1"/>
                <c:pt idx="0">
                  <c:v>Sales_fy24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Companies'!$J$6:$J$14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Companies'!$K$6:$K$14</c:f>
              <c:numCache>
                <c:formatCode>General</c:formatCode>
                <c:ptCount val="9"/>
                <c:pt idx="0">
                  <c:v>7617</c:v>
                </c:pt>
                <c:pt idx="1">
                  <c:v>27067</c:v>
                </c:pt>
                <c:pt idx="2">
                  <c:v>7050</c:v>
                </c:pt>
                <c:pt idx="3">
                  <c:v>2587</c:v>
                </c:pt>
                <c:pt idx="4">
                  <c:v>1037</c:v>
                </c:pt>
                <c:pt idx="5">
                  <c:v>2018</c:v>
                </c:pt>
                <c:pt idx="6">
                  <c:v>8579</c:v>
                </c:pt>
                <c:pt idx="7">
                  <c:v>3525</c:v>
                </c:pt>
                <c:pt idx="8">
                  <c:v>1137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C7E-4912-B853-4587476CD913}"/>
            </c:ext>
          </c:extLst>
        </c:ser>
        <c:ser>
          <c:idx val="1"/>
          <c:order val="1"/>
          <c:tx>
            <c:strRef>
              <c:f>'Housing Finance Companies'!$L$5</c:f>
              <c:strCache>
                <c:ptCount val="1"/>
                <c:pt idx="0">
                  <c:v>PROFIT 2024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Companies'!$J$6:$J$14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Companies'!$L$6:$L$14</c:f>
              <c:numCache>
                <c:formatCode>General</c:formatCode>
                <c:ptCount val="9"/>
                <c:pt idx="0">
                  <c:v>1731</c:v>
                </c:pt>
                <c:pt idx="1">
                  <c:v>4760</c:v>
                </c:pt>
                <c:pt idx="2">
                  <c:v>1508</c:v>
                </c:pt>
                <c:pt idx="3">
                  <c:v>750</c:v>
                </c:pt>
                <c:pt idx="4">
                  <c:v>480</c:v>
                </c:pt>
                <c:pt idx="5">
                  <c:v>491</c:v>
                </c:pt>
                <c:pt idx="6">
                  <c:v>1214</c:v>
                </c:pt>
                <c:pt idx="7">
                  <c:v>751</c:v>
                </c:pt>
                <c:pt idx="8">
                  <c:v>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C7E-4912-B853-4587476C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120030"/>
        <c:axId val="47606542"/>
      </c:barChart>
      <c:catAx>
        <c:axId val="17111200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7606542"/>
        <c:crosses val="autoZero"/>
        <c:auto val="1"/>
        <c:lblAlgn val="ctr"/>
        <c:lblOffset val="100"/>
        <c:noMultiLvlLbl val="1"/>
      </c:catAx>
      <c:valAx>
        <c:axId val="476065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1112003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 %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Companies'!$C$33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86-4D01-8753-AA64BA1952C7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86-4D01-8753-AA64BA1952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Companies'!$B$34:$B$42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Companies'!$C$34:$C$42</c:f>
              <c:numCache>
                <c:formatCode>0.0%</c:formatCode>
                <c:ptCount val="9"/>
                <c:pt idx="0">
                  <c:v>0.22725482473414729</c:v>
                </c:pt>
                <c:pt idx="1">
                  <c:v>0.17585990320316253</c:v>
                </c:pt>
                <c:pt idx="2">
                  <c:v>0.21390070921985815</c:v>
                </c:pt>
                <c:pt idx="3">
                  <c:v>0.28991109393119441</c:v>
                </c:pt>
                <c:pt idx="4">
                  <c:v>0.46287367405978785</c:v>
                </c:pt>
                <c:pt idx="5">
                  <c:v>0.24331020812685827</c:v>
                </c:pt>
                <c:pt idx="6">
                  <c:v>0.14150833430469753</c:v>
                </c:pt>
                <c:pt idx="7">
                  <c:v>0.21304964539007093</c:v>
                </c:pt>
                <c:pt idx="8">
                  <c:v>0.26824978012313105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986-4D01-8753-AA64BA19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922630"/>
        <c:axId val="834621576"/>
      </c:barChart>
      <c:catAx>
        <c:axId val="6889226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4621576"/>
        <c:crosses val="autoZero"/>
        <c:auto val="1"/>
        <c:lblAlgn val="ctr"/>
        <c:lblOffset val="100"/>
        <c:noMultiLvlLbl val="1"/>
      </c:catAx>
      <c:valAx>
        <c:axId val="8346215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 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892263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GROWTH 4Y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Companies'!$G$33</c:f>
              <c:strCache>
                <c:ptCount val="1"/>
                <c:pt idx="0">
                  <c:v>GROWTH 4Y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BA-4981-9A91-EEED92DAD523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BA-4981-9A91-EEED92DAD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Companies'!$F$34:$F$42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Companies'!$G$34:$G$42</c:f>
              <c:numCache>
                <c:formatCode>0.0%</c:formatCode>
                <c:ptCount val="9"/>
                <c:pt idx="0">
                  <c:v>0.30299999999999999</c:v>
                </c:pt>
                <c:pt idx="1">
                  <c:v>8.4000000000000005E-2</c:v>
                </c:pt>
                <c:pt idx="2">
                  <c:v>-4.5999999999999999E-2</c:v>
                </c:pt>
                <c:pt idx="3">
                  <c:v>0.16500000000000001</c:v>
                </c:pt>
                <c:pt idx="4">
                  <c:v>0.253</c:v>
                </c:pt>
                <c:pt idx="5">
                  <c:v>0.223</c:v>
                </c:pt>
                <c:pt idx="7">
                  <c:v>0.14799999999999999</c:v>
                </c:pt>
                <c:pt idx="8">
                  <c:v>0.28799999999999998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5BA-4981-9A91-EEED92DAD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429548"/>
        <c:axId val="1845605739"/>
      </c:barChart>
      <c:catAx>
        <c:axId val="11384295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5605739"/>
        <c:crosses val="autoZero"/>
        <c:auto val="1"/>
        <c:lblAlgn val="ctr"/>
        <c:lblOffset val="100"/>
        <c:noMultiLvlLbl val="1"/>
      </c:catAx>
      <c:valAx>
        <c:axId val="18456057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 4Y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384295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GNPA%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Companies'!$K$33</c:f>
              <c:strCache>
                <c:ptCount val="1"/>
                <c:pt idx="0">
                  <c:v>GNPA%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488-483D-8158-5750A588571B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488-483D-8158-5750A58857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Companies'!$J$34:$J$42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Companies'!$K$34:$K$42</c:f>
              <c:numCache>
                <c:formatCode>0.00%</c:formatCode>
                <c:ptCount val="9"/>
                <c:pt idx="0">
                  <c:v>2.7000000000000001E-3</c:v>
                </c:pt>
                <c:pt idx="1">
                  <c:v>3.3099999999999997E-2</c:v>
                </c:pt>
                <c:pt idx="2">
                  <c:v>1.4999999999999999E-2</c:v>
                </c:pt>
                <c:pt idx="3">
                  <c:v>1.0999999999999999E-2</c:v>
                </c:pt>
                <c:pt idx="4">
                  <c:v>1.0699999999999999E-2</c:v>
                </c:pt>
                <c:pt idx="5">
                  <c:v>9.4000000000000004E-3</c:v>
                </c:pt>
                <c:pt idx="7">
                  <c:v>8.2000000000000007E-3</c:v>
                </c:pt>
                <c:pt idx="8">
                  <c:v>1.7000000000000001E-2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488-483D-8158-5750A5885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150073"/>
        <c:axId val="452359341"/>
      </c:barChart>
      <c:catAx>
        <c:axId val="11221500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52359341"/>
        <c:crosses val="autoZero"/>
        <c:auto val="1"/>
        <c:lblAlgn val="ctr"/>
        <c:lblOffset val="100"/>
        <c:noMultiLvlLbl val="1"/>
      </c:catAx>
      <c:valAx>
        <c:axId val="4523593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GNPA%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21500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17</xdr:row>
      <xdr:rowOff>123825</xdr:rowOff>
    </xdr:from>
    <xdr:ext cx="4057650" cy="25050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13EA46C7-87D8-465C-A98C-F61BAB3CA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400050</xdr:colOff>
      <xdr:row>17</xdr:row>
      <xdr:rowOff>123825</xdr:rowOff>
    </xdr:from>
    <xdr:ext cx="4057650" cy="25050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859374C1-DACC-4732-AC1F-0D80F90D1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619125</xdr:colOff>
      <xdr:row>17</xdr:row>
      <xdr:rowOff>123825</xdr:rowOff>
    </xdr:from>
    <xdr:ext cx="4057650" cy="25050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41A8080E-8C00-4AA8-87CB-8175E4A15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180975</xdr:colOff>
      <xdr:row>44</xdr:row>
      <xdr:rowOff>95250</xdr:rowOff>
    </xdr:from>
    <xdr:ext cx="4114800" cy="25050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178CD8EE-EB56-4965-B26F-33E365869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457200</xdr:colOff>
      <xdr:row>44</xdr:row>
      <xdr:rowOff>95250</xdr:rowOff>
    </xdr:from>
    <xdr:ext cx="4057650" cy="25050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68979C8-E14A-4AD7-9283-7AA2F294B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8</xdr:col>
      <xdr:colOff>676275</xdr:colOff>
      <xdr:row>44</xdr:row>
      <xdr:rowOff>95250</xdr:rowOff>
    </xdr:from>
    <xdr:ext cx="4057650" cy="25050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C5F65CC5-526D-4CB2-9E0A-0EFAD620B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esktop\Documents\Annual%20Result\Q1_fy25\BAJAJ_HOUSING%20FINANCE.xlsx" TargetMode="External"/><Relationship Id="rId1" Type="http://schemas.openxmlformats.org/officeDocument/2006/relationships/externalLinkPath" Target="BAJAJ_HOUSING%20FIN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JAJHFL"/>
      <sheetName val="Housing Finance Companies"/>
    </sheetNames>
    <sheetDataSet>
      <sheetData sheetId="0"/>
      <sheetData sheetId="1">
        <row r="5">
          <cell r="C5" t="str">
            <v>MARKETCAP</v>
          </cell>
          <cell r="G5" t="str">
            <v>AUM_FY24</v>
          </cell>
          <cell r="K5" t="str">
            <v>Sales_fy24</v>
          </cell>
          <cell r="L5" t="str">
            <v>PROFIT 2024</v>
          </cell>
        </row>
        <row r="6">
          <cell r="B6" t="str">
            <v>BAJAJHFL</v>
          </cell>
          <cell r="C6">
            <v>131034.7635536</v>
          </cell>
          <cell r="F6" t="str">
            <v>BAJAJHFL</v>
          </cell>
          <cell r="G6">
            <v>91370</v>
          </cell>
          <cell r="J6" t="str">
            <v>BAJAJHFL</v>
          </cell>
          <cell r="K6">
            <v>7617</v>
          </cell>
          <cell r="L6">
            <v>1731</v>
          </cell>
        </row>
        <row r="7">
          <cell r="B7" t="str">
            <v>LICHSGFIN</v>
          </cell>
          <cell r="C7">
            <v>37320.99</v>
          </cell>
          <cell r="F7" t="str">
            <v>LICHSGFIN</v>
          </cell>
          <cell r="G7">
            <v>286800</v>
          </cell>
          <cell r="J7" t="str">
            <v>LICHSGFIN</v>
          </cell>
          <cell r="K7">
            <v>27067</v>
          </cell>
          <cell r="L7">
            <v>4760</v>
          </cell>
        </row>
        <row r="8">
          <cell r="B8" t="str">
            <v>PNBHOUSING</v>
          </cell>
          <cell r="C8">
            <v>25151.773766499999</v>
          </cell>
          <cell r="F8" t="str">
            <v>PNBHOUSING</v>
          </cell>
          <cell r="G8">
            <v>71240</v>
          </cell>
          <cell r="J8" t="str">
            <v>PNBHOUSING</v>
          </cell>
          <cell r="K8">
            <v>7050</v>
          </cell>
          <cell r="L8">
            <v>1508</v>
          </cell>
        </row>
        <row r="9">
          <cell r="B9" t="str">
            <v>AADHARHFC</v>
          </cell>
          <cell r="C9">
            <v>20984.169622500001</v>
          </cell>
          <cell r="F9" t="str">
            <v>AADHARHFC</v>
          </cell>
          <cell r="G9">
            <v>21100</v>
          </cell>
          <cell r="J9" t="str">
            <v>AADHARHFC</v>
          </cell>
          <cell r="K9">
            <v>2587</v>
          </cell>
          <cell r="L9">
            <v>750</v>
          </cell>
        </row>
        <row r="10">
          <cell r="B10" t="str">
            <v>APTUS</v>
          </cell>
          <cell r="C10">
            <v>18230.771799999999</v>
          </cell>
          <cell r="F10" t="str">
            <v>APTUS</v>
          </cell>
          <cell r="G10">
            <v>6760</v>
          </cell>
          <cell r="J10" t="str">
            <v>APTUS</v>
          </cell>
          <cell r="K10">
            <v>1037</v>
          </cell>
          <cell r="L10">
            <v>480</v>
          </cell>
        </row>
        <row r="11">
          <cell r="B11" t="str">
            <v>AAVAS</v>
          </cell>
          <cell r="C11">
            <v>14413.005256500001</v>
          </cell>
          <cell r="F11" t="str">
            <v>AAVAS</v>
          </cell>
          <cell r="G11">
            <v>17310</v>
          </cell>
          <cell r="J11" t="str">
            <v>AAVAS</v>
          </cell>
          <cell r="K11">
            <v>2018</v>
          </cell>
          <cell r="L11">
            <v>491</v>
          </cell>
        </row>
        <row r="12">
          <cell r="B12" t="str">
            <v>SAMMAANCAP</v>
          </cell>
          <cell r="C12">
            <v>11818.76</v>
          </cell>
          <cell r="J12" t="str">
            <v>SAMMAANCAP</v>
          </cell>
          <cell r="K12">
            <v>8579</v>
          </cell>
          <cell r="L12">
            <v>1214</v>
          </cell>
        </row>
        <row r="13">
          <cell r="B13" t="str">
            <v>CANFINHOME</v>
          </cell>
          <cell r="C13">
            <v>11764.161714899999</v>
          </cell>
          <cell r="J13" t="str">
            <v>CANFINHOME</v>
          </cell>
          <cell r="K13">
            <v>3525</v>
          </cell>
          <cell r="L13">
            <v>751</v>
          </cell>
        </row>
        <row r="14">
          <cell r="B14" t="str">
            <v>HOMEFIRST</v>
          </cell>
          <cell r="C14">
            <v>10806.703292300001</v>
          </cell>
          <cell r="J14" t="str">
            <v>HOMEFIRST</v>
          </cell>
          <cell r="K14">
            <v>1137</v>
          </cell>
          <cell r="L14">
            <v>305</v>
          </cell>
        </row>
        <row r="15">
          <cell r="B15" t="str">
            <v>OTHER_11</v>
          </cell>
          <cell r="C15">
            <v>14164</v>
          </cell>
        </row>
        <row r="33">
          <cell r="C33" t="str">
            <v>MARGIN %</v>
          </cell>
          <cell r="G33" t="str">
            <v>GROWTH 4Y</v>
          </cell>
          <cell r="K33" t="str">
            <v>GNPA%</v>
          </cell>
        </row>
        <row r="34">
          <cell r="B34" t="str">
            <v>BAJAJHFL</v>
          </cell>
          <cell r="C34">
            <v>0.22725482473414729</v>
          </cell>
          <cell r="F34" t="str">
            <v>BAJAJHFL</v>
          </cell>
          <cell r="G34">
            <v>0.30299999999999999</v>
          </cell>
          <cell r="J34" t="str">
            <v>BAJAJHFL</v>
          </cell>
          <cell r="K34">
            <v>2.7000000000000001E-3</v>
          </cell>
        </row>
        <row r="35">
          <cell r="B35" t="str">
            <v>LICHSGFIN</v>
          </cell>
          <cell r="C35">
            <v>0.17585990320316253</v>
          </cell>
          <cell r="F35" t="str">
            <v>LICHSGFIN</v>
          </cell>
          <cell r="G35">
            <v>8.4000000000000005E-2</v>
          </cell>
          <cell r="J35" t="str">
            <v>LICHSGFIN</v>
          </cell>
          <cell r="K35">
            <v>3.3099999999999997E-2</v>
          </cell>
        </row>
        <row r="36">
          <cell r="B36" t="str">
            <v>PNBHOUSING</v>
          </cell>
          <cell r="C36">
            <v>0.21390070921985815</v>
          </cell>
          <cell r="F36" t="str">
            <v>PNBHOUSING</v>
          </cell>
          <cell r="G36">
            <v>-4.5999999999999999E-2</v>
          </cell>
          <cell r="J36" t="str">
            <v>PNBHOUSING</v>
          </cell>
          <cell r="K36">
            <v>1.4999999999999999E-2</v>
          </cell>
        </row>
        <row r="37">
          <cell r="B37" t="str">
            <v>AADHARHFC</v>
          </cell>
          <cell r="C37">
            <v>0.28991109393119441</v>
          </cell>
          <cell r="F37" t="str">
            <v>AADHARHFC</v>
          </cell>
          <cell r="G37">
            <v>0.16500000000000001</v>
          </cell>
          <cell r="J37" t="str">
            <v>AADHARHFC</v>
          </cell>
          <cell r="K37">
            <v>1.0999999999999999E-2</v>
          </cell>
        </row>
        <row r="38">
          <cell r="B38" t="str">
            <v>APTUS</v>
          </cell>
          <cell r="C38">
            <v>0.46287367405978785</v>
          </cell>
          <cell r="F38" t="str">
            <v>APTUS</v>
          </cell>
          <cell r="G38">
            <v>0.253</v>
          </cell>
          <cell r="J38" t="str">
            <v>APTUS</v>
          </cell>
          <cell r="K38">
            <v>1.0699999999999999E-2</v>
          </cell>
        </row>
        <row r="39">
          <cell r="B39" t="str">
            <v>AAVAS</v>
          </cell>
          <cell r="C39">
            <v>0.24331020812685827</v>
          </cell>
          <cell r="F39" t="str">
            <v>AAVAS</v>
          </cell>
          <cell r="G39">
            <v>0.223</v>
          </cell>
          <cell r="J39" t="str">
            <v>AAVAS</v>
          </cell>
          <cell r="K39">
            <v>9.4000000000000004E-3</v>
          </cell>
        </row>
        <row r="40">
          <cell r="B40" t="str">
            <v>SAMMAANCAP</v>
          </cell>
          <cell r="C40">
            <v>0.14150833430469753</v>
          </cell>
          <cell r="F40" t="str">
            <v>SAMMAANCAP</v>
          </cell>
          <cell r="J40" t="str">
            <v>SAMMAANCAP</v>
          </cell>
        </row>
        <row r="41">
          <cell r="B41" t="str">
            <v>CANFINHOME</v>
          </cell>
          <cell r="C41">
            <v>0.21304964539007093</v>
          </cell>
          <cell r="F41" t="str">
            <v>CANFINHOME</v>
          </cell>
          <cell r="G41">
            <v>0.14799999999999999</v>
          </cell>
          <cell r="J41" t="str">
            <v>CANFINHOME</v>
          </cell>
          <cell r="K41">
            <v>8.2000000000000007E-3</v>
          </cell>
        </row>
        <row r="42">
          <cell r="B42" t="str">
            <v>HOMEFIRST</v>
          </cell>
          <cell r="C42">
            <v>0.26824978012313105</v>
          </cell>
          <cell r="F42" t="str">
            <v>HOMEFIRST</v>
          </cell>
          <cell r="G42">
            <v>0.28799999999999998</v>
          </cell>
          <cell r="J42" t="str">
            <v>HOMEFIRST</v>
          </cell>
          <cell r="K42">
            <v>1.7000000000000001E-2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DEACA-FDBC-42B6-876C-F39798F572F0}">
  <sheetPr>
    <outlinePr summaryBelow="0" summaryRight="0"/>
  </sheetPr>
  <dimension ref="A1:P82"/>
  <sheetViews>
    <sheetView tabSelected="1" workbookViewId="0">
      <selection sqref="A1:P3"/>
    </sheetView>
  </sheetViews>
  <sheetFormatPr defaultColWidth="14.44140625" defaultRowHeight="15.75" customHeight="1" x14ac:dyDescent="0.3"/>
  <sheetData>
    <row r="1" spans="1:16" ht="13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5" spans="1:16" ht="14.4" x14ac:dyDescent="0.3">
      <c r="B5" s="3" t="s">
        <v>1</v>
      </c>
      <c r="C5" s="4" t="s">
        <v>2</v>
      </c>
      <c r="F5" s="3" t="s">
        <v>1</v>
      </c>
      <c r="G5" s="4" t="s">
        <v>3</v>
      </c>
      <c r="J5" s="3" t="s">
        <v>1</v>
      </c>
      <c r="K5" s="4" t="s">
        <v>4</v>
      </c>
      <c r="L5" s="4" t="s">
        <v>5</v>
      </c>
    </row>
    <row r="6" spans="1:16" ht="14.4" x14ac:dyDescent="0.3">
      <c r="B6" s="5" t="s">
        <v>6</v>
      </c>
      <c r="C6" s="6">
        <v>131034.7635536</v>
      </c>
      <c r="F6" s="7" t="s">
        <v>6</v>
      </c>
      <c r="G6" s="8">
        <v>91370</v>
      </c>
      <c r="J6" s="7" t="s">
        <v>6</v>
      </c>
      <c r="K6" s="9">
        <v>7617</v>
      </c>
      <c r="L6" s="10">
        <v>1731</v>
      </c>
    </row>
    <row r="7" spans="1:16" ht="14.4" x14ac:dyDescent="0.3">
      <c r="B7" s="5" t="s">
        <v>7</v>
      </c>
      <c r="C7" s="6">
        <v>37320.99</v>
      </c>
      <c r="F7" s="7" t="s">
        <v>7</v>
      </c>
      <c r="G7" s="11">
        <v>286800</v>
      </c>
      <c r="J7" s="7" t="s">
        <v>7</v>
      </c>
      <c r="K7" s="11">
        <v>27067</v>
      </c>
      <c r="L7" s="12">
        <v>4760</v>
      </c>
    </row>
    <row r="8" spans="1:16" ht="14.4" x14ac:dyDescent="0.3">
      <c r="B8" s="5" t="s">
        <v>8</v>
      </c>
      <c r="C8" s="6">
        <v>25151.773766499999</v>
      </c>
      <c r="F8" s="7" t="s">
        <v>8</v>
      </c>
      <c r="G8" s="13">
        <v>71240</v>
      </c>
      <c r="J8" s="7" t="s">
        <v>8</v>
      </c>
      <c r="K8" s="14">
        <v>7050</v>
      </c>
      <c r="L8" s="15">
        <v>1508</v>
      </c>
    </row>
    <row r="9" spans="1:16" ht="14.4" x14ac:dyDescent="0.3">
      <c r="B9" s="5" t="s">
        <v>9</v>
      </c>
      <c r="C9" s="6">
        <v>20984.169622500001</v>
      </c>
      <c r="F9" s="7" t="s">
        <v>9</v>
      </c>
      <c r="G9" s="16">
        <v>21100</v>
      </c>
      <c r="J9" s="7" t="s">
        <v>9</v>
      </c>
      <c r="K9" s="17">
        <v>2587</v>
      </c>
      <c r="L9" s="18">
        <v>750</v>
      </c>
    </row>
    <row r="10" spans="1:16" ht="14.4" x14ac:dyDescent="0.3">
      <c r="B10" s="5" t="s">
        <v>10</v>
      </c>
      <c r="C10" s="6">
        <v>18230.771799999999</v>
      </c>
      <c r="F10" s="7" t="s">
        <v>10</v>
      </c>
      <c r="G10" s="19">
        <v>6760</v>
      </c>
      <c r="J10" s="7" t="s">
        <v>10</v>
      </c>
      <c r="K10" s="20">
        <v>1037</v>
      </c>
      <c r="L10" s="21">
        <v>480</v>
      </c>
    </row>
    <row r="11" spans="1:16" ht="15" thickBot="1" x14ac:dyDescent="0.35">
      <c r="B11" s="5" t="s">
        <v>11</v>
      </c>
      <c r="C11" s="6">
        <v>14413.005256500001</v>
      </c>
      <c r="F11" s="22" t="s">
        <v>11</v>
      </c>
      <c r="G11" s="23">
        <v>17310</v>
      </c>
      <c r="J11" s="7" t="s">
        <v>11</v>
      </c>
      <c r="K11" s="24">
        <v>2018</v>
      </c>
      <c r="L11" s="25">
        <v>491</v>
      </c>
    </row>
    <row r="12" spans="1:16" ht="15" thickTop="1" x14ac:dyDescent="0.3">
      <c r="B12" s="5" t="s">
        <v>12</v>
      </c>
      <c r="C12" s="26">
        <v>11818.76</v>
      </c>
      <c r="J12" s="7" t="s">
        <v>12</v>
      </c>
      <c r="K12" s="8">
        <v>8579</v>
      </c>
      <c r="L12" s="27">
        <v>1214</v>
      </c>
    </row>
    <row r="13" spans="1:16" ht="14.4" x14ac:dyDescent="0.3">
      <c r="B13" s="5" t="s">
        <v>13</v>
      </c>
      <c r="C13" s="26">
        <v>11764.161714899999</v>
      </c>
      <c r="J13" s="7" t="s">
        <v>13</v>
      </c>
      <c r="K13" s="28">
        <v>3525</v>
      </c>
      <c r="L13" s="18">
        <v>751</v>
      </c>
    </row>
    <row r="14" spans="1:16" ht="14.4" thickBot="1" x14ac:dyDescent="0.35">
      <c r="B14" s="5" t="s">
        <v>14</v>
      </c>
      <c r="C14" s="29">
        <v>10806.703292300001</v>
      </c>
      <c r="J14" s="22" t="s">
        <v>14</v>
      </c>
      <c r="K14" s="30">
        <v>1137</v>
      </c>
      <c r="L14" s="31">
        <v>305</v>
      </c>
    </row>
    <row r="15" spans="1:16" ht="15" thickTop="1" thickBot="1" x14ac:dyDescent="0.35">
      <c r="B15" s="32" t="s">
        <v>15</v>
      </c>
      <c r="C15" s="32">
        <v>14164</v>
      </c>
    </row>
    <row r="17" spans="2:12" ht="14.4" thickTop="1" x14ac:dyDescent="0.3">
      <c r="B17" s="33" t="s">
        <v>16</v>
      </c>
      <c r="C17" s="34">
        <f>SUM(C6:C15)</f>
        <v>295689.09900629998</v>
      </c>
      <c r="F17" s="33" t="s">
        <v>16</v>
      </c>
      <c r="G17" s="33">
        <v>507780</v>
      </c>
      <c r="J17" s="33" t="s">
        <v>16</v>
      </c>
      <c r="K17" s="33">
        <v>64220</v>
      </c>
      <c r="L17" s="33">
        <v>12813</v>
      </c>
    </row>
    <row r="33" spans="2:11" ht="15" thickTop="1" x14ac:dyDescent="0.3">
      <c r="B33" s="35" t="s">
        <v>1</v>
      </c>
      <c r="C33" s="36" t="s">
        <v>17</v>
      </c>
      <c r="F33" s="35" t="s">
        <v>1</v>
      </c>
      <c r="G33" s="4" t="s">
        <v>18</v>
      </c>
      <c r="J33" s="35" t="s">
        <v>1</v>
      </c>
      <c r="K33" s="4" t="s">
        <v>19</v>
      </c>
    </row>
    <row r="34" spans="2:11" ht="13.8" x14ac:dyDescent="0.3">
      <c r="B34" s="7" t="s">
        <v>6</v>
      </c>
      <c r="C34" s="37">
        <v>0.22725482473414729</v>
      </c>
      <c r="F34" s="7" t="s">
        <v>6</v>
      </c>
      <c r="G34" s="38">
        <v>0.30299999999999999</v>
      </c>
      <c r="J34" s="7" t="s">
        <v>6</v>
      </c>
      <c r="K34" s="39">
        <v>2.7000000000000001E-3</v>
      </c>
    </row>
    <row r="35" spans="2:11" ht="13.8" x14ac:dyDescent="0.3">
      <c r="B35" s="7" t="s">
        <v>7</v>
      </c>
      <c r="C35" s="40">
        <v>0.17585990320316253</v>
      </c>
      <c r="F35" s="7" t="s">
        <v>7</v>
      </c>
      <c r="G35" s="38">
        <v>8.4000000000000005E-2</v>
      </c>
      <c r="J35" s="7" t="s">
        <v>7</v>
      </c>
      <c r="K35" s="39">
        <v>3.3099999999999997E-2</v>
      </c>
    </row>
    <row r="36" spans="2:11" ht="13.8" x14ac:dyDescent="0.3">
      <c r="B36" s="7" t="s">
        <v>8</v>
      </c>
      <c r="C36" s="41">
        <v>0.21390070921985815</v>
      </c>
      <c r="F36" s="7" t="s">
        <v>8</v>
      </c>
      <c r="G36" s="38">
        <v>-4.5999999999999999E-2</v>
      </c>
      <c r="J36" s="7" t="s">
        <v>8</v>
      </c>
      <c r="K36" s="39">
        <v>1.4999999999999999E-2</v>
      </c>
    </row>
    <row r="37" spans="2:11" ht="13.8" x14ac:dyDescent="0.3">
      <c r="B37" s="7" t="s">
        <v>9</v>
      </c>
      <c r="C37" s="42">
        <v>0.28991109393119441</v>
      </c>
      <c r="F37" s="7" t="s">
        <v>9</v>
      </c>
      <c r="G37" s="38">
        <v>0.16500000000000001</v>
      </c>
      <c r="J37" s="7" t="s">
        <v>9</v>
      </c>
      <c r="K37" s="39">
        <v>1.0999999999999999E-2</v>
      </c>
    </row>
    <row r="38" spans="2:11" ht="13.8" x14ac:dyDescent="0.3">
      <c r="B38" s="7" t="s">
        <v>10</v>
      </c>
      <c r="C38" s="43">
        <v>0.46287367405978785</v>
      </c>
      <c r="F38" s="7" t="s">
        <v>10</v>
      </c>
      <c r="G38" s="38">
        <v>0.253</v>
      </c>
      <c r="J38" s="7" t="s">
        <v>10</v>
      </c>
      <c r="K38" s="39">
        <v>1.0699999999999999E-2</v>
      </c>
    </row>
    <row r="39" spans="2:11" ht="13.8" x14ac:dyDescent="0.3">
      <c r="B39" s="7" t="s">
        <v>11</v>
      </c>
      <c r="C39" s="44">
        <v>0.24331020812685827</v>
      </c>
      <c r="F39" s="7" t="s">
        <v>11</v>
      </c>
      <c r="G39" s="38">
        <v>0.223</v>
      </c>
      <c r="J39" s="7" t="s">
        <v>11</v>
      </c>
      <c r="K39" s="39">
        <v>9.4000000000000004E-3</v>
      </c>
    </row>
    <row r="40" spans="2:11" ht="13.8" x14ac:dyDescent="0.3">
      <c r="B40" s="7" t="s">
        <v>12</v>
      </c>
      <c r="C40" s="45">
        <v>0.14150833430469753</v>
      </c>
      <c r="F40" s="7" t="s">
        <v>12</v>
      </c>
      <c r="G40" s="38"/>
      <c r="J40" s="7" t="s">
        <v>12</v>
      </c>
    </row>
    <row r="41" spans="2:11" ht="13.8" x14ac:dyDescent="0.3">
      <c r="B41" s="7" t="s">
        <v>13</v>
      </c>
      <c r="C41" s="46">
        <v>0.21304964539007093</v>
      </c>
      <c r="F41" s="7" t="s">
        <v>13</v>
      </c>
      <c r="G41" s="38">
        <v>0.14799999999999999</v>
      </c>
      <c r="J41" s="7" t="s">
        <v>13</v>
      </c>
      <c r="K41" s="39">
        <v>8.2000000000000007E-3</v>
      </c>
    </row>
    <row r="42" spans="2:11" ht="14.4" thickBot="1" x14ac:dyDescent="0.35">
      <c r="B42" s="22" t="s">
        <v>14</v>
      </c>
      <c r="C42" s="47">
        <v>0.26824978012313105</v>
      </c>
      <c r="F42" s="22" t="s">
        <v>14</v>
      </c>
      <c r="G42" s="48">
        <v>0.28799999999999998</v>
      </c>
      <c r="J42" s="22" t="s">
        <v>14</v>
      </c>
      <c r="K42" s="49">
        <v>1.7000000000000001E-2</v>
      </c>
    </row>
    <row r="44" spans="2:11" ht="14.4" thickTop="1" x14ac:dyDescent="0.3">
      <c r="B44" s="33" t="s">
        <v>16</v>
      </c>
      <c r="C44" s="50">
        <v>0.19951728433509811</v>
      </c>
      <c r="F44" s="33" t="s">
        <v>16</v>
      </c>
      <c r="G44" s="50">
        <v>0.19400000000000001</v>
      </c>
      <c r="J44" s="33" t="s">
        <v>16</v>
      </c>
      <c r="K44" s="50">
        <v>0.19400000000000001</v>
      </c>
    </row>
    <row r="60" spans="1:12" ht="14.4" x14ac:dyDescent="0.3">
      <c r="A60" s="3" t="s">
        <v>20</v>
      </c>
      <c r="B60" s="3" t="s">
        <v>1</v>
      </c>
      <c r="C60" s="3" t="s">
        <v>21</v>
      </c>
      <c r="D60" s="4" t="s">
        <v>2</v>
      </c>
      <c r="E60" s="4" t="s">
        <v>3</v>
      </c>
      <c r="F60" s="4" t="s">
        <v>4</v>
      </c>
      <c r="G60" s="4" t="s">
        <v>5</v>
      </c>
      <c r="H60" s="4" t="s">
        <v>22</v>
      </c>
      <c r="I60" s="4" t="s">
        <v>23</v>
      </c>
      <c r="J60" s="4" t="s">
        <v>17</v>
      </c>
      <c r="K60" s="4" t="s">
        <v>18</v>
      </c>
      <c r="L60" s="4" t="s">
        <v>19</v>
      </c>
    </row>
    <row r="61" spans="1:12" ht="14.4" x14ac:dyDescent="0.3">
      <c r="A61" s="5">
        <v>544252</v>
      </c>
      <c r="B61" s="5" t="s">
        <v>6</v>
      </c>
      <c r="C61" s="51">
        <f ca="1">IFERROR(__xludf.DUMMYFUNCTION("GOOGLEFINANCE(""bom:""&amp;A61,""price"")"),157.24)</f>
        <v>157.24</v>
      </c>
      <c r="D61" s="6">
        <f ca="1">IFERROR(__xludf.DUMMYFUNCTION("GOOGLEFINANCE(""bom:""&amp;A61,""marketcap"")/10000000"),131034.7635536)</f>
        <v>131034.7635536</v>
      </c>
      <c r="E61" s="5">
        <v>91370</v>
      </c>
      <c r="F61" s="5">
        <v>7617</v>
      </c>
      <c r="G61" s="52">
        <v>1731</v>
      </c>
      <c r="H61" s="52">
        <v>5665</v>
      </c>
      <c r="I61" s="52">
        <v>1258</v>
      </c>
      <c r="J61" s="38">
        <f t="shared" ref="J61:J74" si="0">G61/F61</f>
        <v>0.22725482473414729</v>
      </c>
      <c r="K61" s="38">
        <v>0.30299999999999999</v>
      </c>
      <c r="L61" s="39">
        <v>2.7000000000000001E-3</v>
      </c>
    </row>
    <row r="62" spans="1:12" ht="14.4" x14ac:dyDescent="0.3">
      <c r="A62" s="5">
        <v>500253</v>
      </c>
      <c r="B62" s="5" t="s">
        <v>7</v>
      </c>
      <c r="C62" s="51">
        <f ca="1">IFERROR(__xludf.DUMMYFUNCTION("GOOGLEFINANCE(""bom:""&amp;A62,""price"")"),663.75)</f>
        <v>663.75</v>
      </c>
      <c r="D62" s="6">
        <f ca="1">IFERROR(__xludf.DUMMYFUNCTION("GOOGLEFINANCE(""bom:""&amp;A62,""marketcap"")/10000000"),37320.99)</f>
        <v>37320.99</v>
      </c>
      <c r="E62" s="5">
        <v>286800</v>
      </c>
      <c r="F62" s="5">
        <v>27067</v>
      </c>
      <c r="G62" s="52">
        <v>4760</v>
      </c>
      <c r="H62" s="52">
        <v>22546</v>
      </c>
      <c r="I62" s="52">
        <v>2891</v>
      </c>
      <c r="J62" s="38">
        <f t="shared" si="0"/>
        <v>0.17585990320316253</v>
      </c>
      <c r="K62" s="38">
        <v>8.4000000000000005E-2</v>
      </c>
      <c r="L62" s="39">
        <v>3.3099999999999997E-2</v>
      </c>
    </row>
    <row r="63" spans="1:12" ht="14.4" x14ac:dyDescent="0.3">
      <c r="A63" s="5">
        <v>540173</v>
      </c>
      <c r="B63" s="5" t="s">
        <v>8</v>
      </c>
      <c r="C63" s="51">
        <f ca="1">IFERROR(__xludf.DUMMYFUNCTION("GOOGLEFINANCE(""bom:""&amp;A63,""price"")"),969.95)</f>
        <v>969.95</v>
      </c>
      <c r="D63" s="6">
        <f ca="1">IFERROR(__xludf.DUMMYFUNCTION("GOOGLEFINANCE(""bom:""&amp;A63,""marketcap"")/10000000"),25151.7737665)</f>
        <v>25151.773766499999</v>
      </c>
      <c r="E63" s="5">
        <v>71240</v>
      </c>
      <c r="F63" s="5">
        <v>7050</v>
      </c>
      <c r="G63" s="52">
        <v>1508</v>
      </c>
      <c r="H63" s="52">
        <v>6527</v>
      </c>
      <c r="I63" s="52">
        <v>1046</v>
      </c>
      <c r="J63" s="38">
        <f t="shared" si="0"/>
        <v>0.21390070921985815</v>
      </c>
      <c r="K63" s="38">
        <v>-4.5999999999999999E-2</v>
      </c>
      <c r="L63" s="39">
        <v>1.4999999999999999E-2</v>
      </c>
    </row>
    <row r="64" spans="1:12" ht="14.4" x14ac:dyDescent="0.3">
      <c r="A64" s="5">
        <v>544176</v>
      </c>
      <c r="B64" s="5" t="s">
        <v>9</v>
      </c>
      <c r="C64" s="51">
        <f ca="1">IFERROR(__xludf.DUMMYFUNCTION("GOOGLEFINANCE(""bom:""&amp;A64,""price"")"),488.25)</f>
        <v>488.25</v>
      </c>
      <c r="D64" s="6">
        <f ca="1">IFERROR(__xludf.DUMMYFUNCTION("GOOGLEFINANCE(""bom:""&amp;A64,""marketcap"")/10000000"),20984.1696225)</f>
        <v>20984.169622500001</v>
      </c>
      <c r="E64" s="5">
        <v>21100</v>
      </c>
      <c r="F64" s="5">
        <v>2587</v>
      </c>
      <c r="G64" s="52">
        <v>750</v>
      </c>
      <c r="H64" s="52">
        <v>2043</v>
      </c>
      <c r="I64" s="52">
        <v>545</v>
      </c>
      <c r="J64" s="38">
        <f t="shared" si="0"/>
        <v>0.28991109393119441</v>
      </c>
      <c r="K64" s="38">
        <v>0.16500000000000001</v>
      </c>
      <c r="L64" s="39">
        <v>1.0999999999999999E-2</v>
      </c>
    </row>
    <row r="65" spans="1:12" ht="14.4" x14ac:dyDescent="0.3">
      <c r="A65" s="5">
        <v>543335</v>
      </c>
      <c r="B65" s="5" t="s">
        <v>10</v>
      </c>
      <c r="C65" s="51">
        <f ca="1">IFERROR(__xludf.DUMMYFUNCTION("GOOGLEFINANCE(""bom:""&amp;A65,""price"")"),365)</f>
        <v>365</v>
      </c>
      <c r="D65" s="6">
        <f ca="1">IFERROR(__xludf.DUMMYFUNCTION("GOOGLEFINANCE(""bom:""&amp;A65,""marketcap"")/10000000"),18230.7718)</f>
        <v>18230.771799999999</v>
      </c>
      <c r="E65" s="5">
        <v>6760</v>
      </c>
      <c r="F65" s="5">
        <v>1037</v>
      </c>
      <c r="G65" s="52">
        <v>480</v>
      </c>
      <c r="H65" s="52">
        <v>928</v>
      </c>
      <c r="I65" s="52">
        <v>424</v>
      </c>
      <c r="J65" s="38">
        <f t="shared" si="0"/>
        <v>0.46287367405978785</v>
      </c>
      <c r="K65" s="38">
        <v>0.253</v>
      </c>
      <c r="L65" s="39">
        <v>1.0699999999999999E-2</v>
      </c>
    </row>
    <row r="66" spans="1:12" ht="14.4" x14ac:dyDescent="0.3">
      <c r="A66" s="5">
        <v>541988</v>
      </c>
      <c r="B66" s="5" t="s">
        <v>11</v>
      </c>
      <c r="C66" s="51">
        <f ca="1">IFERROR(__xludf.DUMMYFUNCTION("GOOGLEFINANCE(""bom:""&amp;A66,""price"")"),1820.25)</f>
        <v>1820.25</v>
      </c>
      <c r="D66" s="6">
        <f ca="1">IFERROR(__xludf.DUMMYFUNCTION("GOOGLEFINANCE(""bom:""&amp;A66,""marketcap"")/10000000"),14413.0052565)</f>
        <v>14413.005256500001</v>
      </c>
      <c r="E66" s="5">
        <v>17310</v>
      </c>
      <c r="F66" s="5">
        <v>2018</v>
      </c>
      <c r="G66" s="52">
        <v>491</v>
      </c>
      <c r="H66" s="52">
        <v>1609</v>
      </c>
      <c r="I66" s="52">
        <v>430</v>
      </c>
      <c r="J66" s="38">
        <f t="shared" si="0"/>
        <v>0.24331020812685827</v>
      </c>
      <c r="K66" s="38">
        <v>0.223</v>
      </c>
      <c r="L66" s="39">
        <v>9.4000000000000004E-3</v>
      </c>
    </row>
    <row r="67" spans="1:12" ht="14.4" x14ac:dyDescent="0.3">
      <c r="A67" s="5">
        <v>535789</v>
      </c>
      <c r="B67" s="5" t="s">
        <v>12</v>
      </c>
      <c r="C67" s="51">
        <f ca="1">IFERROR(__xludf.DUMMYFUNCTION("GOOGLEFINANCE(""bom:""&amp;A67,""price"")"),166.75)</f>
        <v>166.75</v>
      </c>
      <c r="D67" s="26">
        <f ca="1">IFERROR(__xludf.DUMMYFUNCTION("GOOGLEFINANCE(""bom:""&amp;A67,""marketcap"")/10000000"),11818.76)</f>
        <v>11818.76</v>
      </c>
      <c r="F67" s="5">
        <v>8579</v>
      </c>
      <c r="G67" s="52">
        <v>1214</v>
      </c>
      <c r="H67" s="52">
        <v>8719</v>
      </c>
      <c r="I67" s="52">
        <v>1130</v>
      </c>
      <c r="J67" s="38">
        <f t="shared" si="0"/>
        <v>0.14150833430469753</v>
      </c>
      <c r="K67" s="38"/>
    </row>
    <row r="68" spans="1:12" ht="14.4" x14ac:dyDescent="0.3">
      <c r="A68" s="5">
        <v>511196</v>
      </c>
      <c r="B68" s="5" t="s">
        <v>13</v>
      </c>
      <c r="C68" s="51">
        <f ca="1">IFERROR(__xludf.DUMMYFUNCTION("GOOGLEFINANCE(""bom:""&amp;A68,""price"")"),883.6)</f>
        <v>883.6</v>
      </c>
      <c r="D68" s="26">
        <f ca="1">IFERROR(__xludf.DUMMYFUNCTION("GOOGLEFINANCE(""bom:""&amp;A68,""marketcap"")/10000000"),11764.1617149)</f>
        <v>11764.161714899999</v>
      </c>
      <c r="E68" s="5">
        <v>3500</v>
      </c>
      <c r="F68" s="5">
        <v>3525</v>
      </c>
      <c r="G68" s="52">
        <v>751</v>
      </c>
      <c r="H68" s="52">
        <v>2743</v>
      </c>
      <c r="I68" s="52">
        <v>621</v>
      </c>
      <c r="J68" s="38">
        <f t="shared" si="0"/>
        <v>0.21304964539007093</v>
      </c>
      <c r="K68" s="38">
        <v>0.14799999999999999</v>
      </c>
      <c r="L68" s="39">
        <v>8.2000000000000007E-3</v>
      </c>
    </row>
    <row r="69" spans="1:12" ht="14.4" x14ac:dyDescent="0.3">
      <c r="A69" s="5">
        <v>543259</v>
      </c>
      <c r="B69" s="5" t="s">
        <v>14</v>
      </c>
      <c r="C69" s="51">
        <f ca="1">IFERROR(__xludf.DUMMYFUNCTION("GOOGLEFINANCE(""bom:""&amp;A69,""price"")"),1208.4)</f>
        <v>1208.4000000000001</v>
      </c>
      <c r="D69" s="26">
        <f ca="1">IFERROR(__xludf.DUMMYFUNCTION("GOOGLEFINANCE(""bom:""&amp;A69,""marketcap"")/10000000"),10806.7032923)</f>
        <v>10806.703292300001</v>
      </c>
      <c r="E69" s="5">
        <v>9700</v>
      </c>
      <c r="F69" s="5">
        <v>1137</v>
      </c>
      <c r="G69" s="52">
        <v>305</v>
      </c>
      <c r="H69" s="52">
        <v>791</v>
      </c>
      <c r="I69" s="52">
        <v>228</v>
      </c>
      <c r="J69" s="38">
        <f t="shared" si="0"/>
        <v>0.26824978012313105</v>
      </c>
      <c r="K69" s="38">
        <v>0.28799999999999998</v>
      </c>
      <c r="L69" s="39">
        <v>1.7000000000000001E-2</v>
      </c>
    </row>
    <row r="70" spans="1:12" ht="14.4" x14ac:dyDescent="0.3">
      <c r="A70" s="5">
        <v>544044</v>
      </c>
      <c r="B70" s="5" t="s">
        <v>24</v>
      </c>
      <c r="C70" s="51">
        <f ca="1">IFERROR(__xludf.DUMMYFUNCTION("GOOGLEFINANCE(""bom:""&amp;A70,""price"")"),748.85)</f>
        <v>748.85</v>
      </c>
      <c r="D70" s="26">
        <f ca="1">IFERROR(__xludf.DUMMYFUNCTION("GOOGLEFINANCE(""bom:""&amp;A70,""marketcap"")/10000000"),8029.7834952)</f>
        <v>8029.7834952000003</v>
      </c>
      <c r="F70" s="5">
        <v>829</v>
      </c>
      <c r="G70" s="52">
        <v>247</v>
      </c>
      <c r="H70" s="52">
        <v>584</v>
      </c>
      <c r="I70" s="52">
        <v>155</v>
      </c>
      <c r="J70" s="38">
        <f t="shared" si="0"/>
        <v>0.29794933655006034</v>
      </c>
    </row>
    <row r="71" spans="1:12" ht="14.4" x14ac:dyDescent="0.3">
      <c r="A71" s="5">
        <v>535322</v>
      </c>
      <c r="B71" s="5" t="s">
        <v>25</v>
      </c>
      <c r="C71" s="51">
        <f ca="1">IFERROR(__xludf.DUMMYFUNCTION("GOOGLEFINANCE(""bom:""&amp;A71,""price"")"),536.7)</f>
        <v>536.70000000000005</v>
      </c>
      <c r="D71" s="26">
        <f ca="1">IFERROR(__xludf.DUMMYFUNCTION("GOOGLEFINANCE(""bom:""&amp;A71,""marketcap"")/10000000"),3422.571)</f>
        <v>3422.5709999999999</v>
      </c>
      <c r="F71" s="5">
        <v>1528</v>
      </c>
      <c r="G71" s="53">
        <v>395</v>
      </c>
      <c r="H71" s="53">
        <v>1285</v>
      </c>
      <c r="I71" s="53">
        <v>296</v>
      </c>
      <c r="J71" s="38">
        <f t="shared" si="0"/>
        <v>0.25850785340314136</v>
      </c>
    </row>
    <row r="72" spans="1:12" ht="14.4" x14ac:dyDescent="0.3">
      <c r="A72" s="5">
        <v>511676</v>
      </c>
      <c r="B72" s="5" t="s">
        <v>26</v>
      </c>
      <c r="C72" s="51">
        <f ca="1">IFERROR(__xludf.DUMMYFUNCTION("GOOGLEFINANCE(""bom:""&amp;A72,""price"")"),234.05)</f>
        <v>234.05</v>
      </c>
      <c r="D72" s="26">
        <f ca="1">IFERROR(__xludf.DUMMYFUNCTION("GOOGLEFINANCE(""bom:""&amp;A72,""marketcap"")/10000000"),1370.728)</f>
        <v>1370.7280000000001</v>
      </c>
      <c r="F72" s="5">
        <v>1060</v>
      </c>
      <c r="G72" s="53">
        <v>151</v>
      </c>
      <c r="H72" s="53">
        <v>1123</v>
      </c>
      <c r="I72" s="53">
        <v>213</v>
      </c>
      <c r="J72" s="38">
        <f t="shared" si="0"/>
        <v>0.14245283018867924</v>
      </c>
    </row>
    <row r="73" spans="1:12" ht="14.4" x14ac:dyDescent="0.3">
      <c r="A73" s="5">
        <v>534680</v>
      </c>
      <c r="B73" s="5" t="s">
        <v>27</v>
      </c>
      <c r="C73" s="51">
        <f ca="1">IFERROR(__xludf.DUMMYFUNCTION("GOOGLEFINANCE(""bom:""&amp;A73,""price"")"),355.1)</f>
        <v>355.1</v>
      </c>
      <c r="D73" s="26">
        <f ca="1">IFERROR(__xludf.DUMMYFUNCTION("GOOGLEFINANCE(""bom:""&amp;A73,""marketcap"")/10000000"),506.5216873)</f>
        <v>506.5216873</v>
      </c>
      <c r="F73" s="5">
        <v>127</v>
      </c>
      <c r="G73" s="53">
        <v>21</v>
      </c>
      <c r="H73" s="53">
        <v>94</v>
      </c>
      <c r="I73" s="53">
        <v>17</v>
      </c>
      <c r="J73" s="38">
        <f t="shared" si="0"/>
        <v>0.16535433070866143</v>
      </c>
    </row>
    <row r="74" spans="1:12" ht="14.4" x14ac:dyDescent="0.3">
      <c r="A74" s="5">
        <v>539017</v>
      </c>
      <c r="B74" s="5" t="s">
        <v>28</v>
      </c>
      <c r="C74" s="51">
        <f ca="1">IFERROR(__xludf.DUMMYFUNCTION("GOOGLEFINANCE(""bom:""&amp;A74,""price"")"),44.99)</f>
        <v>44.99</v>
      </c>
      <c r="D74" s="26">
        <f ca="1">IFERROR(__xludf.DUMMYFUNCTION("GOOGLEFINANCE(""bom:""&amp;A74,""marketcap"")/10000000"),354.1640825)</f>
        <v>354.16408250000001</v>
      </c>
      <c r="F74" s="5">
        <v>59</v>
      </c>
      <c r="G74" s="53">
        <v>9</v>
      </c>
      <c r="H74" s="53">
        <v>35</v>
      </c>
      <c r="I74" s="53">
        <v>7</v>
      </c>
      <c r="J74" s="38">
        <f t="shared" si="0"/>
        <v>0.15254237288135594</v>
      </c>
    </row>
    <row r="75" spans="1:12" ht="14.4" x14ac:dyDescent="0.3">
      <c r="A75" s="5">
        <v>540709</v>
      </c>
      <c r="B75" s="5" t="s">
        <v>29</v>
      </c>
      <c r="C75" s="51">
        <f ca="1">IFERROR(__xludf.DUMMYFUNCTION("GOOGLEFINANCE(""bom:""&amp;A75,""price"")"),5.53)</f>
        <v>5.53</v>
      </c>
      <c r="D75" s="26">
        <f ca="1">IFERROR(__xludf.DUMMYFUNCTION("GOOGLEFINANCE(""bom:""&amp;A75,""marketcap"")/10000000"),269.69269)</f>
        <v>269.69269000000003</v>
      </c>
    </row>
    <row r="76" spans="1:12" ht="14.4" x14ac:dyDescent="0.3">
      <c r="A76" s="5">
        <v>511740</v>
      </c>
      <c r="B76" s="5" t="s">
        <v>30</v>
      </c>
      <c r="C76" s="51">
        <f ca="1">IFERROR(__xludf.DUMMYFUNCTION("GOOGLEFINANCE(""bom:""&amp;A76,""price"")"),212.7)</f>
        <v>212.7</v>
      </c>
      <c r="D76" s="26">
        <f ca="1">IFERROR(__xludf.DUMMYFUNCTION("GOOGLEFINANCE(""bom:""&amp;A76,""marketcap"")/10000000"),78.26816)</f>
        <v>78.268159999999995</v>
      </c>
    </row>
    <row r="77" spans="1:12" ht="14.4" x14ac:dyDescent="0.3">
      <c r="A77" s="5">
        <v>530979</v>
      </c>
      <c r="B77" s="5" t="s">
        <v>31</v>
      </c>
      <c r="C77" s="51">
        <f ca="1">IFERROR(__xludf.DUMMYFUNCTION("GOOGLEFINANCE(""bom:""&amp;A77,""price"")"),36.39)</f>
        <v>36.39</v>
      </c>
      <c r="D77" s="26">
        <f ca="1">IFERROR(__xludf.DUMMYFUNCTION("GOOGLEFINANCE(""bom:""&amp;A77,""marketcap"")/10000000"),52.1116)</f>
        <v>52.111600000000003</v>
      </c>
    </row>
    <row r="78" spans="1:12" ht="14.4" x14ac:dyDescent="0.3">
      <c r="A78" s="5">
        <v>523465</v>
      </c>
      <c r="B78" s="5" t="s">
        <v>32</v>
      </c>
      <c r="C78" s="51">
        <f ca="1">IFERROR(__xludf.DUMMYFUNCTION("GOOGLEFINANCE(""bom:""&amp;A78,""price"")"),51.24)</f>
        <v>51.24</v>
      </c>
      <c r="D78" s="26">
        <f ca="1">IFERROR(__xludf.DUMMYFUNCTION("GOOGLEFINANCE(""bom:""&amp;A78,""marketcap"")/10000000"),53.42172)</f>
        <v>53.421720000000001</v>
      </c>
    </row>
    <row r="79" spans="1:12" ht="14.4" x14ac:dyDescent="0.3">
      <c r="A79" s="5">
        <v>511533</v>
      </c>
      <c r="B79" s="5" t="s">
        <v>33</v>
      </c>
      <c r="C79" s="51">
        <f ca="1">IFERROR(__xludf.DUMMYFUNCTION("GOOGLEFINANCE(""bom:""&amp;A79,""price"")"),38.68)</f>
        <v>38.68</v>
      </c>
      <c r="D79" s="26">
        <f ca="1">IFERROR(__xludf.DUMMYFUNCTION("GOOGLEFINANCE(""bom:""&amp;A79,""marketcap"")/10000000"),27.0760002)</f>
        <v>27.076000199999999</v>
      </c>
    </row>
    <row r="80" spans="1:12" ht="15" thickBot="1" x14ac:dyDescent="0.35">
      <c r="A80" s="32">
        <v>509650</v>
      </c>
      <c r="B80" s="32" t="s">
        <v>34</v>
      </c>
      <c r="C80" s="54">
        <f ca="1">IFERROR(__xludf.DUMMYFUNCTION("GOOGLEFINANCE(""bom:""&amp;A80,""price"")"),38.74)</f>
        <v>38.74</v>
      </c>
      <c r="D80" s="55">
        <v>0.09</v>
      </c>
      <c r="E80" s="32"/>
      <c r="F80" s="32"/>
      <c r="G80" s="32"/>
      <c r="H80" s="32"/>
      <c r="I80" s="32"/>
      <c r="J80" s="32"/>
      <c r="K80" s="32"/>
      <c r="L80" s="32"/>
    </row>
    <row r="82" spans="1:12" ht="14.4" thickTop="1" x14ac:dyDescent="0.3">
      <c r="A82" s="33"/>
      <c r="B82" s="33" t="s">
        <v>16</v>
      </c>
      <c r="C82" s="33"/>
      <c r="D82" s="34">
        <f t="shared" ref="D82:I82" ca="1" si="1">SUM(D61:D80)</f>
        <v>295689.52744149993</v>
      </c>
      <c r="E82" s="33">
        <f t="shared" si="1"/>
        <v>507780</v>
      </c>
      <c r="F82" s="33">
        <f t="shared" si="1"/>
        <v>64220</v>
      </c>
      <c r="G82" s="33">
        <f t="shared" si="1"/>
        <v>12813</v>
      </c>
      <c r="H82" s="33">
        <f t="shared" si="1"/>
        <v>54692</v>
      </c>
      <c r="I82" s="33">
        <f t="shared" si="1"/>
        <v>9261</v>
      </c>
      <c r="J82" s="50">
        <f>G82/F82</f>
        <v>0.19951728433509811</v>
      </c>
      <c r="K82" s="50">
        <f t="shared" ref="K82:L82" si="2">MEDIAN(K61:K69)</f>
        <v>0.19400000000000001</v>
      </c>
      <c r="L82" s="56">
        <f t="shared" si="2"/>
        <v>1.0849999999999999E-2</v>
      </c>
    </row>
  </sheetData>
  <autoFilter ref="A60:D80" xr:uid="{00000000-0009-0000-0000-000000000000}">
    <sortState xmlns:xlrd2="http://schemas.microsoft.com/office/spreadsheetml/2017/richdata2" ref="A60:D80">
      <sortCondition descending="1" ref="D60:D80"/>
    </sortState>
  </autoFilter>
  <mergeCells count="1">
    <mergeCell ref="A1:P3"/>
  </mergeCells>
  <conditionalFormatting sqref="C6:C13 D61:D80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61:E69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61:F74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4:G4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1:G7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61:H7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61:I74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61:J74 J82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4:K42">
    <cfRule type="colorScale" priority="9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L61:L69">
    <cfRule type="colorScale" priority="8">
      <colorScale>
        <cfvo type="min"/>
        <cfvo type="percentile" val="50"/>
        <cfvo type="max"/>
        <color rgb="FF57BB8A"/>
        <color rgb="FFFFFFFF"/>
        <color rgb="FFE67C7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 Finance Companies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2024-09-28T12:50:41Z</dcterms:created>
  <dcterms:modified xsi:type="dcterms:W3CDTF">2024-09-28T12:51:02Z</dcterms:modified>
</cp:coreProperties>
</file>