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rofi\Desktop\Documents\Annual Result\Q2_fy25\"/>
    </mc:Choice>
  </mc:AlternateContent>
  <xr:revisionPtr revIDLastSave="0" documentId="13_ncr:1_{08294C1B-657C-4705-AFBE-B877A04BE8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JAJHFL" sheetId="2" r:id="rId1"/>
    <sheet name="Housing Finance Companies" sheetId="1" r:id="rId2"/>
  </sheets>
  <definedNames>
    <definedName name="_xlnm._FilterDatabase" localSheetId="1" hidden="1">'Housing Finance Companies'!$A$60:$D$80</definedName>
  </definedNames>
  <calcPr calcId="191029"/>
</workbook>
</file>

<file path=xl/calcChain.xml><?xml version="1.0" encoding="utf-8"?>
<calcChain xmlns="http://schemas.openxmlformats.org/spreadsheetml/2006/main">
  <c r="L48" i="2" l="1"/>
  <c r="K48" i="2"/>
  <c r="M48" i="2" s="1"/>
  <c r="M46" i="2"/>
  <c r="M45" i="2"/>
  <c r="N44" i="2"/>
  <c r="M44" i="2"/>
  <c r="M43" i="2"/>
  <c r="N42" i="2"/>
  <c r="M42" i="2"/>
  <c r="N41" i="2"/>
  <c r="M41" i="2"/>
  <c r="W37" i="2"/>
  <c r="R37" i="2"/>
  <c r="M37" i="2"/>
  <c r="V36" i="2"/>
  <c r="W36" i="2" s="1"/>
  <c r="U36" i="2"/>
  <c r="Q36" i="2"/>
  <c r="P36" i="2"/>
  <c r="R36" i="2" s="1"/>
  <c r="M36" i="2"/>
  <c r="L36" i="2"/>
  <c r="K36" i="2"/>
  <c r="W35" i="2"/>
  <c r="R35" i="2"/>
  <c r="M35" i="2"/>
  <c r="W34" i="2"/>
  <c r="R34" i="2"/>
  <c r="M34" i="2"/>
  <c r="W33" i="2"/>
  <c r="R33" i="2"/>
  <c r="M33" i="2"/>
  <c r="W32" i="2"/>
  <c r="R32" i="2"/>
  <c r="M32" i="2"/>
  <c r="W31" i="2"/>
  <c r="R31" i="2"/>
  <c r="M31" i="2"/>
  <c r="W30" i="2"/>
  <c r="R30" i="2"/>
  <c r="M30" i="2"/>
  <c r="G30" i="2"/>
  <c r="H30" i="2" s="1"/>
  <c r="D30" i="2"/>
  <c r="E30" i="2" s="1"/>
  <c r="E27" i="2" s="1"/>
  <c r="C30" i="2"/>
  <c r="C31" i="2" s="1"/>
  <c r="C32" i="2" s="1"/>
  <c r="N27" i="2"/>
  <c r="K24" i="2"/>
  <c r="K23" i="2"/>
  <c r="G23" i="2"/>
  <c r="F23" i="2"/>
  <c r="E23" i="2"/>
  <c r="D23" i="2"/>
  <c r="C23" i="2"/>
  <c r="K22" i="2"/>
  <c r="G22" i="2"/>
  <c r="E22" i="2"/>
  <c r="D22" i="2"/>
  <c r="G19" i="2"/>
  <c r="J19" i="2" s="1"/>
  <c r="E19" i="2"/>
  <c r="F19" i="2" s="1"/>
  <c r="B9" i="2" s="1"/>
  <c r="D19" i="2"/>
  <c r="C19" i="2"/>
  <c r="J18" i="2"/>
  <c r="F18" i="2"/>
  <c r="J17" i="2"/>
  <c r="F17" i="2"/>
  <c r="J16" i="2"/>
  <c r="F16" i="2"/>
  <c r="F22" i="2" s="1"/>
  <c r="J15" i="2"/>
  <c r="F15" i="2"/>
  <c r="J14" i="2"/>
  <c r="F14" i="2"/>
  <c r="F13" i="2"/>
  <c r="F12" i="2"/>
  <c r="P9" i="2"/>
  <c r="J9" i="2"/>
  <c r="E9" i="2"/>
  <c r="D9" i="2"/>
  <c r="C9" i="2"/>
  <c r="O6" i="2"/>
  <c r="L6" i="2"/>
  <c r="L9" i="2" s="1"/>
  <c r="K6" i="2"/>
  <c r="D6" i="2"/>
  <c r="Q24" i="2" s="1"/>
  <c r="C6" i="2"/>
  <c r="L82" i="1"/>
  <c r="K82" i="1"/>
  <c r="I82" i="1"/>
  <c r="H82" i="1"/>
  <c r="G82" i="1"/>
  <c r="J82" i="1" s="1"/>
  <c r="F82" i="1"/>
  <c r="E82" i="1"/>
  <c r="C80" i="1"/>
  <c r="D79" i="1"/>
  <c r="C79" i="1"/>
  <c r="D78" i="1"/>
  <c r="C78" i="1"/>
  <c r="D77" i="1"/>
  <c r="C77" i="1"/>
  <c r="D76" i="1"/>
  <c r="C76" i="1"/>
  <c r="D75" i="1"/>
  <c r="C75" i="1"/>
  <c r="J74" i="1"/>
  <c r="D74" i="1"/>
  <c r="C74" i="1"/>
  <c r="J73" i="1"/>
  <c r="D73" i="1"/>
  <c r="C73" i="1"/>
  <c r="J72" i="1"/>
  <c r="D72" i="1"/>
  <c r="C72" i="1"/>
  <c r="J71" i="1"/>
  <c r="D71" i="1"/>
  <c r="C71" i="1"/>
  <c r="J70" i="1"/>
  <c r="D70" i="1"/>
  <c r="C70" i="1"/>
  <c r="J69" i="1"/>
  <c r="D69" i="1"/>
  <c r="C69" i="1"/>
  <c r="J68" i="1"/>
  <c r="D68" i="1"/>
  <c r="C68" i="1"/>
  <c r="J67" i="1"/>
  <c r="D67" i="1"/>
  <c r="C67" i="1"/>
  <c r="J66" i="1"/>
  <c r="D66" i="1"/>
  <c r="C66" i="1"/>
  <c r="J65" i="1"/>
  <c r="D65" i="1"/>
  <c r="C65" i="1"/>
  <c r="J64" i="1"/>
  <c r="D64" i="1"/>
  <c r="C64" i="1"/>
  <c r="J63" i="1"/>
  <c r="D63" i="1"/>
  <c r="C63" i="1"/>
  <c r="J62" i="1"/>
  <c r="D62" i="1"/>
  <c r="C62" i="1"/>
  <c r="J61" i="1"/>
  <c r="D61" i="1"/>
  <c r="C61" i="1"/>
  <c r="C17" i="1"/>
  <c r="D82" i="1" l="1"/>
  <c r="M9" i="2"/>
  <c r="L19" i="2"/>
  <c r="R24" i="2"/>
  <c r="S22" i="2" s="1"/>
  <c r="R9" i="2" s="1"/>
  <c r="M19" i="2"/>
  <c r="N45" i="2"/>
  <c r="N46" i="2"/>
  <c r="Q9" i="2"/>
  <c r="D31" i="2"/>
  <c r="N43" i="2"/>
  <c r="N48" i="2" s="1"/>
  <c r="K9" i="2"/>
  <c r="M6" i="2"/>
  <c r="O9" i="2" s="1"/>
  <c r="N9" i="2" l="1"/>
  <c r="E31" i="2"/>
  <c r="D32" i="2"/>
  <c r="G31" i="2" l="1"/>
  <c r="E32" i="2"/>
  <c r="H31" i="2" l="1"/>
  <c r="G32" i="2"/>
  <c r="H32" i="2" s="1"/>
</calcChain>
</file>

<file path=xl/sharedStrings.xml><?xml version="1.0" encoding="utf-8"?>
<sst xmlns="http://schemas.openxmlformats.org/spreadsheetml/2006/main" count="266" uniqueCount="129">
  <si>
    <t>HOUSING FINANCE COMPANIES</t>
  </si>
  <si>
    <t>Security Name</t>
  </si>
  <si>
    <t>MARKETCAP</t>
  </si>
  <si>
    <t>AUM_FY24</t>
  </si>
  <si>
    <t>Sales_fy24</t>
  </si>
  <si>
    <t>PROFIT 2024</t>
  </si>
  <si>
    <t>BAJAJHFL</t>
  </si>
  <si>
    <t>LICHSGFIN</t>
  </si>
  <si>
    <t>PNBHOUSING</t>
  </si>
  <si>
    <t>AADHARHFC</t>
  </si>
  <si>
    <t>APTUS</t>
  </si>
  <si>
    <t>AAVAS</t>
  </si>
  <si>
    <t>SAMMAANCAP</t>
  </si>
  <si>
    <t>CANFINHOME</t>
  </si>
  <si>
    <t>HOMEFIRST</t>
  </si>
  <si>
    <t>OTHER_11</t>
  </si>
  <si>
    <t>Industrry</t>
  </si>
  <si>
    <t>MARGIN %</t>
  </si>
  <si>
    <t>GROWTH 4Y</t>
  </si>
  <si>
    <t>GNPA%</t>
  </si>
  <si>
    <t>Security Code</t>
  </si>
  <si>
    <t>CMP</t>
  </si>
  <si>
    <t>SALES 2023</t>
  </si>
  <si>
    <t>PROFIT 2023</t>
  </si>
  <si>
    <t>INDIASHLTR</t>
  </si>
  <si>
    <t>REPCOHOME</t>
  </si>
  <si>
    <t>GICHSGFIN</t>
  </si>
  <si>
    <t>SRGHFL</t>
  </si>
  <si>
    <t>STARHFL</t>
  </si>
  <si>
    <t>RHFL</t>
  </si>
  <si>
    <t>MEHTAHG</t>
  </si>
  <si>
    <t>INDIAHOME</t>
  </si>
  <si>
    <t>INDBNK</t>
  </si>
  <si>
    <t>SAHARAHOUS</t>
  </si>
  <si>
    <t>ZHINDHSG</t>
  </si>
  <si>
    <t>BAJAJ HOUSING FINANCE</t>
  </si>
  <si>
    <t>MARKET</t>
  </si>
  <si>
    <t>INCOME</t>
  </si>
  <si>
    <t>BALANCESHEET</t>
  </si>
  <si>
    <t>Price</t>
  </si>
  <si>
    <t>Equity</t>
  </si>
  <si>
    <t>FV</t>
  </si>
  <si>
    <t>TOTAL EQ</t>
  </si>
  <si>
    <t>AUM</t>
  </si>
  <si>
    <t>DEPOSITS</t>
  </si>
  <si>
    <t>BORROWING</t>
  </si>
  <si>
    <t>SALES</t>
  </si>
  <si>
    <t>PROFIT</t>
  </si>
  <si>
    <t>TRAIL_EPS</t>
  </si>
  <si>
    <t>ASSETS</t>
  </si>
  <si>
    <t>LIABILITIES</t>
  </si>
  <si>
    <t>EMPLOYEE</t>
  </si>
  <si>
    <t>COSTOFFUND</t>
  </si>
  <si>
    <t>FINANCE</t>
  </si>
  <si>
    <t>MARGIN</t>
  </si>
  <si>
    <t>SALES GRO</t>
  </si>
  <si>
    <t>AUM GR</t>
  </si>
  <si>
    <t>DEP %</t>
  </si>
  <si>
    <t>PCR</t>
  </si>
  <si>
    <t>CAR</t>
  </si>
  <si>
    <t>LCR</t>
  </si>
  <si>
    <t>DEBTRATIO</t>
  </si>
  <si>
    <t>ROA</t>
  </si>
  <si>
    <t>ROE</t>
  </si>
  <si>
    <t>ROPE</t>
  </si>
  <si>
    <t>Trail_PE</t>
  </si>
  <si>
    <t>Yield</t>
  </si>
  <si>
    <t>BOOKVALUE</t>
  </si>
  <si>
    <t>P/BV X</t>
  </si>
  <si>
    <t>PEG</t>
  </si>
  <si>
    <t>YEAR</t>
  </si>
  <si>
    <t>AUM IN CR</t>
  </si>
  <si>
    <t>EPS</t>
  </si>
  <si>
    <t>HIGH PRICE</t>
  </si>
  <si>
    <t>LOW PRICE</t>
  </si>
  <si>
    <t>FAIRVALUE</t>
  </si>
  <si>
    <t>HIGH PE</t>
  </si>
  <si>
    <t>LOW PE</t>
  </si>
  <si>
    <t>FY_18</t>
  </si>
  <si>
    <t>FY_19</t>
  </si>
  <si>
    <t>FY_20</t>
  </si>
  <si>
    <t>FY_21</t>
  </si>
  <si>
    <t>FY_22</t>
  </si>
  <si>
    <t>FY_23</t>
  </si>
  <si>
    <t>FY_24</t>
  </si>
  <si>
    <t>TRAIL_FY25</t>
  </si>
  <si>
    <t>Q1_FY_25</t>
  </si>
  <si>
    <t>H1_FY_25</t>
  </si>
  <si>
    <t>F-2025</t>
  </si>
  <si>
    <t>EPS_24</t>
  </si>
  <si>
    <t>F_EPS</t>
  </si>
  <si>
    <t>F_PEG.</t>
  </si>
  <si>
    <t>4 YEAR</t>
  </si>
  <si>
    <t>LAST YEAR</t>
  </si>
  <si>
    <t>PE_24</t>
  </si>
  <si>
    <t>T_PE</t>
  </si>
  <si>
    <t>R_PE_25</t>
  </si>
  <si>
    <t>LONG TERM</t>
  </si>
  <si>
    <t>Current Trend</t>
  </si>
  <si>
    <t>Q3_FY24</t>
  </si>
  <si>
    <t>Q4_FY24</t>
  </si>
  <si>
    <t>Q1_FY25</t>
  </si>
  <si>
    <t>Q2_FY25</t>
  </si>
  <si>
    <t>FY_25</t>
  </si>
  <si>
    <t>RESULT</t>
  </si>
  <si>
    <t>H1_FY_24</t>
  </si>
  <si>
    <t>GROWTH</t>
  </si>
  <si>
    <t>Q2_FY_25</t>
  </si>
  <si>
    <t>Q2_FY_24</t>
  </si>
  <si>
    <t>Q1_FY_24</t>
  </si>
  <si>
    <t>EST_FY25</t>
  </si>
  <si>
    <t>EST_FY30</t>
  </si>
  <si>
    <t>EST_FY35</t>
  </si>
  <si>
    <t>COST</t>
  </si>
  <si>
    <t>GROSS NPA</t>
  </si>
  <si>
    <t>MAJOR COST</t>
  </si>
  <si>
    <t>SHARE</t>
  </si>
  <si>
    <t>SHP</t>
  </si>
  <si>
    <t>Finance</t>
  </si>
  <si>
    <t>Promoter</t>
  </si>
  <si>
    <t>Fees &amp; Comm</t>
  </si>
  <si>
    <t>Domesti_I</t>
  </si>
  <si>
    <t>Impairment</t>
  </si>
  <si>
    <t>Foregin_I</t>
  </si>
  <si>
    <t>Employee</t>
  </si>
  <si>
    <t>Non_inst</t>
  </si>
  <si>
    <t>D&amp;A</t>
  </si>
  <si>
    <t>Other Exp.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</si>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</sst>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₹&quot;\ #,##0;[Red]&quot;₹&quot;\ \-#,##0"/>
    <numFmt numFmtId="164" formatCode="0.0%"/>
    <numFmt numFmtId="165" formatCode="0.0"/>
    <numFmt numFmtId="166" formatCode="&quot;₹&quot;\ #,##0.0;[Red]&quot;₹&quot;\ \-#,##0.0"/>
  </numFmts>
  <fonts count="16" x14ac:knownFonts="1">
    <font>
      <sz val="10"/>
      <color rgb="FF000000"/>
      <name val="Calibri"/>
      <scheme val="minor"/>
    </font>
    <font>
      <sz val="36"/>
      <color rgb="FFFFFFFF"/>
      <name val="Arial"/>
    </font>
    <font>
      <b/>
      <sz val="11"/>
      <color rgb="FFFFFFFF"/>
      <name val="Arial"/>
    </font>
    <font>
      <sz val="10"/>
      <color theme="1"/>
      <name val="Calibri"/>
      <scheme val="minor"/>
    </font>
    <font>
      <b/>
      <sz val="11"/>
      <color theme="1"/>
      <name val="Arial"/>
    </font>
    <font>
      <sz val="10"/>
      <color theme="1"/>
      <name val="Calibri"/>
    </font>
    <font>
      <sz val="10"/>
      <color theme="1"/>
      <name val="Arial"/>
    </font>
    <font>
      <sz val="11"/>
      <color theme="1"/>
      <name val="Arial"/>
    </font>
    <font>
      <sz val="11"/>
      <color rgb="FFFFFFFF"/>
      <name val="Calibri"/>
    </font>
    <font>
      <sz val="11"/>
      <color theme="0"/>
      <name val="Calibri"/>
    </font>
    <font>
      <sz val="11"/>
      <color theme="1"/>
      <name val="Source Code Pro"/>
    </font>
    <font>
      <sz val="11"/>
      <color rgb="FF0000FF"/>
      <name val="Source Code Pro"/>
    </font>
    <font>
      <sz val="11"/>
      <color theme="1"/>
      <name val="Calibri"/>
    </font>
    <font>
      <b/>
      <sz val="11"/>
      <color rgb="FFFFFFFF"/>
      <name val="Calibri"/>
    </font>
    <font>
      <sz val="25"/>
      <color theme="1"/>
      <name val="Arial"/>
    </font>
    <font>
      <sz val="10"/>
      <name val="Calibri"/>
    </font>
  </fonts>
  <fills count="44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D2EDE0"/>
        <bgColor rgb="FFD2EDE0"/>
      </patternFill>
    </fill>
    <fill>
      <patternFill patternType="solid">
        <fgColor rgb="FFD9F0E4"/>
        <bgColor rgb="FFD9F0E4"/>
      </patternFill>
    </fill>
    <fill>
      <patternFill patternType="solid">
        <fgColor rgb="FFCFECDD"/>
        <bgColor rgb="FFCFECDD"/>
      </patternFill>
    </fill>
    <fill>
      <patternFill patternType="solid">
        <fgColor rgb="FF57BB8A"/>
        <bgColor rgb="FF57BB8A"/>
      </patternFill>
    </fill>
    <fill>
      <patternFill patternType="solid">
        <fgColor rgb="FFDFF2E9"/>
        <bgColor rgb="FFDFF2E9"/>
      </patternFill>
    </fill>
    <fill>
      <patternFill patternType="solid">
        <fgColor rgb="FFDCF1E7"/>
        <bgColor rgb="FFDCF1E7"/>
      </patternFill>
    </fill>
    <fill>
      <patternFill patternType="solid">
        <fgColor rgb="FFD7EFE4"/>
        <bgColor rgb="FFD7EFE4"/>
      </patternFill>
    </fill>
    <fill>
      <patternFill patternType="solid">
        <fgColor rgb="FFFEFFFF"/>
        <bgColor rgb="FFFEFFFF"/>
      </patternFill>
    </fill>
    <fill>
      <patternFill patternType="solid">
        <fgColor rgb="FFFAFDFC"/>
        <bgColor rgb="FFFAFDFC"/>
      </patternFill>
    </fill>
    <fill>
      <patternFill patternType="solid">
        <fgColor rgb="FFF5FBF8"/>
        <bgColor rgb="FFF5FBF8"/>
      </patternFill>
    </fill>
    <fill>
      <patternFill patternType="solid">
        <fgColor rgb="FFEB9790"/>
        <bgColor rgb="FFEB9790"/>
      </patternFill>
    </fill>
    <fill>
      <patternFill patternType="solid">
        <fgColor rgb="FFF4C6C2"/>
        <bgColor rgb="FFF4C6C2"/>
      </patternFill>
    </fill>
    <fill>
      <patternFill patternType="solid">
        <fgColor rgb="FFFEFDFD"/>
        <bgColor rgb="FFFEFDFD"/>
      </patternFill>
    </fill>
    <fill>
      <patternFill patternType="solid">
        <fgColor rgb="FFFBEFEE"/>
        <bgColor rgb="FFFBEFEE"/>
      </patternFill>
    </fill>
    <fill>
      <patternFill patternType="solid">
        <fgColor rgb="FFFEFFFE"/>
        <bgColor rgb="FFFEFFFE"/>
      </patternFill>
    </fill>
    <fill>
      <patternFill patternType="solid">
        <fgColor rgb="FFFFFFFF"/>
        <bgColor rgb="FFFFFFFF"/>
      </patternFill>
    </fill>
    <fill>
      <patternFill patternType="solid">
        <fgColor rgb="FFE3F4EC"/>
        <bgColor rgb="FFE3F4EC"/>
      </patternFill>
    </fill>
    <fill>
      <patternFill patternType="solid">
        <fgColor rgb="FFF4FBF7"/>
        <bgColor rgb="FFF4FBF7"/>
      </patternFill>
    </fill>
    <fill>
      <patternFill patternType="solid">
        <fgColor rgb="FFF5CECB"/>
        <bgColor rgb="FFF5CECB"/>
      </patternFill>
    </fill>
    <fill>
      <patternFill patternType="solid">
        <fgColor rgb="FFF5CDC9"/>
        <bgColor rgb="FFF5CDC9"/>
      </patternFill>
    </fill>
    <fill>
      <patternFill patternType="solid">
        <fgColor rgb="FFF6FCF9"/>
        <bgColor rgb="FFF6FCF9"/>
      </patternFill>
    </fill>
    <fill>
      <patternFill patternType="solid">
        <fgColor rgb="FFF1BAB5"/>
        <bgColor rgb="FFF1BAB5"/>
      </patternFill>
    </fill>
    <fill>
      <patternFill patternType="solid">
        <fgColor rgb="FFCCEBDC"/>
        <bgColor rgb="FFCCEBDC"/>
      </patternFill>
    </fill>
    <fill>
      <patternFill patternType="solid">
        <fgColor rgb="FFECF7F2"/>
        <bgColor rgb="FFECF7F2"/>
      </patternFill>
    </fill>
    <fill>
      <patternFill patternType="solid">
        <fgColor rgb="FFE67C73"/>
        <bgColor rgb="FFE67C73"/>
      </patternFill>
    </fill>
    <fill>
      <patternFill patternType="solid">
        <fgColor rgb="FFDBF1E6"/>
        <bgColor rgb="FFDBF1E6"/>
      </patternFill>
    </fill>
    <fill>
      <patternFill patternType="solid">
        <fgColor rgb="FF002060"/>
        <bgColor rgb="FF002060"/>
      </patternFill>
    </fill>
    <fill>
      <patternFill patternType="solid">
        <fgColor rgb="FFF4C5C1"/>
        <bgColor rgb="FFF4C5C1"/>
      </patternFill>
    </fill>
    <fill>
      <patternFill patternType="solid">
        <fgColor rgb="FFE2F4EB"/>
        <bgColor rgb="FFE2F4EB"/>
      </patternFill>
    </fill>
    <fill>
      <patternFill patternType="solid">
        <fgColor rgb="FF999999"/>
        <bgColor rgb="FF999999"/>
      </patternFill>
    </fill>
    <fill>
      <patternFill patternType="solid">
        <fgColor rgb="FFC5E8D7"/>
        <bgColor rgb="FFC5E8D7"/>
      </patternFill>
    </fill>
    <fill>
      <patternFill patternType="solid">
        <fgColor rgb="FFF7D9D6"/>
        <bgColor rgb="FFF7D9D6"/>
      </patternFill>
    </fill>
    <fill>
      <patternFill patternType="solid">
        <fgColor rgb="FF6FC59B"/>
        <bgColor rgb="FF6FC59B"/>
      </patternFill>
    </fill>
    <fill>
      <patternFill patternType="solid">
        <fgColor rgb="FFF6D3D0"/>
        <bgColor rgb="FFF6D3D0"/>
      </patternFill>
    </fill>
    <fill>
      <patternFill patternType="solid">
        <fgColor rgb="FFFFD666"/>
        <bgColor rgb="FFFFD666"/>
      </patternFill>
    </fill>
    <fill>
      <patternFill patternType="solid">
        <fgColor rgb="FFF4CAC6"/>
        <bgColor rgb="FFF4CAC6"/>
      </patternFill>
    </fill>
    <fill>
      <patternFill patternType="solid">
        <fgColor rgb="FFFEF9F9"/>
        <bgColor rgb="FFFEF9F9"/>
      </patternFill>
    </fill>
    <fill>
      <patternFill patternType="solid">
        <fgColor rgb="FFFBEBE9"/>
        <bgColor rgb="FFFBEBE9"/>
      </patternFill>
    </fill>
    <fill>
      <patternFill patternType="solid">
        <fgColor rgb="FFD5EEE2"/>
        <bgColor rgb="FFD5EEE2"/>
      </patternFill>
    </fill>
    <fill>
      <patternFill patternType="solid">
        <fgColor rgb="FFBFE5D2"/>
        <bgColor rgb="FFBFE5D2"/>
      </patternFill>
    </fill>
    <fill>
      <patternFill patternType="solid">
        <fgColor rgb="FFE88A82"/>
        <bgColor rgb="FFE88A82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2" borderId="1" xfId="0" applyFont="1" applyFill="1" applyBorder="1"/>
    <xf numFmtId="1" fontId="2" fillId="2" borderId="1" xfId="0" applyNumberFormat="1" applyFont="1" applyFill="1" applyBorder="1"/>
    <xf numFmtId="0" fontId="3" fillId="0" borderId="0" xfId="0" applyFont="1"/>
    <xf numFmtId="1" fontId="4" fillId="0" borderId="1" xfId="0" applyNumberFormat="1" applyFont="1" applyBorder="1" applyAlignment="1">
      <alignment horizontal="right"/>
    </xf>
    <xf numFmtId="0" fontId="5" fillId="0" borderId="0" xfId="0" applyFont="1"/>
    <xf numFmtId="0" fontId="5" fillId="3" borderId="0" xfId="0" applyFont="1" applyFill="1" applyAlignment="1">
      <alignment horizontal="right"/>
    </xf>
    <xf numFmtId="0" fontId="5" fillId="4" borderId="0" xfId="0" applyFont="1" applyFill="1" applyAlignment="1">
      <alignment horizontal="right"/>
    </xf>
    <xf numFmtId="0" fontId="6" fillId="5" borderId="2" xfId="0" applyFont="1" applyFill="1" applyBorder="1" applyAlignment="1">
      <alignment horizontal="right"/>
    </xf>
    <xf numFmtId="0" fontId="5" fillId="6" borderId="0" xfId="0" applyFont="1" applyFill="1" applyAlignment="1">
      <alignment horizontal="right"/>
    </xf>
    <xf numFmtId="0" fontId="6" fillId="6" borderId="2" xfId="0" applyFont="1" applyFill="1" applyBorder="1" applyAlignment="1">
      <alignment horizontal="right"/>
    </xf>
    <xf numFmtId="0" fontId="5" fillId="7" borderId="0" xfId="0" applyFont="1" applyFill="1" applyAlignment="1">
      <alignment horizontal="right"/>
    </xf>
    <xf numFmtId="0" fontId="5" fillId="8" borderId="0" xfId="0" applyFont="1" applyFill="1" applyAlignment="1">
      <alignment horizontal="right"/>
    </xf>
    <xf numFmtId="0" fontId="6" fillId="9" borderId="2" xfId="0" applyFont="1" applyFill="1" applyBorder="1" applyAlignment="1">
      <alignment horizontal="right"/>
    </xf>
    <xf numFmtId="0" fontId="5" fillId="10" borderId="0" xfId="0" applyFont="1" applyFill="1" applyAlignment="1">
      <alignment horizontal="right"/>
    </xf>
    <xf numFmtId="0" fontId="5" fillId="11" borderId="0" xfId="0" applyFont="1" applyFill="1" applyAlignment="1">
      <alignment horizontal="right"/>
    </xf>
    <xf numFmtId="0" fontId="6" fillId="12" borderId="2" xfId="0" applyFont="1" applyFill="1" applyBorder="1" applyAlignment="1">
      <alignment horizontal="right"/>
    </xf>
    <xf numFmtId="0" fontId="5" fillId="13" borderId="0" xfId="0" applyFont="1" applyFill="1" applyAlignment="1">
      <alignment horizontal="right"/>
    </xf>
    <xf numFmtId="0" fontId="5" fillId="14" borderId="0" xfId="0" applyFont="1" applyFill="1" applyAlignment="1">
      <alignment horizontal="right"/>
    </xf>
    <xf numFmtId="0" fontId="6" fillId="15" borderId="2" xfId="0" applyFont="1" applyFill="1" applyBorder="1" applyAlignment="1">
      <alignment horizontal="right"/>
    </xf>
    <xf numFmtId="0" fontId="5" fillId="0" borderId="3" xfId="0" applyFont="1" applyBorder="1"/>
    <xf numFmtId="0" fontId="5" fillId="16" borderId="3" xfId="0" applyFont="1" applyFill="1" applyBorder="1" applyAlignment="1">
      <alignment horizontal="right"/>
    </xf>
    <xf numFmtId="0" fontId="5" fillId="17" borderId="0" xfId="0" applyFont="1" applyFill="1" applyAlignment="1">
      <alignment horizontal="right"/>
    </xf>
    <xf numFmtId="0" fontId="6" fillId="18" borderId="2" xfId="0" applyFont="1" applyFill="1" applyBorder="1" applyAlignment="1">
      <alignment horizontal="right"/>
    </xf>
    <xf numFmtId="1" fontId="7" fillId="0" borderId="1" xfId="0" applyNumberFormat="1" applyFont="1" applyBorder="1" applyAlignment="1">
      <alignment horizontal="right"/>
    </xf>
    <xf numFmtId="0" fontId="6" fillId="19" borderId="2" xfId="0" applyFont="1" applyFill="1" applyBorder="1" applyAlignment="1">
      <alignment horizontal="right"/>
    </xf>
    <xf numFmtId="0" fontId="5" fillId="20" borderId="0" xfId="0" applyFont="1" applyFill="1" applyAlignment="1">
      <alignment horizontal="right"/>
    </xf>
    <xf numFmtId="1" fontId="3" fillId="0" borderId="0" xfId="0" applyNumberFormat="1" applyFont="1"/>
    <xf numFmtId="0" fontId="5" fillId="21" borderId="3" xfId="0" applyFont="1" applyFill="1" applyBorder="1" applyAlignment="1">
      <alignment horizontal="right"/>
    </xf>
    <xf numFmtId="0" fontId="6" fillId="22" borderId="4" xfId="0" applyFont="1" applyFill="1" applyBorder="1" applyAlignment="1">
      <alignment horizontal="right"/>
    </xf>
    <xf numFmtId="0" fontId="3" fillId="0" borderId="3" xfId="0" applyFont="1" applyBorder="1"/>
    <xf numFmtId="0" fontId="3" fillId="0" borderId="5" xfId="0" applyFont="1" applyBorder="1"/>
    <xf numFmtId="1" fontId="3" fillId="0" borderId="5" xfId="0" applyNumberFormat="1" applyFont="1" applyBorder="1"/>
    <xf numFmtId="0" fontId="2" fillId="2" borderId="6" xfId="0" applyFont="1" applyFill="1" applyBorder="1"/>
    <xf numFmtId="1" fontId="2" fillId="2" borderId="6" xfId="0" applyNumberFormat="1" applyFont="1" applyFill="1" applyBorder="1"/>
    <xf numFmtId="164" fontId="5" fillId="23" borderId="0" xfId="0" applyNumberFormat="1" applyFont="1" applyFill="1" applyAlignment="1">
      <alignment horizontal="right"/>
    </xf>
    <xf numFmtId="164" fontId="3" fillId="0" borderId="0" xfId="0" applyNumberFormat="1" applyFont="1"/>
    <xf numFmtId="10" fontId="3" fillId="0" borderId="0" xfId="0" applyNumberFormat="1" applyFont="1"/>
    <xf numFmtId="164" fontId="5" fillId="24" borderId="0" xfId="0" applyNumberFormat="1" applyFont="1" applyFill="1" applyAlignment="1">
      <alignment horizontal="right"/>
    </xf>
    <xf numFmtId="164" fontId="5" fillId="18" borderId="0" xfId="0" applyNumberFormat="1" applyFont="1" applyFill="1" applyAlignment="1">
      <alignment horizontal="right"/>
    </xf>
    <xf numFmtId="164" fontId="5" fillId="25" borderId="0" xfId="0" applyNumberFormat="1" applyFont="1" applyFill="1" applyAlignment="1">
      <alignment horizontal="right"/>
    </xf>
    <xf numFmtId="164" fontId="5" fillId="6" borderId="0" xfId="0" applyNumberFormat="1" applyFont="1" applyFill="1" applyAlignment="1">
      <alignment horizontal="right"/>
    </xf>
    <xf numFmtId="164" fontId="5" fillId="26" borderId="0" xfId="0" applyNumberFormat="1" applyFont="1" applyFill="1" applyAlignment="1">
      <alignment horizontal="right"/>
    </xf>
    <xf numFmtId="164" fontId="5" fillId="27" borderId="0" xfId="0" applyNumberFormat="1" applyFont="1" applyFill="1" applyAlignment="1">
      <alignment horizontal="right"/>
    </xf>
    <xf numFmtId="164" fontId="5" fillId="15" borderId="0" xfId="0" applyNumberFormat="1" applyFont="1" applyFill="1" applyAlignment="1">
      <alignment horizontal="right"/>
    </xf>
    <xf numFmtId="164" fontId="5" fillId="28" borderId="3" xfId="0" applyNumberFormat="1" applyFont="1" applyFill="1" applyBorder="1" applyAlignment="1">
      <alignment horizontal="right"/>
    </xf>
    <xf numFmtId="164" fontId="3" fillId="0" borderId="3" xfId="0" applyNumberFormat="1" applyFont="1" applyBorder="1"/>
    <xf numFmtId="10" fontId="3" fillId="0" borderId="3" xfId="0" applyNumberFormat="1" applyFont="1" applyBorder="1"/>
    <xf numFmtId="164" fontId="3" fillId="0" borderId="5" xfId="0" applyNumberFormat="1" applyFont="1" applyBorder="1"/>
    <xf numFmtId="0" fontId="7" fillId="0" borderId="7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7" fillId="0" borderId="8" xfId="0" applyFont="1" applyBorder="1" applyAlignment="1">
      <alignment horizontal="right"/>
    </xf>
    <xf numFmtId="1" fontId="7" fillId="0" borderId="9" xfId="0" applyNumberFormat="1" applyFont="1" applyBorder="1" applyAlignment="1">
      <alignment horizontal="right"/>
    </xf>
    <xf numFmtId="10" fontId="3" fillId="0" borderId="5" xfId="0" applyNumberFormat="1" applyFont="1" applyBorder="1"/>
    <xf numFmtId="4" fontId="7" fillId="18" borderId="0" xfId="0" applyNumberFormat="1" applyFont="1" applyFill="1"/>
    <xf numFmtId="0" fontId="7" fillId="18" borderId="0" xfId="0" applyFont="1" applyFill="1"/>
    <xf numFmtId="4" fontId="7" fillId="18" borderId="10" xfId="0" applyNumberFormat="1" applyFont="1" applyFill="1" applyBorder="1"/>
    <xf numFmtId="0" fontId="8" fillId="29" borderId="10" xfId="0" applyFont="1" applyFill="1" applyBorder="1"/>
    <xf numFmtId="9" fontId="7" fillId="18" borderId="11" xfId="0" applyNumberFormat="1" applyFont="1" applyFill="1" applyBorder="1"/>
    <xf numFmtId="0" fontId="7" fillId="18" borderId="11" xfId="0" applyFont="1" applyFill="1" applyBorder="1"/>
    <xf numFmtId="0" fontId="7" fillId="0" borderId="0" xfId="0" applyFont="1"/>
    <xf numFmtId="4" fontId="7" fillId="18" borderId="12" xfId="0" applyNumberFormat="1" applyFont="1" applyFill="1" applyBorder="1"/>
    <xf numFmtId="0" fontId="9" fillId="29" borderId="10" xfId="0" applyFont="1" applyFill="1" applyBorder="1"/>
    <xf numFmtId="0" fontId="10" fillId="0" borderId="7" xfId="0" applyFont="1" applyBorder="1"/>
    <xf numFmtId="1" fontId="10" fillId="0" borderId="7" xfId="0" applyNumberFormat="1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3" fontId="10" fillId="0" borderId="7" xfId="0" applyNumberFormat="1" applyFont="1" applyBorder="1" applyAlignment="1">
      <alignment horizontal="right"/>
    </xf>
    <xf numFmtId="165" fontId="10" fillId="0" borderId="7" xfId="0" applyNumberFormat="1" applyFont="1" applyBorder="1" applyAlignment="1">
      <alignment horizontal="right"/>
    </xf>
    <xf numFmtId="0" fontId="11" fillId="18" borderId="7" xfId="0" applyFont="1" applyFill="1" applyBorder="1" applyAlignment="1">
      <alignment horizontal="right" wrapText="1"/>
    </xf>
    <xf numFmtId="10" fontId="7" fillId="0" borderId="0" xfId="0" applyNumberFormat="1" applyFont="1" applyAlignment="1">
      <alignment horizontal="right"/>
    </xf>
    <xf numFmtId="4" fontId="7" fillId="0" borderId="0" xfId="0" applyNumberFormat="1" applyFont="1"/>
    <xf numFmtId="9" fontId="7" fillId="0" borderId="0" xfId="0" applyNumberFormat="1" applyFont="1"/>
    <xf numFmtId="9" fontId="10" fillId="0" borderId="7" xfId="0" applyNumberFormat="1" applyFont="1" applyBorder="1" applyAlignment="1">
      <alignment horizontal="right"/>
    </xf>
    <xf numFmtId="9" fontId="7" fillId="0" borderId="7" xfId="0" applyNumberFormat="1" applyFont="1" applyBorder="1" applyAlignment="1">
      <alignment horizontal="right"/>
    </xf>
    <xf numFmtId="10" fontId="7" fillId="0" borderId="7" xfId="0" applyNumberFormat="1" applyFont="1" applyBorder="1" applyAlignment="1">
      <alignment horizontal="right"/>
    </xf>
    <xf numFmtId="10" fontId="10" fillId="0" borderId="7" xfId="0" applyNumberFormat="1" applyFont="1" applyBorder="1" applyAlignment="1">
      <alignment horizontal="right"/>
    </xf>
    <xf numFmtId="164" fontId="10" fillId="0" borderId="7" xfId="0" applyNumberFormat="1" applyFont="1" applyBorder="1" applyAlignment="1">
      <alignment horizontal="right"/>
    </xf>
    <xf numFmtId="4" fontId="10" fillId="0" borderId="7" xfId="0" applyNumberFormat="1" applyFont="1" applyBorder="1" applyAlignment="1">
      <alignment horizontal="right"/>
    </xf>
    <xf numFmtId="0" fontId="7" fillId="18" borderId="10" xfId="0" applyFont="1" applyFill="1" applyBorder="1"/>
    <xf numFmtId="0" fontId="7" fillId="18" borderId="13" xfId="0" applyFont="1" applyFill="1" applyBorder="1"/>
    <xf numFmtId="164" fontId="12" fillId="0" borderId="0" xfId="0" applyNumberFormat="1" applyFont="1"/>
    <xf numFmtId="1" fontId="12" fillId="0" borderId="0" xfId="0" applyNumberFormat="1" applyFont="1"/>
    <xf numFmtId="165" fontId="3" fillId="0" borderId="0" xfId="0" applyNumberFormat="1" applyFont="1"/>
    <xf numFmtId="164" fontId="12" fillId="0" borderId="3" xfId="0" applyNumberFormat="1" applyFont="1" applyBorder="1"/>
    <xf numFmtId="165" fontId="3" fillId="0" borderId="3" xfId="0" applyNumberFormat="1" applyFont="1" applyBorder="1"/>
    <xf numFmtId="1" fontId="12" fillId="0" borderId="3" xfId="0" applyNumberFormat="1" applyFont="1" applyBorder="1"/>
    <xf numFmtId="10" fontId="12" fillId="0" borderId="3" xfId="0" applyNumberFormat="1" applyFont="1" applyBorder="1"/>
    <xf numFmtId="1" fontId="3" fillId="0" borderId="3" xfId="0" applyNumberFormat="1" applyFont="1" applyBorder="1"/>
    <xf numFmtId="0" fontId="13" fillId="2" borderId="7" xfId="0" applyFont="1" applyFill="1" applyBorder="1"/>
    <xf numFmtId="0" fontId="9" fillId="29" borderId="10" xfId="0" applyFont="1" applyFill="1" applyBorder="1" applyAlignment="1">
      <alignment horizontal="center"/>
    </xf>
    <xf numFmtId="0" fontId="9" fillId="29" borderId="11" xfId="0" applyFont="1" applyFill="1" applyBorder="1"/>
    <xf numFmtId="0" fontId="7" fillId="18" borderId="7" xfId="0" applyFont="1" applyFill="1" applyBorder="1"/>
    <xf numFmtId="9" fontId="7" fillId="6" borderId="7" xfId="0" applyNumberFormat="1" applyFont="1" applyFill="1" applyBorder="1" applyAlignment="1">
      <alignment horizontal="right"/>
    </xf>
    <xf numFmtId="9" fontId="7" fillId="30" borderId="7" xfId="0" applyNumberFormat="1" applyFont="1" applyFill="1" applyBorder="1" applyAlignment="1">
      <alignment horizontal="right"/>
    </xf>
    <xf numFmtId="9" fontId="7" fillId="31" borderId="7" xfId="0" applyNumberFormat="1" applyFont="1" applyFill="1" applyBorder="1" applyAlignment="1">
      <alignment horizontal="right"/>
    </xf>
    <xf numFmtId="9" fontId="7" fillId="27" borderId="7" xfId="0" applyNumberFormat="1" applyFont="1" applyFill="1" applyBorder="1" applyAlignment="1">
      <alignment horizontal="right"/>
    </xf>
    <xf numFmtId="9" fontId="7" fillId="18" borderId="7" xfId="0" applyNumberFormat="1" applyFont="1" applyFill="1" applyBorder="1" applyAlignment="1">
      <alignment horizontal="right"/>
    </xf>
    <xf numFmtId="165" fontId="10" fillId="27" borderId="7" xfId="0" applyNumberFormat="1" applyFont="1" applyFill="1" applyBorder="1" applyAlignment="1">
      <alignment horizontal="center"/>
    </xf>
    <xf numFmtId="165" fontId="10" fillId="18" borderId="7" xfId="0" applyNumberFormat="1" applyFont="1" applyFill="1" applyBorder="1" applyAlignment="1">
      <alignment horizontal="center"/>
    </xf>
    <xf numFmtId="165" fontId="10" fillId="6" borderId="7" xfId="0" applyNumberFormat="1" applyFont="1" applyFill="1" applyBorder="1" applyAlignment="1">
      <alignment horizontal="center"/>
    </xf>
    <xf numFmtId="9" fontId="7" fillId="33" borderId="7" xfId="0" applyNumberFormat="1" applyFont="1" applyFill="1" applyBorder="1" applyAlignment="1">
      <alignment horizontal="right"/>
    </xf>
    <xf numFmtId="9" fontId="7" fillId="34" borderId="7" xfId="0" applyNumberFormat="1" applyFont="1" applyFill="1" applyBorder="1" applyAlignment="1">
      <alignment horizontal="right"/>
    </xf>
    <xf numFmtId="0" fontId="9" fillId="29" borderId="12" xfId="0" applyFont="1" applyFill="1" applyBorder="1" applyAlignment="1">
      <alignment horizontal="center"/>
    </xf>
    <xf numFmtId="0" fontId="7" fillId="0" borderId="7" xfId="0" applyFont="1" applyBorder="1"/>
    <xf numFmtId="164" fontId="7" fillId="6" borderId="7" xfId="0" applyNumberFormat="1" applyFont="1" applyFill="1" applyBorder="1" applyAlignment="1">
      <alignment horizontal="right"/>
    </xf>
    <xf numFmtId="164" fontId="7" fillId="35" borderId="7" xfId="0" applyNumberFormat="1" applyFont="1" applyFill="1" applyBorder="1" applyAlignment="1">
      <alignment horizontal="right"/>
    </xf>
    <xf numFmtId="164" fontId="7" fillId="27" borderId="7" xfId="0" applyNumberFormat="1" applyFont="1" applyFill="1" applyBorder="1" applyAlignment="1">
      <alignment horizontal="right"/>
    </xf>
    <xf numFmtId="164" fontId="7" fillId="36" borderId="7" xfId="0" applyNumberFormat="1" applyFont="1" applyFill="1" applyBorder="1" applyAlignment="1">
      <alignment horizontal="right"/>
    </xf>
    <xf numFmtId="164" fontId="7" fillId="0" borderId="7" xfId="0" applyNumberFormat="1" applyFont="1" applyBorder="1" applyAlignment="1">
      <alignment horizontal="right"/>
    </xf>
    <xf numFmtId="1" fontId="10" fillId="37" borderId="7" xfId="0" applyNumberFormat="1" applyFont="1" applyFill="1" applyBorder="1" applyAlignment="1">
      <alignment horizontal="center"/>
    </xf>
    <xf numFmtId="1" fontId="10" fillId="27" borderId="7" xfId="0" applyNumberFormat="1" applyFont="1" applyFill="1" applyBorder="1" applyAlignment="1">
      <alignment horizontal="center"/>
    </xf>
    <xf numFmtId="9" fontId="3" fillId="0" borderId="0" xfId="0" applyNumberFormat="1" applyFont="1"/>
    <xf numFmtId="0" fontId="7" fillId="6" borderId="7" xfId="0" applyFont="1" applyFill="1" applyBorder="1" applyAlignment="1">
      <alignment horizontal="right"/>
    </xf>
    <xf numFmtId="0" fontId="7" fillId="38" borderId="7" xfId="0" applyFont="1" applyFill="1" applyBorder="1" applyAlignment="1">
      <alignment horizontal="right"/>
    </xf>
    <xf numFmtId="165" fontId="7" fillId="0" borderId="7" xfId="0" applyNumberFormat="1" applyFont="1" applyBorder="1" applyAlignment="1">
      <alignment horizontal="right"/>
    </xf>
    <xf numFmtId="6" fontId="12" fillId="0" borderId="0" xfId="0" applyNumberFormat="1" applyFont="1"/>
    <xf numFmtId="166" fontId="12" fillId="0" borderId="0" xfId="0" applyNumberFormat="1" applyFont="1"/>
    <xf numFmtId="9" fontId="10" fillId="39" borderId="7" xfId="0" applyNumberFormat="1" applyFont="1" applyFill="1" applyBorder="1" applyAlignment="1">
      <alignment horizontal="right"/>
    </xf>
    <xf numFmtId="9" fontId="10" fillId="40" borderId="7" xfId="0" applyNumberFormat="1" applyFont="1" applyFill="1" applyBorder="1" applyAlignment="1">
      <alignment horizontal="right"/>
    </xf>
    <xf numFmtId="6" fontId="12" fillId="0" borderId="3" xfId="0" applyNumberFormat="1" applyFont="1" applyBorder="1"/>
    <xf numFmtId="166" fontId="12" fillId="0" borderId="3" xfId="0" applyNumberFormat="1" applyFont="1" applyBorder="1"/>
    <xf numFmtId="9" fontId="10" fillId="41" borderId="7" xfId="0" applyNumberFormat="1" applyFont="1" applyFill="1" applyBorder="1" applyAlignment="1">
      <alignment horizontal="right"/>
    </xf>
    <xf numFmtId="9" fontId="10" fillId="42" borderId="7" xfId="0" applyNumberFormat="1" applyFont="1" applyFill="1" applyBorder="1" applyAlignment="1">
      <alignment horizontal="right"/>
    </xf>
    <xf numFmtId="0" fontId="10" fillId="18" borderId="7" xfId="0" applyFont="1" applyFill="1" applyBorder="1"/>
    <xf numFmtId="0" fontId="10" fillId="18" borderId="7" xfId="0" applyFont="1" applyFill="1" applyBorder="1" applyAlignment="1">
      <alignment horizontal="right"/>
    </xf>
    <xf numFmtId="9" fontId="10" fillId="43" borderId="7" xfId="0" applyNumberFormat="1" applyFont="1" applyFill="1" applyBorder="1" applyAlignment="1">
      <alignment horizontal="right"/>
    </xf>
    <xf numFmtId="165" fontId="10" fillId="18" borderId="7" xfId="0" applyNumberFormat="1" applyFont="1" applyFill="1" applyBorder="1"/>
    <xf numFmtId="2" fontId="10" fillId="18" borderId="7" xfId="0" applyNumberFormat="1" applyFont="1" applyFill="1" applyBorder="1" applyAlignment="1">
      <alignment horizontal="right"/>
    </xf>
    <xf numFmtId="9" fontId="10" fillId="27" borderId="7" xfId="0" applyNumberFormat="1" applyFont="1" applyFill="1" applyBorder="1" applyAlignment="1">
      <alignment horizontal="right"/>
    </xf>
    <xf numFmtId="165" fontId="10" fillId="18" borderId="7" xfId="0" applyNumberFormat="1" applyFont="1" applyFill="1" applyBorder="1" applyAlignment="1">
      <alignment horizontal="right"/>
    </xf>
    <xf numFmtId="164" fontId="10" fillId="18" borderId="7" xfId="0" applyNumberFormat="1" applyFont="1" applyFill="1" applyBorder="1" applyAlignment="1">
      <alignment horizontal="right"/>
    </xf>
    <xf numFmtId="10" fontId="10" fillId="18" borderId="7" xfId="0" applyNumberFormat="1" applyFont="1" applyFill="1" applyBorder="1" applyAlignment="1">
      <alignment horizontal="right"/>
    </xf>
    <xf numFmtId="0" fontId="8" fillId="29" borderId="11" xfId="0" applyFont="1" applyFill="1" applyBorder="1"/>
    <xf numFmtId="9" fontId="3" fillId="0" borderId="7" xfId="0" applyNumberFormat="1" applyFont="1" applyBorder="1"/>
    <xf numFmtId="9" fontId="10" fillId="18" borderId="7" xfId="0" applyNumberFormat="1" applyFont="1" applyFill="1" applyBorder="1" applyAlignment="1">
      <alignment horizontal="right"/>
    </xf>
    <xf numFmtId="3" fontId="10" fillId="18" borderId="7" xfId="0" applyNumberFormat="1" applyFont="1" applyFill="1" applyBorder="1" applyAlignment="1">
      <alignment horizontal="right"/>
    </xf>
    <xf numFmtId="165" fontId="10" fillId="18" borderId="0" xfId="0" applyNumberFormat="1" applyFont="1" applyFill="1"/>
    <xf numFmtId="164" fontId="10" fillId="18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0" fontId="0" fillId="0" borderId="0" xfId="0"/>
    <xf numFmtId="165" fontId="14" fillId="32" borderId="14" xfId="0" applyNumberFormat="1" applyFont="1" applyFill="1" applyBorder="1" applyAlignment="1">
      <alignment horizontal="center" vertical="center"/>
    </xf>
    <xf numFmtId="0" fontId="15" fillId="0" borderId="15" xfId="0" applyFont="1" applyBorder="1"/>
    <xf numFmtId="0" fontId="1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'Housing Finance Companies'!$C$5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1520-4097-8E2D-9A3F4C79224A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1520-4097-8E2D-9A3F4C79224A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1520-4097-8E2D-9A3F4C79224A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1520-4097-8E2D-9A3F4C79224A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1520-4097-8E2D-9A3F4C79224A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1520-4097-8E2D-9A3F4C79224A}"/>
              </c:ext>
            </c:extLst>
          </c:dPt>
          <c:dPt>
            <c:idx val="6"/>
            <c:bubble3D val="0"/>
            <c:spPr>
              <a:solidFill>
                <a:srgbClr val="7C9CD6"/>
              </a:solidFill>
            </c:spPr>
            <c:extLst>
              <c:ext xmlns:c16="http://schemas.microsoft.com/office/drawing/2014/chart" uri="{C3380CC4-5D6E-409C-BE32-E72D297353CC}">
                <c16:uniqueId val="{0000000D-1520-4097-8E2D-9A3F4C79224A}"/>
              </c:ext>
            </c:extLst>
          </c:dPt>
          <c:dPt>
            <c:idx val="7"/>
            <c:bubble3D val="0"/>
            <c:spPr>
              <a:solidFill>
                <a:srgbClr val="F2A46F"/>
              </a:solidFill>
            </c:spPr>
            <c:extLst>
              <c:ext xmlns:c16="http://schemas.microsoft.com/office/drawing/2014/chart" uri="{C3380CC4-5D6E-409C-BE32-E72D297353CC}">
                <c16:uniqueId val="{0000000F-1520-4097-8E2D-9A3F4C79224A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</c:spPr>
            <c:extLst>
              <c:ext xmlns:c16="http://schemas.microsoft.com/office/drawing/2014/chart" uri="{C3380CC4-5D6E-409C-BE32-E72D297353CC}">
                <c16:uniqueId val="{00000011-1520-4097-8E2D-9A3F4C79224A}"/>
              </c:ext>
            </c:extLst>
          </c:dPt>
          <c:dPt>
            <c:idx val="9"/>
            <c:bubble3D val="0"/>
            <c:spPr>
              <a:solidFill>
                <a:srgbClr val="FFD34D"/>
              </a:solidFill>
            </c:spPr>
            <c:extLst>
              <c:ext xmlns:c16="http://schemas.microsoft.com/office/drawing/2014/chart" uri="{C3380CC4-5D6E-409C-BE32-E72D297353CC}">
                <c16:uniqueId val="{00000013-1520-4097-8E2D-9A3F4C79224A}"/>
              </c:ext>
            </c:extLst>
          </c:dPt>
          <c:cat>
            <c:strRef>
              <c:f>'Housing Finance Companies'!$B$6:$B$15</c:f>
              <c:strCache>
                <c:ptCount val="10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  <c:pt idx="9">
                  <c:v>OTHER_11</c:v>
                </c:pt>
              </c:strCache>
            </c:strRef>
          </c:cat>
          <c:val>
            <c:numRef>
              <c:f>'Housing Finance Companies'!$C$6:$C$15</c:f>
              <c:numCache>
                <c:formatCode>0</c:formatCode>
                <c:ptCount val="10"/>
                <c:pt idx="0">
                  <c:v>131034.7635536</c:v>
                </c:pt>
                <c:pt idx="1">
                  <c:v>37320.99</c:v>
                </c:pt>
                <c:pt idx="2">
                  <c:v>25151.773766499999</c:v>
                </c:pt>
                <c:pt idx="3">
                  <c:v>20984.169622500001</c:v>
                </c:pt>
                <c:pt idx="4">
                  <c:v>18230.771799999999</c:v>
                </c:pt>
                <c:pt idx="5">
                  <c:v>14413.005256500001</c:v>
                </c:pt>
                <c:pt idx="6">
                  <c:v>11818.76</c:v>
                </c:pt>
                <c:pt idx="7">
                  <c:v>11764.161714899999</c:v>
                </c:pt>
                <c:pt idx="8">
                  <c:v>10806.703292300001</c:v>
                </c:pt>
                <c:pt idx="9" formatCode="General">
                  <c:v>14164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520-4097-8E2D-9A3F4C792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AUM_FY24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'Housing Finance Companies'!$G$5</c:f>
              <c:strCache>
                <c:ptCount val="1"/>
                <c:pt idx="0">
                  <c:v>AUM_FY24</c:v>
                </c:pt>
              </c:strCache>
            </c:strRef>
          </c:tx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4E19-4AC5-A037-5DD468895D12}"/>
              </c:ext>
            </c:extLst>
          </c:dPt>
          <c:dPt>
            <c:idx val="1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03-4E19-4AC5-A037-5DD468895D12}"/>
              </c:ext>
            </c:extLst>
          </c:dPt>
          <c:dPt>
            <c:idx val="2"/>
            <c:bubble3D val="0"/>
            <c:spPr>
              <a:solidFill>
                <a:srgbClr val="A5A5A5"/>
              </a:solidFill>
            </c:spPr>
            <c:extLst>
              <c:ext xmlns:c16="http://schemas.microsoft.com/office/drawing/2014/chart" uri="{C3380CC4-5D6E-409C-BE32-E72D297353CC}">
                <c16:uniqueId val="{00000005-4E19-4AC5-A037-5DD468895D12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7-4E19-4AC5-A037-5DD468895D12}"/>
              </c:ext>
            </c:extLst>
          </c:dPt>
          <c:dPt>
            <c:idx val="4"/>
            <c:bubble3D val="0"/>
            <c:spPr>
              <a:solidFill>
                <a:srgbClr val="5B9BD5"/>
              </a:solidFill>
            </c:spPr>
            <c:extLst>
              <c:ext xmlns:c16="http://schemas.microsoft.com/office/drawing/2014/chart" uri="{C3380CC4-5D6E-409C-BE32-E72D297353CC}">
                <c16:uniqueId val="{00000009-4E19-4AC5-A037-5DD468895D12}"/>
              </c:ext>
            </c:extLst>
          </c:dPt>
          <c:dPt>
            <c:idx val="5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B-4E19-4AC5-A037-5DD468895D12}"/>
              </c:ext>
            </c:extLst>
          </c:dPt>
          <c:cat>
            <c:strRef>
              <c:f>'Housing Finance Companies'!$F$6:$F$11</c:f>
              <c:strCache>
                <c:ptCount val="6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</c:strCache>
            </c:strRef>
          </c:cat>
          <c:val>
            <c:numRef>
              <c:f>'Housing Finance Companies'!$G$6:$G$11</c:f>
              <c:numCache>
                <c:formatCode>General</c:formatCode>
                <c:ptCount val="6"/>
                <c:pt idx="0">
                  <c:v>91370</c:v>
                </c:pt>
                <c:pt idx="1">
                  <c:v>286800</c:v>
                </c:pt>
                <c:pt idx="2">
                  <c:v>71240</c:v>
                </c:pt>
                <c:pt idx="3">
                  <c:v>21100</c:v>
                </c:pt>
                <c:pt idx="4">
                  <c:v>6760</c:v>
                </c:pt>
                <c:pt idx="5">
                  <c:v>17310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E19-4AC5-A037-5DD468895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Sales_fy24 and PROFIT 2024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'Housing Finance Companies'!$K$5</c:f>
              <c:strCache>
                <c:ptCount val="1"/>
                <c:pt idx="0">
                  <c:v>Sales_fy24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Companies'!$J$6:$J$14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Companies'!$K$6:$K$14</c:f>
              <c:numCache>
                <c:formatCode>General</c:formatCode>
                <c:ptCount val="9"/>
                <c:pt idx="0">
                  <c:v>7617</c:v>
                </c:pt>
                <c:pt idx="1">
                  <c:v>27067</c:v>
                </c:pt>
                <c:pt idx="2">
                  <c:v>7050</c:v>
                </c:pt>
                <c:pt idx="3">
                  <c:v>2587</c:v>
                </c:pt>
                <c:pt idx="4">
                  <c:v>1037</c:v>
                </c:pt>
                <c:pt idx="5">
                  <c:v>2018</c:v>
                </c:pt>
                <c:pt idx="6">
                  <c:v>8579</c:v>
                </c:pt>
                <c:pt idx="7">
                  <c:v>3525</c:v>
                </c:pt>
                <c:pt idx="8">
                  <c:v>1137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E56-4E95-9FE9-3CB552EE3390}"/>
            </c:ext>
          </c:extLst>
        </c:ser>
        <c:ser>
          <c:idx val="1"/>
          <c:order val="1"/>
          <c:tx>
            <c:strRef>
              <c:f>'Housing Finance Companies'!$L$5</c:f>
              <c:strCache>
                <c:ptCount val="1"/>
                <c:pt idx="0">
                  <c:v>PROFIT 2024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Companies'!$J$6:$J$14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Companies'!$L$6:$L$14</c:f>
              <c:numCache>
                <c:formatCode>General</c:formatCode>
                <c:ptCount val="9"/>
                <c:pt idx="0">
                  <c:v>1731</c:v>
                </c:pt>
                <c:pt idx="1">
                  <c:v>4760</c:v>
                </c:pt>
                <c:pt idx="2">
                  <c:v>1508</c:v>
                </c:pt>
                <c:pt idx="3">
                  <c:v>750</c:v>
                </c:pt>
                <c:pt idx="4">
                  <c:v>480</c:v>
                </c:pt>
                <c:pt idx="5">
                  <c:v>491</c:v>
                </c:pt>
                <c:pt idx="6">
                  <c:v>1214</c:v>
                </c:pt>
                <c:pt idx="7">
                  <c:v>751</c:v>
                </c:pt>
                <c:pt idx="8">
                  <c:v>305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E56-4E95-9FE9-3CB552EE3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082959"/>
        <c:axId val="1452977695"/>
      </c:barChart>
      <c:catAx>
        <c:axId val="4090829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52977695"/>
        <c:crosses val="autoZero"/>
        <c:auto val="1"/>
        <c:lblAlgn val="ctr"/>
        <c:lblOffset val="100"/>
        <c:noMultiLvlLbl val="1"/>
      </c:catAx>
      <c:valAx>
        <c:axId val="145297769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0908295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 %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'Housing Finance Companies'!$C$33</c:f>
              <c:strCache>
                <c:ptCount val="1"/>
                <c:pt idx="0">
                  <c:v>MARGIN %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4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A3-499E-B7A8-38919981AE98}"/>
              </c:ext>
            </c:extLst>
          </c:dPt>
          <c:dPt>
            <c:idx val="6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A3-499E-B7A8-38919981AE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Companies'!$B$34:$B$42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Companies'!$C$34:$C$42</c:f>
              <c:numCache>
                <c:formatCode>0.0%</c:formatCode>
                <c:ptCount val="9"/>
                <c:pt idx="0">
                  <c:v>0.22725482473414729</c:v>
                </c:pt>
                <c:pt idx="1">
                  <c:v>0.17585990320316253</c:v>
                </c:pt>
                <c:pt idx="2">
                  <c:v>0.21390070921985815</c:v>
                </c:pt>
                <c:pt idx="3">
                  <c:v>0.28991109393119441</c:v>
                </c:pt>
                <c:pt idx="4">
                  <c:v>0.46287367405978785</c:v>
                </c:pt>
                <c:pt idx="5">
                  <c:v>0.24331020812685827</c:v>
                </c:pt>
                <c:pt idx="6">
                  <c:v>0.14150833430469753</c:v>
                </c:pt>
                <c:pt idx="7">
                  <c:v>0.21304964539007093</c:v>
                </c:pt>
                <c:pt idx="8">
                  <c:v>0.26824978012313105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2A3-499E-B7A8-38919981A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707692"/>
        <c:axId val="1414896578"/>
      </c:barChart>
      <c:catAx>
        <c:axId val="5917076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14896578"/>
        <c:crosses val="autoZero"/>
        <c:auto val="1"/>
        <c:lblAlgn val="ctr"/>
        <c:lblOffset val="100"/>
        <c:noMultiLvlLbl val="1"/>
      </c:catAx>
      <c:valAx>
        <c:axId val="141489657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MARGIN %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17076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GROWTH 4Y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'Housing Finance Companies'!$G$33</c:f>
              <c:strCache>
                <c:ptCount val="1"/>
                <c:pt idx="0">
                  <c:v>GROWTH 4Y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5DE-4CD2-B0C9-5C3152568F8A}"/>
              </c:ext>
            </c:extLst>
          </c:dPt>
          <c:dPt>
            <c:idx val="2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5DE-4CD2-B0C9-5C3152568F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Companies'!$F$34:$F$42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Companies'!$G$34:$G$42</c:f>
              <c:numCache>
                <c:formatCode>0.0%</c:formatCode>
                <c:ptCount val="9"/>
                <c:pt idx="0">
                  <c:v>0.30299999999999999</c:v>
                </c:pt>
                <c:pt idx="1">
                  <c:v>8.4000000000000005E-2</c:v>
                </c:pt>
                <c:pt idx="2">
                  <c:v>-4.5999999999999999E-2</c:v>
                </c:pt>
                <c:pt idx="3">
                  <c:v>0.16500000000000001</c:v>
                </c:pt>
                <c:pt idx="4">
                  <c:v>0.253</c:v>
                </c:pt>
                <c:pt idx="5">
                  <c:v>0.223</c:v>
                </c:pt>
                <c:pt idx="7">
                  <c:v>0.14799999999999999</c:v>
                </c:pt>
                <c:pt idx="8">
                  <c:v>0.28799999999999998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95DE-4CD2-B0C9-5C3152568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985900"/>
        <c:axId val="837715758"/>
      </c:barChart>
      <c:catAx>
        <c:axId val="3969859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7715758"/>
        <c:crosses val="autoZero"/>
        <c:auto val="1"/>
        <c:lblAlgn val="ctr"/>
        <c:lblOffset val="100"/>
        <c:noMultiLvlLbl val="1"/>
      </c:catAx>
      <c:valAx>
        <c:axId val="8377157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GROWTH 4Y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96985900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GNPA% vs Security Name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'Housing Finance Companies'!$K$33</c:f>
              <c:strCache>
                <c:ptCount val="1"/>
                <c:pt idx="0">
                  <c:v>GNPA%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274E13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016-4430-85A7-32301AFFFB21}"/>
              </c:ext>
            </c:extLst>
          </c:dPt>
          <c:dPt>
            <c:idx val="1"/>
            <c:invertIfNegative val="1"/>
            <c:bubble3D val="0"/>
            <c:spPr>
              <a:solidFill>
                <a:srgbClr val="FF0000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016-4430-85A7-32301AFFF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'Housing Finance Companies'!$J$34:$J$42</c:f>
              <c:strCache>
                <c:ptCount val="9"/>
                <c:pt idx="0">
                  <c:v>BAJAJHFL</c:v>
                </c:pt>
                <c:pt idx="1">
                  <c:v>LICHSGFIN</c:v>
                </c:pt>
                <c:pt idx="2">
                  <c:v>PNBHOUSING</c:v>
                </c:pt>
                <c:pt idx="3">
                  <c:v>AADHARHFC</c:v>
                </c:pt>
                <c:pt idx="4">
                  <c:v>APTUS</c:v>
                </c:pt>
                <c:pt idx="5">
                  <c:v>AAVAS</c:v>
                </c:pt>
                <c:pt idx="6">
                  <c:v>SAMMAANCAP</c:v>
                </c:pt>
                <c:pt idx="7">
                  <c:v>CANFINHOME</c:v>
                </c:pt>
                <c:pt idx="8">
                  <c:v>HOMEFIRST</c:v>
                </c:pt>
              </c:strCache>
            </c:strRef>
          </c:cat>
          <c:val>
            <c:numRef>
              <c:f>'Housing Finance Companies'!$K$34:$K$42</c:f>
              <c:numCache>
                <c:formatCode>0.00%</c:formatCode>
                <c:ptCount val="9"/>
                <c:pt idx="0">
                  <c:v>2.7000000000000001E-3</c:v>
                </c:pt>
                <c:pt idx="1">
                  <c:v>3.3099999999999997E-2</c:v>
                </c:pt>
                <c:pt idx="2">
                  <c:v>1.4999999999999999E-2</c:v>
                </c:pt>
                <c:pt idx="3">
                  <c:v>1.0999999999999999E-2</c:v>
                </c:pt>
                <c:pt idx="4">
                  <c:v>1.0699999999999999E-2</c:v>
                </c:pt>
                <c:pt idx="5">
                  <c:v>9.4000000000000004E-3</c:v>
                </c:pt>
                <c:pt idx="7">
                  <c:v>8.2000000000000007E-3</c:v>
                </c:pt>
                <c:pt idx="8">
                  <c:v>1.7000000000000001E-2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016-4430-85A7-32301AFFF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270789"/>
        <c:axId val="1417213369"/>
      </c:barChart>
      <c:catAx>
        <c:axId val="13782707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Security Name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17213369"/>
        <c:crosses val="autoZero"/>
        <c:auto val="1"/>
        <c:lblAlgn val="ctr"/>
        <c:lblOffset val="100"/>
        <c:noMultiLvlLbl val="1"/>
      </c:catAx>
      <c:valAx>
        <c:axId val="14172133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GNPA%</a:t>
                </a:r>
              </a:p>
            </c:rich>
          </c:tx>
          <c:overlay val="0"/>
        </c:title>
        <c:numFmt formatCode="0.0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782707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123825</xdr:colOff>
      <xdr:row>65</xdr:row>
      <xdr:rowOff>57150</xdr:rowOff>
    </xdr:from>
    <xdr:ext cx="9086850" cy="38576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32</xdr:row>
      <xdr:rowOff>85725</xdr:rowOff>
    </xdr:from>
    <xdr:ext cx="6248400" cy="25812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17</xdr:row>
      <xdr:rowOff>123825</xdr:rowOff>
    </xdr:from>
    <xdr:ext cx="4057650" cy="25050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400050</xdr:colOff>
      <xdr:row>17</xdr:row>
      <xdr:rowOff>123825</xdr:rowOff>
    </xdr:from>
    <xdr:ext cx="4057650" cy="25050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8</xdr:col>
      <xdr:colOff>619125</xdr:colOff>
      <xdr:row>17</xdr:row>
      <xdr:rowOff>123825</xdr:rowOff>
    </xdr:from>
    <xdr:ext cx="4057650" cy="2505075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180975</xdr:colOff>
      <xdr:row>44</xdr:row>
      <xdr:rowOff>95250</xdr:rowOff>
    </xdr:from>
    <xdr:ext cx="4114800" cy="250507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4</xdr:col>
      <xdr:colOff>457200</xdr:colOff>
      <xdr:row>44</xdr:row>
      <xdr:rowOff>95250</xdr:rowOff>
    </xdr:from>
    <xdr:ext cx="4057650" cy="250507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8</xdr:col>
      <xdr:colOff>676275</xdr:colOff>
      <xdr:row>44</xdr:row>
      <xdr:rowOff>95250</xdr:rowOff>
    </xdr:from>
    <xdr:ext cx="4057650" cy="250507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11"/>
  <sheetViews>
    <sheetView showGridLines="0" tabSelected="1" workbookViewId="0"/>
  </sheetViews>
  <sheetFormatPr defaultColWidth="14.44140625" defaultRowHeight="15.75" customHeight="1" x14ac:dyDescent="0.3"/>
  <cols>
    <col min="1" max="1" width="4.88671875" customWidth="1"/>
    <col min="2" max="2" width="16.109375" customWidth="1"/>
    <col min="3" max="3" width="11.6640625" customWidth="1"/>
    <col min="4" max="4" width="8.5546875" customWidth="1"/>
    <col min="5" max="5" width="8.6640625" customWidth="1"/>
    <col min="6" max="6" width="10.44140625" customWidth="1"/>
    <col min="7" max="7" width="16.33203125" customWidth="1"/>
    <col min="8" max="8" width="8.6640625" customWidth="1"/>
    <col min="9" max="9" width="10.33203125" customWidth="1"/>
    <col min="10" max="10" width="14.44140625" customWidth="1"/>
    <col min="11" max="11" width="12.44140625" customWidth="1"/>
    <col min="12" max="12" width="9.88671875" customWidth="1"/>
    <col min="13" max="14" width="10" customWidth="1"/>
    <col min="15" max="15" width="10.33203125" customWidth="1"/>
    <col min="16" max="16" width="11.6640625" customWidth="1"/>
    <col min="17" max="17" width="12.88671875" customWidth="1"/>
    <col min="18" max="18" width="7.88671875" customWidth="1"/>
    <col min="19" max="26" width="8.6640625" customWidth="1"/>
  </cols>
  <sheetData>
    <row r="1" spans="1:18" ht="14.25" customHeight="1" x14ac:dyDescent="0.3">
      <c r="A1" s="55"/>
      <c r="B1" s="140" t="s">
        <v>35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56"/>
    </row>
    <row r="2" spans="1:18" ht="14.25" customHeight="1" x14ac:dyDescent="0.3">
      <c r="A2" s="55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56"/>
    </row>
    <row r="3" spans="1:18" ht="14.25" customHeight="1" x14ac:dyDescent="0.3">
      <c r="A3" s="55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56"/>
    </row>
    <row r="4" spans="1:18" ht="14.25" customHeight="1" x14ac:dyDescent="0.3">
      <c r="A4" s="57"/>
      <c r="B4" s="58" t="s">
        <v>36</v>
      </c>
      <c r="C4" s="59"/>
      <c r="D4" s="60"/>
      <c r="E4" s="58" t="s">
        <v>37</v>
      </c>
      <c r="F4" s="60"/>
      <c r="G4" s="58" t="s">
        <v>38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1"/>
    </row>
    <row r="5" spans="1:18" ht="14.25" customHeight="1" x14ac:dyDescent="0.3">
      <c r="A5" s="62"/>
      <c r="B5" s="58" t="s">
        <v>6</v>
      </c>
      <c r="C5" s="63" t="s">
        <v>2</v>
      </c>
      <c r="D5" s="63" t="s">
        <v>39</v>
      </c>
      <c r="E5" s="63" t="s">
        <v>40</v>
      </c>
      <c r="F5" s="63" t="s">
        <v>41</v>
      </c>
      <c r="G5" s="58" t="s">
        <v>42</v>
      </c>
      <c r="H5" s="63" t="s">
        <v>43</v>
      </c>
      <c r="I5" s="63" t="s">
        <v>44</v>
      </c>
      <c r="J5" s="63" t="s">
        <v>45</v>
      </c>
      <c r="K5" s="63" t="s">
        <v>46</v>
      </c>
      <c r="L5" s="63" t="s">
        <v>47</v>
      </c>
      <c r="M5" s="63" t="s">
        <v>48</v>
      </c>
      <c r="N5" s="63" t="s">
        <v>49</v>
      </c>
      <c r="O5" s="63" t="s">
        <v>50</v>
      </c>
      <c r="P5" s="63" t="s">
        <v>51</v>
      </c>
      <c r="Q5" s="63" t="s">
        <v>52</v>
      </c>
      <c r="R5" s="61"/>
    </row>
    <row r="6" spans="1:18" ht="14.25" customHeight="1" x14ac:dyDescent="0.3">
      <c r="A6" s="62"/>
      <c r="B6" s="64" t="s">
        <v>53</v>
      </c>
      <c r="C6" s="65">
        <f ca="1">IFERROR(__xludf.DUMMYFUNCTION("googlefinance(""nse:""&amp;B5,""MARKETCAP"")/10000000"),107807.7167245)</f>
        <v>107807.7167245</v>
      </c>
      <c r="D6" s="65">
        <f ca="1">IFERROR(__xludf.DUMMYFUNCTION("googlefinance(""nse:""&amp;B5,""price"")"),129.91)</f>
        <v>129.91</v>
      </c>
      <c r="E6" s="65">
        <v>8328</v>
      </c>
      <c r="F6" s="65">
        <v>10</v>
      </c>
      <c r="G6" s="66">
        <v>18785</v>
      </c>
      <c r="H6" s="66">
        <v>102569</v>
      </c>
      <c r="I6" s="66">
        <v>43716</v>
      </c>
      <c r="J6" s="66">
        <v>41320</v>
      </c>
      <c r="K6" s="67">
        <f>C19</f>
        <v>112724</v>
      </c>
      <c r="L6" s="67">
        <f>E19</f>
        <v>1853</v>
      </c>
      <c r="M6" s="68">
        <f>G19</f>
        <v>2.5</v>
      </c>
      <c r="N6" s="66">
        <v>88539</v>
      </c>
      <c r="O6" s="66">
        <f>N6-14720</f>
        <v>73819</v>
      </c>
      <c r="P6" s="69">
        <v>2239</v>
      </c>
      <c r="Q6" s="70">
        <v>7.9000000000000001E-2</v>
      </c>
      <c r="R6" s="61"/>
    </row>
    <row r="7" spans="1:18" ht="14.25" customHeight="1" x14ac:dyDescent="0.3">
      <c r="A7" s="71"/>
      <c r="B7" s="72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</row>
    <row r="8" spans="1:18" ht="14.25" customHeight="1" x14ac:dyDescent="0.3">
      <c r="A8" s="62"/>
      <c r="B8" s="63" t="s">
        <v>54</v>
      </c>
      <c r="C8" s="63" t="s">
        <v>55</v>
      </c>
      <c r="D8" s="63" t="s">
        <v>56</v>
      </c>
      <c r="E8" s="63" t="s">
        <v>57</v>
      </c>
      <c r="F8" s="63" t="s">
        <v>19</v>
      </c>
      <c r="G8" s="63" t="s">
        <v>58</v>
      </c>
      <c r="H8" s="63" t="s">
        <v>59</v>
      </c>
      <c r="I8" s="63" t="s">
        <v>60</v>
      </c>
      <c r="J8" s="63" t="s">
        <v>61</v>
      </c>
      <c r="K8" s="63" t="s">
        <v>62</v>
      </c>
      <c r="L8" s="63" t="s">
        <v>63</v>
      </c>
      <c r="M8" s="63" t="s">
        <v>64</v>
      </c>
      <c r="N8" s="63" t="s">
        <v>65</v>
      </c>
      <c r="O8" s="58" t="s">
        <v>66</v>
      </c>
      <c r="P8" s="63" t="s">
        <v>67</v>
      </c>
      <c r="Q8" s="63" t="s">
        <v>68</v>
      </c>
      <c r="R8" s="63" t="s">
        <v>69</v>
      </c>
    </row>
    <row r="9" spans="1:18" ht="14.25" customHeight="1" x14ac:dyDescent="0.3">
      <c r="A9" s="62"/>
      <c r="B9" s="73">
        <f>F19</f>
        <v>0.21908252541972098</v>
      </c>
      <c r="C9" s="73">
        <f>M31</f>
        <v>0.24383879385329088</v>
      </c>
      <c r="D9" s="74">
        <f>M30</f>
        <v>0.26293172443514123</v>
      </c>
      <c r="E9" s="74">
        <f>I6/H6</f>
        <v>0.42621064844153694</v>
      </c>
      <c r="F9" s="75">
        <v>2.8E-3</v>
      </c>
      <c r="G9" s="74"/>
      <c r="H9" s="76"/>
      <c r="I9" s="77"/>
      <c r="J9" s="68">
        <f>(J6)/(G6+E6)</f>
        <v>1.5239921808726442</v>
      </c>
      <c r="K9" s="77">
        <f>L6/N6</f>
        <v>2.0928630321101437E-2</v>
      </c>
      <c r="L9" s="73">
        <f>L6/(G6)</f>
        <v>9.864253393665158E-2</v>
      </c>
      <c r="M9" s="78">
        <f>L6/E6</f>
        <v>0.22250240153698367</v>
      </c>
      <c r="N9" s="65">
        <f ca="1">D6/M6</f>
        <v>51.963999999999999</v>
      </c>
      <c r="O9" s="77">
        <f ca="1">M6/D6</f>
        <v>1.9244092063736434E-2</v>
      </c>
      <c r="P9" s="65">
        <f>G6/(E6/F6)</f>
        <v>22.556436119116235</v>
      </c>
      <c r="Q9" s="65">
        <f ca="1">D6/P9</f>
        <v>5.7593318072930524</v>
      </c>
      <c r="R9" s="68">
        <f ca="1">S22</f>
        <v>1.8558571428571429</v>
      </c>
    </row>
    <row r="10" spans="1:18" ht="14.25" customHeight="1" x14ac:dyDescent="0.3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61"/>
    </row>
    <row r="11" spans="1:18" ht="14.25" customHeight="1" x14ac:dyDescent="0.3">
      <c r="B11" s="63" t="s">
        <v>70</v>
      </c>
      <c r="C11" s="63" t="s">
        <v>71</v>
      </c>
      <c r="D11" s="63" t="s">
        <v>37</v>
      </c>
      <c r="E11" s="63" t="s">
        <v>47</v>
      </c>
      <c r="F11" s="63" t="s">
        <v>17</v>
      </c>
      <c r="G11" s="63" t="s">
        <v>72</v>
      </c>
      <c r="H11" s="58" t="s">
        <v>73</v>
      </c>
      <c r="I11" s="58" t="s">
        <v>74</v>
      </c>
      <c r="J11" s="63" t="s">
        <v>75</v>
      </c>
      <c r="K11" s="58" t="s">
        <v>19</v>
      </c>
      <c r="L11" s="58" t="s">
        <v>76</v>
      </c>
      <c r="M11" s="58" t="s">
        <v>77</v>
      </c>
    </row>
    <row r="12" spans="1:18" ht="14.25" customHeight="1" x14ac:dyDescent="0.3">
      <c r="B12" s="3" t="s">
        <v>78</v>
      </c>
      <c r="C12" s="3">
        <v>3570</v>
      </c>
      <c r="D12" s="3">
        <v>106</v>
      </c>
      <c r="E12" s="3">
        <v>10</v>
      </c>
      <c r="F12" s="81">
        <f t="shared" ref="F12:F19" si="0">E12/D12</f>
        <v>9.4339622641509441E-2</v>
      </c>
      <c r="G12" s="3"/>
      <c r="J12" s="82"/>
      <c r="K12" s="37"/>
    </row>
    <row r="13" spans="1:18" ht="14.25" customHeight="1" x14ac:dyDescent="0.3">
      <c r="B13" s="3" t="s">
        <v>79</v>
      </c>
      <c r="C13" s="3">
        <v>17562</v>
      </c>
      <c r="D13" s="3">
        <v>1526</v>
      </c>
      <c r="E13" s="3">
        <v>110</v>
      </c>
      <c r="F13" s="81">
        <f t="shared" si="0"/>
        <v>7.2083879423328959E-2</v>
      </c>
      <c r="G13" s="3"/>
      <c r="J13" s="82"/>
      <c r="K13" s="37">
        <v>5.0000000000000001E-4</v>
      </c>
    </row>
    <row r="14" spans="1:18" ht="14.25" customHeight="1" x14ac:dyDescent="0.3">
      <c r="B14" s="3" t="s">
        <v>80</v>
      </c>
      <c r="C14" s="3">
        <v>32705</v>
      </c>
      <c r="D14" s="3">
        <v>2646</v>
      </c>
      <c r="E14" s="3">
        <v>421</v>
      </c>
      <c r="F14" s="81">
        <f t="shared" si="0"/>
        <v>0.15910808767951626</v>
      </c>
      <c r="G14" s="83">
        <v>0.86</v>
      </c>
      <c r="J14" s="82">
        <f t="shared" ref="J14:J19" si="1">G14*25</f>
        <v>21.5</v>
      </c>
      <c r="K14" s="37">
        <v>8.0000000000000004E-4</v>
      </c>
    </row>
    <row r="15" spans="1:18" ht="14.25" customHeight="1" x14ac:dyDescent="0.3">
      <c r="B15" s="3" t="s">
        <v>81</v>
      </c>
      <c r="C15" s="3">
        <v>38871</v>
      </c>
      <c r="D15" s="3">
        <v>3155</v>
      </c>
      <c r="E15" s="3">
        <v>453</v>
      </c>
      <c r="F15" s="81">
        <f t="shared" si="0"/>
        <v>0.14358161648177495</v>
      </c>
      <c r="G15" s="83">
        <v>0.93</v>
      </c>
      <c r="J15" s="82">
        <f t="shared" si="1"/>
        <v>23.25</v>
      </c>
      <c r="K15" s="37">
        <v>3.5000000000000001E-3</v>
      </c>
    </row>
    <row r="16" spans="1:18" ht="14.25" customHeight="1" x14ac:dyDescent="0.3">
      <c r="B16" s="3" t="s">
        <v>82</v>
      </c>
      <c r="C16" s="3">
        <v>53320</v>
      </c>
      <c r="D16" s="3">
        <v>3767</v>
      </c>
      <c r="E16" s="3">
        <v>710</v>
      </c>
      <c r="F16" s="81">
        <f t="shared" si="0"/>
        <v>0.18847889567294929</v>
      </c>
      <c r="G16" s="83">
        <v>1.5</v>
      </c>
      <c r="J16" s="82">
        <f t="shared" si="1"/>
        <v>37.5</v>
      </c>
      <c r="K16" s="37">
        <v>3.0999999999999999E-3</v>
      </c>
    </row>
    <row r="17" spans="2:23" ht="14.25" customHeight="1" x14ac:dyDescent="0.3">
      <c r="B17" s="3" t="s">
        <v>83</v>
      </c>
      <c r="C17" s="3">
        <v>69230</v>
      </c>
      <c r="D17" s="3">
        <v>5665</v>
      </c>
      <c r="E17" s="3">
        <v>1258</v>
      </c>
      <c r="F17" s="81">
        <f t="shared" si="0"/>
        <v>0.22206531332744925</v>
      </c>
      <c r="G17" s="83">
        <v>1.9</v>
      </c>
      <c r="J17" s="82">
        <f t="shared" si="1"/>
        <v>47.5</v>
      </c>
      <c r="K17" s="37">
        <v>2.2000000000000001E-3</v>
      </c>
    </row>
    <row r="18" spans="2:23" ht="14.25" customHeight="1" x14ac:dyDescent="0.3">
      <c r="B18" s="3" t="s">
        <v>84</v>
      </c>
      <c r="C18" s="3">
        <v>91370</v>
      </c>
      <c r="D18" s="3">
        <v>7617</v>
      </c>
      <c r="E18" s="3">
        <v>1731</v>
      </c>
      <c r="F18" s="81">
        <f t="shared" si="0"/>
        <v>0.22725482473414729</v>
      </c>
      <c r="G18" s="83">
        <v>2.6</v>
      </c>
      <c r="J18" s="82">
        <f t="shared" si="1"/>
        <v>65</v>
      </c>
      <c r="K18" s="37">
        <v>2.7000000000000001E-3</v>
      </c>
    </row>
    <row r="19" spans="2:23" ht="14.25" customHeight="1" x14ac:dyDescent="0.3">
      <c r="B19" s="30" t="s">
        <v>85</v>
      </c>
      <c r="C19" s="30">
        <f>C18+K30-L30</f>
        <v>112724</v>
      </c>
      <c r="D19" s="30">
        <f>D18+K31-L31</f>
        <v>8458</v>
      </c>
      <c r="E19" s="30">
        <f>E18+K34-L34</f>
        <v>1853</v>
      </c>
      <c r="F19" s="84">
        <f t="shared" si="0"/>
        <v>0.21908252541972098</v>
      </c>
      <c r="G19" s="85">
        <f>G18+0.6-0.7</f>
        <v>2.5</v>
      </c>
      <c r="H19" s="30">
        <v>189</v>
      </c>
      <c r="I19" s="30">
        <v>146</v>
      </c>
      <c r="J19" s="86">
        <f t="shared" si="1"/>
        <v>62.5</v>
      </c>
      <c r="K19" s="87">
        <v>2.8E-3</v>
      </c>
      <c r="L19" s="88">
        <f>H19/G19</f>
        <v>75.599999999999994</v>
      </c>
      <c r="M19" s="88">
        <f>I19/G19</f>
        <v>58.4</v>
      </c>
    </row>
    <row r="20" spans="2:23" ht="14.25" customHeight="1" x14ac:dyDescent="0.3"/>
    <row r="21" spans="2:23" ht="14.25" customHeight="1" x14ac:dyDescent="0.3">
      <c r="B21" s="63" t="s">
        <v>70</v>
      </c>
      <c r="C21" s="63" t="s">
        <v>71</v>
      </c>
      <c r="D21" s="63" t="s">
        <v>37</v>
      </c>
      <c r="E21" s="63" t="s">
        <v>47</v>
      </c>
      <c r="F21" s="63" t="s">
        <v>17</v>
      </c>
      <c r="G21" s="63" t="s">
        <v>72</v>
      </c>
      <c r="I21" s="89" t="s">
        <v>70</v>
      </c>
      <c r="J21" s="89"/>
      <c r="K21" s="89" t="s">
        <v>84</v>
      </c>
      <c r="L21" s="89" t="s">
        <v>86</v>
      </c>
      <c r="M21" s="89" t="s">
        <v>87</v>
      </c>
      <c r="N21" s="89" t="s">
        <v>88</v>
      </c>
      <c r="P21" s="90" t="s">
        <v>89</v>
      </c>
      <c r="Q21" s="90" t="s">
        <v>48</v>
      </c>
      <c r="R21" s="90" t="s">
        <v>90</v>
      </c>
      <c r="S21" s="91" t="s">
        <v>91</v>
      </c>
    </row>
    <row r="22" spans="2:23" ht="14.25" customHeight="1" x14ac:dyDescent="0.3">
      <c r="B22" s="3" t="s">
        <v>92</v>
      </c>
      <c r="D22" s="37">
        <f t="shared" ref="D22:E22" si="2">(D18/D14)^(1/4)-1</f>
        <v>0.30256237402319419</v>
      </c>
      <c r="E22" s="37">
        <f t="shared" si="2"/>
        <v>0.42397951930163358</v>
      </c>
      <c r="F22" s="36">
        <f>MEDIAN(F14:F19)</f>
        <v>0.20378071054633512</v>
      </c>
      <c r="G22" s="37">
        <f>(G18/G14)^(1/4)-1</f>
        <v>0.31861716300065024</v>
      </c>
      <c r="I22" s="92" t="s">
        <v>46</v>
      </c>
      <c r="J22" s="93"/>
      <c r="K22" s="94">
        <f>(D18/D17)-1</f>
        <v>0.34457193292144739</v>
      </c>
      <c r="L22" s="95">
        <v>0.25</v>
      </c>
      <c r="M22" s="96">
        <v>0.24</v>
      </c>
      <c r="N22" s="97">
        <v>0.25</v>
      </c>
      <c r="P22" s="98">
        <v>2.58</v>
      </c>
      <c r="Q22" s="99">
        <v>2.5</v>
      </c>
      <c r="R22" s="100">
        <v>3.5</v>
      </c>
      <c r="S22" s="142">
        <f ca="1">R24/20</f>
        <v>1.8558571428571429</v>
      </c>
    </row>
    <row r="23" spans="2:23" ht="14.25" customHeight="1" x14ac:dyDescent="0.3">
      <c r="B23" s="30" t="s">
        <v>93</v>
      </c>
      <c r="C23" s="47">
        <f t="shared" ref="C23:E23" si="3">(C18/C17)-1</f>
        <v>0.31980355337281519</v>
      </c>
      <c r="D23" s="47">
        <f t="shared" si="3"/>
        <v>0.34457193292144739</v>
      </c>
      <c r="E23" s="47">
        <f t="shared" si="3"/>
        <v>0.37599364069952301</v>
      </c>
      <c r="F23" s="46">
        <f>F18</f>
        <v>0.22725482473414729</v>
      </c>
      <c r="G23" s="47">
        <f>(G18/G17)-1</f>
        <v>0.36842105263157898</v>
      </c>
      <c r="I23" s="92" t="s">
        <v>47</v>
      </c>
      <c r="J23" s="93"/>
      <c r="K23" s="101">
        <f>(E18/E17)-1</f>
        <v>0.37599364069952301</v>
      </c>
      <c r="L23" s="96">
        <v>0.05</v>
      </c>
      <c r="M23" s="102">
        <v>0.13</v>
      </c>
      <c r="N23" s="97">
        <v>0.36</v>
      </c>
      <c r="P23" s="90" t="s">
        <v>94</v>
      </c>
      <c r="Q23" s="90" t="s">
        <v>95</v>
      </c>
      <c r="R23" s="103" t="s">
        <v>96</v>
      </c>
      <c r="S23" s="143"/>
    </row>
    <row r="24" spans="2:23" ht="14.25" customHeight="1" x14ac:dyDescent="0.3">
      <c r="I24" s="104" t="s">
        <v>54</v>
      </c>
      <c r="J24" s="105"/>
      <c r="K24" s="106">
        <f>E18/D18</f>
        <v>0.22725482473414729</v>
      </c>
      <c r="L24" s="107">
        <v>0.219</v>
      </c>
      <c r="M24" s="108">
        <v>0.24099999999999999</v>
      </c>
      <c r="N24" s="109">
        <v>0.248</v>
      </c>
      <c r="P24" s="110"/>
      <c r="Q24" s="111">
        <f t="shared" ref="Q24:R24" ca="1" si="4">$D$6/Q22</f>
        <v>51.963999999999999</v>
      </c>
      <c r="R24" s="111">
        <f t="shared" ca="1" si="4"/>
        <v>37.117142857142859</v>
      </c>
      <c r="S24" s="144"/>
    </row>
    <row r="25" spans="2:23" ht="14.25" customHeight="1" x14ac:dyDescent="0.3">
      <c r="B25" s="63" t="s">
        <v>70</v>
      </c>
      <c r="C25" s="63" t="s">
        <v>71</v>
      </c>
      <c r="D25" s="63" t="s">
        <v>37</v>
      </c>
      <c r="E25" s="63" t="s">
        <v>47</v>
      </c>
      <c r="F25" s="63" t="s">
        <v>17</v>
      </c>
      <c r="G25" s="63" t="s">
        <v>72</v>
      </c>
    </row>
    <row r="26" spans="2:23" ht="14.25" customHeight="1" x14ac:dyDescent="0.3">
      <c r="B26" s="3" t="s">
        <v>97</v>
      </c>
      <c r="C26" s="112">
        <v>0.15</v>
      </c>
      <c r="D26" s="112">
        <v>0.15</v>
      </c>
      <c r="E26" s="112">
        <v>0.15</v>
      </c>
      <c r="F26" s="36">
        <v>0.22</v>
      </c>
      <c r="G26" s="112">
        <v>0.15</v>
      </c>
      <c r="I26" s="89" t="s">
        <v>98</v>
      </c>
      <c r="J26" s="89" t="s">
        <v>99</v>
      </c>
      <c r="K26" s="89" t="s">
        <v>100</v>
      </c>
      <c r="L26" s="89" t="s">
        <v>101</v>
      </c>
      <c r="M26" s="89" t="s">
        <v>102</v>
      </c>
      <c r="N26" s="89" t="s">
        <v>48</v>
      </c>
    </row>
    <row r="27" spans="2:23" ht="14.25" customHeight="1" x14ac:dyDescent="0.3">
      <c r="B27" s="3" t="s">
        <v>103</v>
      </c>
      <c r="C27" s="112">
        <v>0.3</v>
      </c>
      <c r="D27" s="112">
        <v>0.25</v>
      </c>
      <c r="E27" s="112">
        <f>(E30/E18)-1</f>
        <v>0.36410745233968811</v>
      </c>
      <c r="F27" s="36">
        <v>0.248</v>
      </c>
      <c r="G27" s="112">
        <v>0.3</v>
      </c>
      <c r="I27" s="89" t="s">
        <v>72</v>
      </c>
      <c r="J27" s="113">
        <v>0.67</v>
      </c>
      <c r="K27" s="114">
        <v>0.56999999999999995</v>
      </c>
      <c r="L27" s="113">
        <v>0.62</v>
      </c>
      <c r="M27" s="114">
        <v>0.66</v>
      </c>
      <c r="N27" s="115">
        <f>SUM(J27:M27)</f>
        <v>2.52</v>
      </c>
    </row>
    <row r="28" spans="2:23" ht="14.25" customHeight="1" x14ac:dyDescent="0.3"/>
    <row r="29" spans="2:23" ht="14.25" customHeight="1" x14ac:dyDescent="0.3">
      <c r="B29" s="63" t="s">
        <v>70</v>
      </c>
      <c r="C29" s="63" t="s">
        <v>71</v>
      </c>
      <c r="D29" s="63" t="s">
        <v>37</v>
      </c>
      <c r="E29" s="63" t="s">
        <v>47</v>
      </c>
      <c r="F29" s="63" t="s">
        <v>17</v>
      </c>
      <c r="G29" s="63" t="s">
        <v>72</v>
      </c>
      <c r="H29" s="63" t="s">
        <v>75</v>
      </c>
      <c r="J29" s="63" t="s">
        <v>104</v>
      </c>
      <c r="K29" s="58" t="s">
        <v>87</v>
      </c>
      <c r="L29" s="58" t="s">
        <v>105</v>
      </c>
      <c r="M29" s="63" t="s">
        <v>106</v>
      </c>
      <c r="O29" s="63" t="s">
        <v>104</v>
      </c>
      <c r="P29" s="58" t="s">
        <v>107</v>
      </c>
      <c r="Q29" s="58" t="s">
        <v>108</v>
      </c>
      <c r="R29" s="63" t="s">
        <v>106</v>
      </c>
      <c r="T29" s="63" t="s">
        <v>104</v>
      </c>
      <c r="U29" s="63" t="s">
        <v>86</v>
      </c>
      <c r="V29" s="63" t="s">
        <v>109</v>
      </c>
      <c r="W29" s="63" t="s">
        <v>106</v>
      </c>
    </row>
    <row r="30" spans="2:23" ht="14.25" customHeight="1" x14ac:dyDescent="0.3">
      <c r="B30" s="3" t="s">
        <v>110</v>
      </c>
      <c r="C30" s="116">
        <f t="shared" ref="C30:D30" si="5">FV(C27,1,0,-C18,0)</f>
        <v>118781</v>
      </c>
      <c r="D30" s="116">
        <f t="shared" si="5"/>
        <v>9521.25</v>
      </c>
      <c r="E30" s="116">
        <f t="shared" ref="E30:E31" si="6">D30*F30</f>
        <v>2361.27</v>
      </c>
      <c r="F30" s="81">
        <v>0.248</v>
      </c>
      <c r="G30" s="117">
        <f>FV(G27,1,0,-G18,0)</f>
        <v>3.3800000000000003</v>
      </c>
      <c r="H30" s="82">
        <f t="shared" ref="H30:H32" si="7">G30*25</f>
        <v>84.500000000000014</v>
      </c>
      <c r="J30" s="64" t="s">
        <v>43</v>
      </c>
      <c r="K30" s="66">
        <v>102569</v>
      </c>
      <c r="L30" s="66">
        <v>81215</v>
      </c>
      <c r="M30" s="118">
        <f t="shared" ref="M30:M35" si="8">(K30/L30)^(1/1)-1</f>
        <v>0.26293172443514123</v>
      </c>
      <c r="O30" s="64" t="s">
        <v>43</v>
      </c>
      <c r="P30" s="66">
        <v>102569</v>
      </c>
      <c r="Q30" s="66">
        <v>81215</v>
      </c>
      <c r="R30" s="118">
        <f t="shared" ref="R30:R35" si="9">(P30/Q30)^(1/1)-1</f>
        <v>0.26293172443514123</v>
      </c>
      <c r="T30" s="64" t="s">
        <v>43</v>
      </c>
      <c r="U30" s="66">
        <v>97071</v>
      </c>
      <c r="V30" s="66">
        <v>74124</v>
      </c>
      <c r="W30" s="118">
        <f t="shared" ref="W30:W35" si="10">(U30/V30)^(1/1)-1</f>
        <v>0.30957584587987697</v>
      </c>
    </row>
    <row r="31" spans="2:23" ht="14.25" customHeight="1" x14ac:dyDescent="0.3">
      <c r="B31" s="3" t="s">
        <v>111</v>
      </c>
      <c r="C31" s="116">
        <f t="shared" ref="C31:D31" si="11">FV(15%,5,0,-C30,0)</f>
        <v>238911.01808843741</v>
      </c>
      <c r="D31" s="116">
        <f t="shared" si="11"/>
        <v>19150.634621484369</v>
      </c>
      <c r="E31" s="116">
        <f t="shared" si="6"/>
        <v>4213.1396167265611</v>
      </c>
      <c r="F31" s="81">
        <v>0.22</v>
      </c>
      <c r="G31" s="117">
        <f>(E31*G30)/E30</f>
        <v>6.0308274380040308</v>
      </c>
      <c r="H31" s="82">
        <f t="shared" si="7"/>
        <v>150.77068595010076</v>
      </c>
      <c r="J31" s="64" t="s">
        <v>46</v>
      </c>
      <c r="K31" s="66">
        <v>4290</v>
      </c>
      <c r="L31" s="66">
        <v>3449</v>
      </c>
      <c r="M31" s="119">
        <f t="shared" si="8"/>
        <v>0.24383879385329088</v>
      </c>
      <c r="O31" s="64" t="s">
        <v>46</v>
      </c>
      <c r="P31" s="66">
        <v>2227</v>
      </c>
      <c r="Q31" s="66">
        <v>1782</v>
      </c>
      <c r="R31" s="119">
        <f t="shared" si="9"/>
        <v>0.24971941638608297</v>
      </c>
      <c r="T31" s="64" t="s">
        <v>46</v>
      </c>
      <c r="U31" s="66">
        <v>2209</v>
      </c>
      <c r="V31" s="66">
        <v>1763</v>
      </c>
      <c r="W31" s="119">
        <f t="shared" si="10"/>
        <v>0.25297787861599552</v>
      </c>
    </row>
    <row r="32" spans="2:23" ht="14.25" customHeight="1" x14ac:dyDescent="0.3">
      <c r="B32" s="30" t="s">
        <v>112</v>
      </c>
      <c r="C32" s="120">
        <f t="shared" ref="C32:E32" si="12">FV(15%,5,0,-C31,0)</f>
        <v>480535.39340512094</v>
      </c>
      <c r="D32" s="120">
        <f t="shared" si="12"/>
        <v>38518.766591108913</v>
      </c>
      <c r="E32" s="120">
        <f t="shared" si="12"/>
        <v>8474.1286500439619</v>
      </c>
      <c r="F32" s="84">
        <v>0.22500000000000001</v>
      </c>
      <c r="G32" s="121">
        <f>FV(15%,5,0,-G31,0)</f>
        <v>12.130148114001614</v>
      </c>
      <c r="H32" s="86">
        <f t="shared" si="7"/>
        <v>303.25370285004033</v>
      </c>
      <c r="J32" s="64" t="s">
        <v>113</v>
      </c>
      <c r="K32" s="66">
        <v>3281</v>
      </c>
      <c r="L32" s="66">
        <v>2574</v>
      </c>
      <c r="M32" s="122">
        <f t="shared" si="8"/>
        <v>0.2746697746697746</v>
      </c>
      <c r="O32" s="64" t="s">
        <v>113</v>
      </c>
      <c r="P32" s="66">
        <v>1703</v>
      </c>
      <c r="Q32" s="66">
        <v>1337</v>
      </c>
      <c r="R32" s="122">
        <f t="shared" si="9"/>
        <v>0.27374719521316382</v>
      </c>
      <c r="T32" s="64" t="s">
        <v>113</v>
      </c>
      <c r="U32" s="66">
        <v>1579</v>
      </c>
      <c r="V32" s="66">
        <v>1237</v>
      </c>
      <c r="W32" s="122">
        <f t="shared" si="10"/>
        <v>0.27647534357316084</v>
      </c>
    </row>
    <row r="33" spans="10:23" ht="14.25" customHeight="1" x14ac:dyDescent="0.3">
      <c r="J33" s="64" t="s">
        <v>53</v>
      </c>
      <c r="K33" s="66">
        <v>2912</v>
      </c>
      <c r="L33" s="66">
        <v>2213</v>
      </c>
      <c r="M33" s="123">
        <f t="shared" si="8"/>
        <v>0.31586082241301394</v>
      </c>
      <c r="O33" s="64" t="s">
        <v>53</v>
      </c>
      <c r="P33" s="66">
        <v>1514</v>
      </c>
      <c r="Q33" s="66">
        <v>1151</v>
      </c>
      <c r="R33" s="123">
        <f t="shared" si="9"/>
        <v>0.31537793223284094</v>
      </c>
      <c r="T33" s="64" t="s">
        <v>53</v>
      </c>
      <c r="U33" s="66">
        <v>1399</v>
      </c>
      <c r="V33" s="66">
        <v>1062</v>
      </c>
      <c r="W33" s="123">
        <f t="shared" si="10"/>
        <v>0.31732580037664793</v>
      </c>
    </row>
    <row r="34" spans="10:23" ht="14.25" customHeight="1" x14ac:dyDescent="0.3">
      <c r="J34" s="124" t="s">
        <v>47</v>
      </c>
      <c r="K34" s="125">
        <v>1034</v>
      </c>
      <c r="L34" s="125">
        <v>912</v>
      </c>
      <c r="M34" s="126">
        <f t="shared" si="8"/>
        <v>0.13377192982456143</v>
      </c>
      <c r="O34" s="124" t="s">
        <v>47</v>
      </c>
      <c r="P34" s="125">
        <v>551</v>
      </c>
      <c r="Q34" s="125">
        <v>451</v>
      </c>
      <c r="R34" s="126">
        <f t="shared" si="9"/>
        <v>0.2217294900221729</v>
      </c>
      <c r="T34" s="124" t="s">
        <v>47</v>
      </c>
      <c r="U34" s="125">
        <v>483</v>
      </c>
      <c r="V34" s="125">
        <v>462</v>
      </c>
      <c r="W34" s="126">
        <f t="shared" si="10"/>
        <v>4.5454545454545414E-2</v>
      </c>
    </row>
    <row r="35" spans="10:23" ht="14.25" customHeight="1" x14ac:dyDescent="0.3">
      <c r="J35" s="127" t="s">
        <v>72</v>
      </c>
      <c r="K35" s="128">
        <v>1.31</v>
      </c>
      <c r="L35" s="128">
        <v>1.36</v>
      </c>
      <c r="M35" s="129">
        <f t="shared" si="8"/>
        <v>-3.6764705882352922E-2</v>
      </c>
      <c r="O35" s="127" t="s">
        <v>72</v>
      </c>
      <c r="P35" s="128">
        <v>0.69</v>
      </c>
      <c r="Q35" s="128">
        <v>0.67</v>
      </c>
      <c r="R35" s="129">
        <f t="shared" si="9"/>
        <v>2.9850746268656581E-2</v>
      </c>
      <c r="T35" s="127" t="s">
        <v>72</v>
      </c>
      <c r="U35" s="128">
        <v>0.6</v>
      </c>
      <c r="V35" s="130">
        <v>0.7</v>
      </c>
      <c r="W35" s="129">
        <f t="shared" si="10"/>
        <v>-0.14285714285714279</v>
      </c>
    </row>
    <row r="36" spans="10:23" ht="14.25" customHeight="1" x14ac:dyDescent="0.3">
      <c r="J36" s="127" t="s">
        <v>54</v>
      </c>
      <c r="K36" s="131">
        <f t="shared" ref="K36:L36" si="13">K34/K31</f>
        <v>0.24102564102564103</v>
      </c>
      <c r="L36" s="131">
        <f t="shared" si="13"/>
        <v>0.26442447086111914</v>
      </c>
      <c r="M36" s="77">
        <f t="shared" ref="M36:M37" si="14">K36-L36</f>
        <v>-2.3398829835478113E-2</v>
      </c>
      <c r="O36" s="127" t="s">
        <v>54</v>
      </c>
      <c r="P36" s="131">
        <f t="shared" ref="P36:Q36" si="15">P34/P31</f>
        <v>0.24741805118994162</v>
      </c>
      <c r="Q36" s="131">
        <f t="shared" si="15"/>
        <v>0.25308641975308643</v>
      </c>
      <c r="R36" s="77">
        <f t="shared" ref="R36:R37" si="16">P36-Q36</f>
        <v>-5.6683685631448155E-3</v>
      </c>
      <c r="T36" s="127" t="s">
        <v>54</v>
      </c>
      <c r="U36" s="131">
        <f t="shared" ref="U36:V36" si="17">U34/U31</f>
        <v>0.21865097329108193</v>
      </c>
      <c r="V36" s="131">
        <f t="shared" si="17"/>
        <v>0.26205331820760069</v>
      </c>
      <c r="W36" s="77">
        <f t="shared" ref="W36:W37" si="18">U36-V36</f>
        <v>-4.3402344916518759E-2</v>
      </c>
    </row>
    <row r="37" spans="10:23" ht="14.25" customHeight="1" x14ac:dyDescent="0.3">
      <c r="J37" s="124" t="s">
        <v>114</v>
      </c>
      <c r="K37" s="132">
        <v>2.8E-3</v>
      </c>
      <c r="L37" s="132">
        <v>2.3E-3</v>
      </c>
      <c r="M37" s="77">
        <f t="shared" si="14"/>
        <v>5.0000000000000001E-4</v>
      </c>
      <c r="O37" s="124" t="s">
        <v>114</v>
      </c>
      <c r="P37" s="132">
        <v>2.8E-3</v>
      </c>
      <c r="Q37" s="132">
        <v>2.3E-3</v>
      </c>
      <c r="R37" s="77">
        <f t="shared" si="16"/>
        <v>5.0000000000000001E-4</v>
      </c>
      <c r="T37" s="124" t="s">
        <v>114</v>
      </c>
      <c r="U37" s="132">
        <v>2.8E-3</v>
      </c>
      <c r="V37" s="132">
        <v>2.3E-3</v>
      </c>
      <c r="W37" s="77">
        <f t="shared" si="18"/>
        <v>5.0000000000000001E-4</v>
      </c>
    </row>
    <row r="38" spans="10:23" ht="14.25" customHeight="1" x14ac:dyDescent="0.3"/>
    <row r="39" spans="10:23" ht="14.25" customHeight="1" x14ac:dyDescent="0.3"/>
    <row r="40" spans="10:23" ht="14.25" customHeight="1" x14ac:dyDescent="0.3">
      <c r="J40" s="58" t="s">
        <v>115</v>
      </c>
      <c r="K40" s="58" t="s">
        <v>87</v>
      </c>
      <c r="L40" s="58" t="s">
        <v>105</v>
      </c>
      <c r="M40" s="63" t="s">
        <v>106</v>
      </c>
      <c r="N40" s="133" t="s">
        <v>116</v>
      </c>
      <c r="P40" s="58" t="s">
        <v>117</v>
      </c>
      <c r="Q40" s="58" t="s">
        <v>87</v>
      </c>
    </row>
    <row r="41" spans="10:23" ht="14.25" customHeight="1" x14ac:dyDescent="0.3">
      <c r="J41" s="64" t="s">
        <v>118</v>
      </c>
      <c r="K41" s="66">
        <v>2912</v>
      </c>
      <c r="L41" s="66">
        <v>2213</v>
      </c>
      <c r="M41" s="118">
        <f t="shared" ref="M41:M46" si="19">(K41/L41)^(1/1)-1</f>
        <v>0.31586082241301394</v>
      </c>
      <c r="N41" s="134">
        <f t="shared" ref="N41:N46" si="20">K41/$K$48</f>
        <v>0.88757757159751782</v>
      </c>
      <c r="P41" s="64" t="s">
        <v>119</v>
      </c>
      <c r="Q41" s="73">
        <v>0.89</v>
      </c>
    </row>
    <row r="42" spans="10:23" ht="14.25" customHeight="1" x14ac:dyDescent="0.3">
      <c r="J42" s="64" t="s">
        <v>120</v>
      </c>
      <c r="K42" s="66">
        <v>5.91</v>
      </c>
      <c r="L42" s="66">
        <v>5.89</v>
      </c>
      <c r="M42" s="119">
        <f t="shared" si="19"/>
        <v>3.3955857385399302E-3</v>
      </c>
      <c r="N42" s="134">
        <f t="shared" si="20"/>
        <v>1.8013679423562262E-3</v>
      </c>
      <c r="P42" s="64" t="s">
        <v>121</v>
      </c>
      <c r="Q42" s="73">
        <v>1.9400000000000001E-2</v>
      </c>
    </row>
    <row r="43" spans="10:23" ht="14.25" customHeight="1" x14ac:dyDescent="0.3">
      <c r="J43" s="64" t="s">
        <v>122</v>
      </c>
      <c r="K43" s="66">
        <v>15</v>
      </c>
      <c r="L43" s="66">
        <v>25</v>
      </c>
      <c r="M43" s="122">
        <f t="shared" si="19"/>
        <v>-0.4</v>
      </c>
      <c r="N43" s="134">
        <f t="shared" si="20"/>
        <v>4.5719998536960047E-3</v>
      </c>
      <c r="P43" s="64" t="s">
        <v>123</v>
      </c>
      <c r="Q43" s="73">
        <v>1.6799999999999999E-2</v>
      </c>
    </row>
    <row r="44" spans="10:23" ht="14.25" customHeight="1" x14ac:dyDescent="0.3">
      <c r="J44" s="64" t="s">
        <v>124</v>
      </c>
      <c r="K44" s="66">
        <v>232</v>
      </c>
      <c r="L44" s="66">
        <v>230</v>
      </c>
      <c r="M44" s="123">
        <f t="shared" si="19"/>
        <v>8.6956521739129933E-3</v>
      </c>
      <c r="N44" s="134">
        <f t="shared" si="20"/>
        <v>7.0713597737164874E-2</v>
      </c>
      <c r="P44" s="64" t="s">
        <v>125</v>
      </c>
      <c r="Q44" s="73">
        <v>7.6399999999999996E-2</v>
      </c>
    </row>
    <row r="45" spans="10:23" ht="14.25" customHeight="1" x14ac:dyDescent="0.3">
      <c r="J45" s="124" t="s">
        <v>126</v>
      </c>
      <c r="K45" s="128">
        <v>19.93</v>
      </c>
      <c r="L45" s="125">
        <v>19.41</v>
      </c>
      <c r="M45" s="126">
        <f t="shared" si="19"/>
        <v>2.6790314270994209E-2</v>
      </c>
      <c r="N45" s="134">
        <f t="shared" si="20"/>
        <v>6.0746638056107588E-3</v>
      </c>
    </row>
    <row r="46" spans="10:23" ht="14.25" customHeight="1" x14ac:dyDescent="0.3">
      <c r="J46" s="127" t="s">
        <v>127</v>
      </c>
      <c r="K46" s="128">
        <v>96</v>
      </c>
      <c r="L46" s="128">
        <v>81</v>
      </c>
      <c r="M46" s="129">
        <f t="shared" si="19"/>
        <v>0.18518518518518512</v>
      </c>
      <c r="N46" s="134">
        <f t="shared" si="20"/>
        <v>2.9260799063654433E-2</v>
      </c>
      <c r="P46" s="124" t="s">
        <v>128</v>
      </c>
      <c r="Q46" s="135">
        <v>1</v>
      </c>
    </row>
    <row r="47" spans="10:23" ht="14.25" customHeight="1" x14ac:dyDescent="0.3"/>
    <row r="48" spans="10:23" ht="14.25" customHeight="1" x14ac:dyDescent="0.3">
      <c r="J48" s="124" t="s">
        <v>128</v>
      </c>
      <c r="K48" s="136">
        <f t="shared" ref="K48:L48" si="21">SUM(K41:K46)</f>
        <v>3280.8399999999997</v>
      </c>
      <c r="L48" s="136">
        <f t="shared" si="21"/>
        <v>2574.2999999999997</v>
      </c>
      <c r="M48" s="129">
        <f>(K48/L48)^(1/1)-1</f>
        <v>0.27445907625373889</v>
      </c>
      <c r="N48" s="132">
        <f>SUM(N41:N46)</f>
        <v>1.0000000000000002</v>
      </c>
    </row>
    <row r="49" spans="10:13" ht="14.25" customHeight="1" x14ac:dyDescent="0.3"/>
    <row r="50" spans="10:13" ht="14.25" customHeight="1" x14ac:dyDescent="0.3"/>
    <row r="51" spans="10:13" ht="14.25" customHeight="1" x14ac:dyDescent="0.3">
      <c r="J51" s="137"/>
      <c r="K51" s="138"/>
      <c r="L51" s="138"/>
      <c r="M51" s="139"/>
    </row>
    <row r="52" spans="10:13" ht="14.25" customHeight="1" x14ac:dyDescent="0.3"/>
    <row r="53" spans="10:13" ht="14.25" customHeight="1" x14ac:dyDescent="0.3"/>
    <row r="54" spans="10:13" ht="14.25" customHeight="1" x14ac:dyDescent="0.3"/>
    <row r="55" spans="10:13" ht="14.25" customHeight="1" x14ac:dyDescent="0.3"/>
    <row r="56" spans="10:13" ht="14.25" customHeight="1" x14ac:dyDescent="0.3"/>
    <row r="57" spans="10:13" ht="14.25" customHeight="1" x14ac:dyDescent="0.3"/>
    <row r="58" spans="10:13" ht="14.25" customHeight="1" x14ac:dyDescent="0.3"/>
    <row r="59" spans="10:13" ht="14.25" customHeight="1" x14ac:dyDescent="0.3"/>
    <row r="60" spans="10:13" ht="14.25" customHeight="1" x14ac:dyDescent="0.3"/>
    <row r="61" spans="10:13" ht="14.25" customHeight="1" x14ac:dyDescent="0.3"/>
    <row r="62" spans="10:13" ht="14.25" customHeight="1" x14ac:dyDescent="0.3"/>
    <row r="63" spans="10:13" ht="14.25" customHeight="1" x14ac:dyDescent="0.3"/>
    <row r="64" spans="10:13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  <row r="1004" ht="14.25" customHeight="1" x14ac:dyDescent="0.3"/>
    <row r="1005" ht="14.25" customHeight="1" x14ac:dyDescent="0.3"/>
    <row r="1006" ht="14.25" customHeight="1" x14ac:dyDescent="0.3"/>
    <row r="1007" ht="14.25" customHeight="1" x14ac:dyDescent="0.3"/>
    <row r="1008" ht="14.25" customHeight="1" x14ac:dyDescent="0.3"/>
    <row r="1009" ht="14.25" customHeight="1" x14ac:dyDescent="0.3"/>
    <row r="1010" ht="14.25" customHeight="1" x14ac:dyDescent="0.3"/>
    <row r="1011" ht="14.25" customHeight="1" x14ac:dyDescent="0.3"/>
  </sheetData>
  <mergeCells count="2">
    <mergeCell ref="B1:Q3"/>
    <mergeCell ref="S22:S24"/>
  </mergeCells>
  <conditionalFormatting sqref="C12:C19">
    <cfRule type="colorScale" priority="11">
      <colorScale>
        <cfvo type="min"/>
        <cfvo type="max"/>
        <color rgb="FFFFFFFF"/>
        <color rgb="FF57BB8A"/>
      </colorScale>
    </cfRule>
  </conditionalFormatting>
  <conditionalFormatting sqref="C22:E23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6:E27 G26:G27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2:D19">
    <cfRule type="colorScale" priority="12">
      <colorScale>
        <cfvo type="min"/>
        <cfvo type="max"/>
        <color rgb="FFFFFFFF"/>
        <color rgb="FF57BB8A"/>
      </colorScale>
    </cfRule>
  </conditionalFormatting>
  <conditionalFormatting sqref="E12:E19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12:F19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6:F27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4:G19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2:G23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5:K19">
    <cfRule type="colorScale" priority="4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M22:M25 M29:M52 R29:R40 W29:W40 N40:N41 N4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41:N47 N49:N50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22:R22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P24:R24">
    <cfRule type="colorScale" priority="3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Q41:Q44">
    <cfRule type="colorScale" priority="15">
      <colorScale>
        <cfvo type="min"/>
        <cfvo type="max"/>
        <color rgb="FFFFFFFF"/>
        <color rgb="FF57BB8A"/>
      </colorScale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82"/>
  <sheetViews>
    <sheetView workbookViewId="0">
      <selection sqref="A1:P3"/>
    </sheetView>
  </sheetViews>
  <sheetFormatPr defaultColWidth="14.44140625" defaultRowHeight="15.75" customHeight="1" x14ac:dyDescent="0.3"/>
  <sheetData>
    <row r="1" spans="1:16" x14ac:dyDescent="0.3">
      <c r="A1" s="140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6" ht="15.75" customHeight="1" x14ac:dyDescent="0.3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</row>
    <row r="3" spans="1:16" ht="15.75" customHeight="1" x14ac:dyDescent="0.3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</row>
    <row r="5" spans="1:16" x14ac:dyDescent="0.3">
      <c r="B5" s="1" t="s">
        <v>1</v>
      </c>
      <c r="C5" s="2" t="s">
        <v>2</v>
      </c>
      <c r="F5" s="1" t="s">
        <v>1</v>
      </c>
      <c r="G5" s="2" t="s">
        <v>3</v>
      </c>
      <c r="J5" s="1" t="s">
        <v>1</v>
      </c>
      <c r="K5" s="2" t="s">
        <v>4</v>
      </c>
      <c r="L5" s="2" t="s">
        <v>5</v>
      </c>
    </row>
    <row r="6" spans="1:16" x14ac:dyDescent="0.3">
      <c r="B6" s="3" t="s">
        <v>6</v>
      </c>
      <c r="C6" s="4">
        <v>131034.7635536</v>
      </c>
      <c r="F6" s="5" t="s">
        <v>6</v>
      </c>
      <c r="G6" s="6">
        <v>91370</v>
      </c>
      <c r="J6" s="5" t="s">
        <v>6</v>
      </c>
      <c r="K6" s="7">
        <v>7617</v>
      </c>
      <c r="L6" s="8">
        <v>1731</v>
      </c>
    </row>
    <row r="7" spans="1:16" x14ac:dyDescent="0.3">
      <c r="B7" s="3" t="s">
        <v>7</v>
      </c>
      <c r="C7" s="4">
        <v>37320.99</v>
      </c>
      <c r="F7" s="5" t="s">
        <v>7</v>
      </c>
      <c r="G7" s="9">
        <v>286800</v>
      </c>
      <c r="J7" s="5" t="s">
        <v>7</v>
      </c>
      <c r="K7" s="9">
        <v>27067</v>
      </c>
      <c r="L7" s="10">
        <v>4760</v>
      </c>
    </row>
    <row r="8" spans="1:16" x14ac:dyDescent="0.3">
      <c r="B8" s="3" t="s">
        <v>8</v>
      </c>
      <c r="C8" s="4">
        <v>25151.773766499999</v>
      </c>
      <c r="F8" s="5" t="s">
        <v>8</v>
      </c>
      <c r="G8" s="11">
        <v>71240</v>
      </c>
      <c r="J8" s="5" t="s">
        <v>8</v>
      </c>
      <c r="K8" s="12">
        <v>7050</v>
      </c>
      <c r="L8" s="13">
        <v>1508</v>
      </c>
    </row>
    <row r="9" spans="1:16" x14ac:dyDescent="0.3">
      <c r="B9" s="3" t="s">
        <v>9</v>
      </c>
      <c r="C9" s="4">
        <v>20984.169622500001</v>
      </c>
      <c r="F9" s="5" t="s">
        <v>9</v>
      </c>
      <c r="G9" s="14">
        <v>21100</v>
      </c>
      <c r="J9" s="5" t="s">
        <v>9</v>
      </c>
      <c r="K9" s="15">
        <v>2587</v>
      </c>
      <c r="L9" s="16">
        <v>750</v>
      </c>
    </row>
    <row r="10" spans="1:16" x14ac:dyDescent="0.3">
      <c r="B10" s="3" t="s">
        <v>10</v>
      </c>
      <c r="C10" s="4">
        <v>18230.771799999999</v>
      </c>
      <c r="F10" s="5" t="s">
        <v>10</v>
      </c>
      <c r="G10" s="17">
        <v>6760</v>
      </c>
      <c r="J10" s="5" t="s">
        <v>10</v>
      </c>
      <c r="K10" s="18">
        <v>1037</v>
      </c>
      <c r="L10" s="19">
        <v>480</v>
      </c>
    </row>
    <row r="11" spans="1:16" x14ac:dyDescent="0.3">
      <c r="B11" s="3" t="s">
        <v>11</v>
      </c>
      <c r="C11" s="4">
        <v>14413.005256500001</v>
      </c>
      <c r="F11" s="20" t="s">
        <v>11</v>
      </c>
      <c r="G11" s="21">
        <v>17310</v>
      </c>
      <c r="J11" s="5" t="s">
        <v>11</v>
      </c>
      <c r="K11" s="22">
        <v>2018</v>
      </c>
      <c r="L11" s="23">
        <v>491</v>
      </c>
    </row>
    <row r="12" spans="1:16" x14ac:dyDescent="0.3">
      <c r="B12" s="3" t="s">
        <v>12</v>
      </c>
      <c r="C12" s="24">
        <v>11818.76</v>
      </c>
      <c r="J12" s="5" t="s">
        <v>12</v>
      </c>
      <c r="K12" s="6">
        <v>8579</v>
      </c>
      <c r="L12" s="25">
        <v>1214</v>
      </c>
    </row>
    <row r="13" spans="1:16" x14ac:dyDescent="0.3">
      <c r="B13" s="3" t="s">
        <v>13</v>
      </c>
      <c r="C13" s="24">
        <v>11764.161714899999</v>
      </c>
      <c r="J13" s="5" t="s">
        <v>13</v>
      </c>
      <c r="K13" s="26">
        <v>3525</v>
      </c>
      <c r="L13" s="16">
        <v>751</v>
      </c>
    </row>
    <row r="14" spans="1:16" x14ac:dyDescent="0.3">
      <c r="B14" s="3" t="s">
        <v>14</v>
      </c>
      <c r="C14" s="27">
        <v>10806.703292300001</v>
      </c>
      <c r="J14" s="20" t="s">
        <v>14</v>
      </c>
      <c r="K14" s="28">
        <v>1137</v>
      </c>
      <c r="L14" s="29">
        <v>305</v>
      </c>
    </row>
    <row r="15" spans="1:16" x14ac:dyDescent="0.3">
      <c r="B15" s="30" t="s">
        <v>15</v>
      </c>
      <c r="C15" s="30">
        <v>14164</v>
      </c>
    </row>
    <row r="17" spans="2:12" x14ac:dyDescent="0.3">
      <c r="B17" s="31" t="s">
        <v>16</v>
      </c>
      <c r="C17" s="32">
        <f>SUM(C6:C15)</f>
        <v>295689.09900629998</v>
      </c>
      <c r="F17" s="31" t="s">
        <v>16</v>
      </c>
      <c r="G17" s="31">
        <v>507780</v>
      </c>
      <c r="J17" s="31" t="s">
        <v>16</v>
      </c>
      <c r="K17" s="31">
        <v>64220</v>
      </c>
      <c r="L17" s="31">
        <v>12813</v>
      </c>
    </row>
    <row r="33" spans="2:11" x14ac:dyDescent="0.3">
      <c r="B33" s="33" t="s">
        <v>1</v>
      </c>
      <c r="C33" s="34" t="s">
        <v>17</v>
      </c>
      <c r="F33" s="33" t="s">
        <v>1</v>
      </c>
      <c r="G33" s="2" t="s">
        <v>18</v>
      </c>
      <c r="J33" s="33" t="s">
        <v>1</v>
      </c>
      <c r="K33" s="2" t="s">
        <v>19</v>
      </c>
    </row>
    <row r="34" spans="2:11" x14ac:dyDescent="0.3">
      <c r="B34" s="5" t="s">
        <v>6</v>
      </c>
      <c r="C34" s="35">
        <v>0.22725482473414729</v>
      </c>
      <c r="F34" s="5" t="s">
        <v>6</v>
      </c>
      <c r="G34" s="36">
        <v>0.30299999999999999</v>
      </c>
      <c r="J34" s="5" t="s">
        <v>6</v>
      </c>
      <c r="K34" s="37">
        <v>2.7000000000000001E-3</v>
      </c>
    </row>
    <row r="35" spans="2:11" x14ac:dyDescent="0.3">
      <c r="B35" s="5" t="s">
        <v>7</v>
      </c>
      <c r="C35" s="38">
        <v>0.17585990320316253</v>
      </c>
      <c r="F35" s="5" t="s">
        <v>7</v>
      </c>
      <c r="G35" s="36">
        <v>8.4000000000000005E-2</v>
      </c>
      <c r="J35" s="5" t="s">
        <v>7</v>
      </c>
      <c r="K35" s="37">
        <v>3.3099999999999997E-2</v>
      </c>
    </row>
    <row r="36" spans="2:11" x14ac:dyDescent="0.3">
      <c r="B36" s="5" t="s">
        <v>8</v>
      </c>
      <c r="C36" s="39">
        <v>0.21390070921985815</v>
      </c>
      <c r="F36" s="5" t="s">
        <v>8</v>
      </c>
      <c r="G36" s="36">
        <v>-4.5999999999999999E-2</v>
      </c>
      <c r="J36" s="5" t="s">
        <v>8</v>
      </c>
      <c r="K36" s="37">
        <v>1.4999999999999999E-2</v>
      </c>
    </row>
    <row r="37" spans="2:11" x14ac:dyDescent="0.3">
      <c r="B37" s="5" t="s">
        <v>9</v>
      </c>
      <c r="C37" s="40">
        <v>0.28991109393119441</v>
      </c>
      <c r="F37" s="5" t="s">
        <v>9</v>
      </c>
      <c r="G37" s="36">
        <v>0.16500000000000001</v>
      </c>
      <c r="J37" s="5" t="s">
        <v>9</v>
      </c>
      <c r="K37" s="37">
        <v>1.0999999999999999E-2</v>
      </c>
    </row>
    <row r="38" spans="2:11" x14ac:dyDescent="0.3">
      <c r="B38" s="5" t="s">
        <v>10</v>
      </c>
      <c r="C38" s="41">
        <v>0.46287367405978785</v>
      </c>
      <c r="F38" s="5" t="s">
        <v>10</v>
      </c>
      <c r="G38" s="36">
        <v>0.253</v>
      </c>
      <c r="J38" s="5" t="s">
        <v>10</v>
      </c>
      <c r="K38" s="37">
        <v>1.0699999999999999E-2</v>
      </c>
    </row>
    <row r="39" spans="2:11" x14ac:dyDescent="0.3">
      <c r="B39" s="5" t="s">
        <v>11</v>
      </c>
      <c r="C39" s="42">
        <v>0.24331020812685827</v>
      </c>
      <c r="F39" s="5" t="s">
        <v>11</v>
      </c>
      <c r="G39" s="36">
        <v>0.223</v>
      </c>
      <c r="J39" s="5" t="s">
        <v>11</v>
      </c>
      <c r="K39" s="37">
        <v>9.4000000000000004E-3</v>
      </c>
    </row>
    <row r="40" spans="2:11" x14ac:dyDescent="0.3">
      <c r="B40" s="5" t="s">
        <v>12</v>
      </c>
      <c r="C40" s="43">
        <v>0.14150833430469753</v>
      </c>
      <c r="F40" s="5" t="s">
        <v>12</v>
      </c>
      <c r="G40" s="36"/>
      <c r="J40" s="5" t="s">
        <v>12</v>
      </c>
    </row>
    <row r="41" spans="2:11" x14ac:dyDescent="0.3">
      <c r="B41" s="5" t="s">
        <v>13</v>
      </c>
      <c r="C41" s="44">
        <v>0.21304964539007093</v>
      </c>
      <c r="F41" s="5" t="s">
        <v>13</v>
      </c>
      <c r="G41" s="36">
        <v>0.14799999999999999</v>
      </c>
      <c r="J41" s="5" t="s">
        <v>13</v>
      </c>
      <c r="K41" s="37">
        <v>8.2000000000000007E-3</v>
      </c>
    </row>
    <row r="42" spans="2:11" x14ac:dyDescent="0.3">
      <c r="B42" s="20" t="s">
        <v>14</v>
      </c>
      <c r="C42" s="45">
        <v>0.26824978012313105</v>
      </c>
      <c r="F42" s="20" t="s">
        <v>14</v>
      </c>
      <c r="G42" s="46">
        <v>0.28799999999999998</v>
      </c>
      <c r="J42" s="20" t="s">
        <v>14</v>
      </c>
      <c r="K42" s="47">
        <v>1.7000000000000001E-2</v>
      </c>
    </row>
    <row r="44" spans="2:11" x14ac:dyDescent="0.3">
      <c r="B44" s="31" t="s">
        <v>16</v>
      </c>
      <c r="C44" s="48">
        <v>0.19951728433509811</v>
      </c>
      <c r="F44" s="31" t="s">
        <v>16</v>
      </c>
      <c r="G44" s="48">
        <v>0.19400000000000001</v>
      </c>
      <c r="J44" s="31" t="s">
        <v>16</v>
      </c>
      <c r="K44" s="48">
        <v>0.19400000000000001</v>
      </c>
    </row>
    <row r="60" spans="1:12" x14ac:dyDescent="0.3">
      <c r="A60" s="1" t="s">
        <v>20</v>
      </c>
      <c r="B60" s="1" t="s">
        <v>1</v>
      </c>
      <c r="C60" s="1" t="s">
        <v>21</v>
      </c>
      <c r="D60" s="2" t="s">
        <v>2</v>
      </c>
      <c r="E60" s="2" t="s">
        <v>3</v>
      </c>
      <c r="F60" s="2" t="s">
        <v>4</v>
      </c>
      <c r="G60" s="2" t="s">
        <v>5</v>
      </c>
      <c r="H60" s="2" t="s">
        <v>22</v>
      </c>
      <c r="I60" s="2" t="s">
        <v>23</v>
      </c>
      <c r="J60" s="2" t="s">
        <v>17</v>
      </c>
      <c r="K60" s="2" t="s">
        <v>18</v>
      </c>
      <c r="L60" s="2" t="s">
        <v>19</v>
      </c>
    </row>
    <row r="61" spans="1:12" x14ac:dyDescent="0.3">
      <c r="A61" s="3">
        <v>544252</v>
      </c>
      <c r="B61" s="3" t="s">
        <v>6</v>
      </c>
      <c r="C61" s="49">
        <f ca="1">IFERROR(__xludf.DUMMYFUNCTION("GOOGLEFINANCE(""bom:""&amp;A61,""price"")"),129.55)</f>
        <v>129.55000000000001</v>
      </c>
      <c r="D61" s="4">
        <f ca="1">IFERROR(__xludf.DUMMYFUNCTION("GOOGLEFINANCE(""bom:""&amp;A61,""marketcap"")/10000000"),107807.7167245)</f>
        <v>107807.7167245</v>
      </c>
      <c r="E61" s="3">
        <v>91370</v>
      </c>
      <c r="F61" s="3">
        <v>7617</v>
      </c>
      <c r="G61" s="50">
        <v>1731</v>
      </c>
      <c r="H61" s="50">
        <v>5665</v>
      </c>
      <c r="I61" s="50">
        <v>1258</v>
      </c>
      <c r="J61" s="36">
        <f t="shared" ref="J61:J74" si="0">G61/F61</f>
        <v>0.22725482473414729</v>
      </c>
      <c r="K61" s="36">
        <v>0.30299999999999999</v>
      </c>
      <c r="L61" s="37">
        <v>2.7000000000000001E-3</v>
      </c>
    </row>
    <row r="62" spans="1:12" x14ac:dyDescent="0.3">
      <c r="A62" s="3">
        <v>500253</v>
      </c>
      <c r="B62" s="3" t="s">
        <v>7</v>
      </c>
      <c r="C62" s="49">
        <f ca="1">IFERROR(__xludf.DUMMYFUNCTION("GOOGLEFINANCE(""bom:""&amp;A62,""price"")"),610)</f>
        <v>610</v>
      </c>
      <c r="D62" s="4">
        <f ca="1">IFERROR(__xludf.DUMMYFUNCTION("GOOGLEFINANCE(""bom:""&amp;A62,""marketcap"")/10000000"),33463.0751785)</f>
        <v>33463.075178500003</v>
      </c>
      <c r="E62" s="3">
        <v>286800</v>
      </c>
      <c r="F62" s="3">
        <v>27067</v>
      </c>
      <c r="G62" s="50">
        <v>4760</v>
      </c>
      <c r="H62" s="50">
        <v>22546</v>
      </c>
      <c r="I62" s="50">
        <v>2891</v>
      </c>
      <c r="J62" s="36">
        <f t="shared" si="0"/>
        <v>0.17585990320316253</v>
      </c>
      <c r="K62" s="36">
        <v>8.4000000000000005E-2</v>
      </c>
      <c r="L62" s="37">
        <v>3.3099999999999997E-2</v>
      </c>
    </row>
    <row r="63" spans="1:12" x14ac:dyDescent="0.3">
      <c r="A63" s="3">
        <v>540173</v>
      </c>
      <c r="B63" s="3" t="s">
        <v>8</v>
      </c>
      <c r="C63" s="49">
        <f ca="1">IFERROR(__xludf.DUMMYFUNCTION("GOOGLEFINANCE(""bom:""&amp;A63,""price"")"),904.05)</f>
        <v>904.05</v>
      </c>
      <c r="D63" s="4">
        <f ca="1">IFERROR(__xludf.DUMMYFUNCTION("GOOGLEFINANCE(""bom:""&amp;A63,""marketcap"")/10000000"),23508.888761)</f>
        <v>23508.888760999998</v>
      </c>
      <c r="E63" s="3">
        <v>71240</v>
      </c>
      <c r="F63" s="3">
        <v>7050</v>
      </c>
      <c r="G63" s="50">
        <v>1508</v>
      </c>
      <c r="H63" s="50">
        <v>6527</v>
      </c>
      <c r="I63" s="50">
        <v>1046</v>
      </c>
      <c r="J63" s="36">
        <f t="shared" si="0"/>
        <v>0.21390070921985815</v>
      </c>
      <c r="K63" s="36">
        <v>-4.5999999999999999E-2</v>
      </c>
      <c r="L63" s="37">
        <v>1.4999999999999999E-2</v>
      </c>
    </row>
    <row r="64" spans="1:12" x14ac:dyDescent="0.3">
      <c r="A64" s="3">
        <v>544176</v>
      </c>
      <c r="B64" s="3" t="s">
        <v>9</v>
      </c>
      <c r="C64" s="49">
        <f ca="1">IFERROR(__xludf.DUMMYFUNCTION("GOOGLEFINANCE(""bom:""&amp;A64,""price"")"),435)</f>
        <v>435</v>
      </c>
      <c r="D64" s="4">
        <f ca="1">IFERROR(__xludf.DUMMYFUNCTION("GOOGLEFINANCE(""bom:""&amp;A64,""marketcap"")/10000000"),18648.8038948)</f>
        <v>18648.803894799999</v>
      </c>
      <c r="E64" s="3">
        <v>21100</v>
      </c>
      <c r="F64" s="3">
        <v>2587</v>
      </c>
      <c r="G64" s="50">
        <v>750</v>
      </c>
      <c r="H64" s="50">
        <v>2043</v>
      </c>
      <c r="I64" s="50">
        <v>545</v>
      </c>
      <c r="J64" s="36">
        <f t="shared" si="0"/>
        <v>0.28991109393119441</v>
      </c>
      <c r="K64" s="36">
        <v>0.16500000000000001</v>
      </c>
      <c r="L64" s="37">
        <v>1.0999999999999999E-2</v>
      </c>
    </row>
    <row r="65" spans="1:12" x14ac:dyDescent="0.3">
      <c r="A65" s="3">
        <v>543335</v>
      </c>
      <c r="B65" s="3" t="s">
        <v>10</v>
      </c>
      <c r="C65" s="49">
        <f ca="1">IFERROR(__xludf.DUMMYFUNCTION("GOOGLEFINANCE(""bom:""&amp;A65,""price"")"),316.15)</f>
        <v>316.14999999999998</v>
      </c>
      <c r="D65" s="4">
        <f ca="1">IFERROR(__xludf.DUMMYFUNCTION("GOOGLEFINANCE(""bom:""&amp;A65,""marketcap"")/10000000"),15819.326866)</f>
        <v>15819.326865999999</v>
      </c>
      <c r="E65" s="3">
        <v>6760</v>
      </c>
      <c r="F65" s="3">
        <v>1037</v>
      </c>
      <c r="G65" s="50">
        <v>480</v>
      </c>
      <c r="H65" s="50">
        <v>928</v>
      </c>
      <c r="I65" s="50">
        <v>424</v>
      </c>
      <c r="J65" s="36">
        <f t="shared" si="0"/>
        <v>0.46287367405978785</v>
      </c>
      <c r="K65" s="36">
        <v>0.253</v>
      </c>
      <c r="L65" s="37">
        <v>1.0699999999999999E-2</v>
      </c>
    </row>
    <row r="66" spans="1:12" x14ac:dyDescent="0.3">
      <c r="A66" s="3">
        <v>541988</v>
      </c>
      <c r="B66" s="3" t="s">
        <v>11</v>
      </c>
      <c r="C66" s="49">
        <f ca="1">IFERROR(__xludf.DUMMYFUNCTION("GOOGLEFINANCE(""bom:""&amp;A66,""price"")"),1652.4)</f>
        <v>1652.4</v>
      </c>
      <c r="D66" s="4">
        <f ca="1">IFERROR(__xludf.DUMMYFUNCTION("GOOGLEFINANCE(""bom:""&amp;A66,""marketcap"")/10000000"),13058.364)</f>
        <v>13058.364</v>
      </c>
      <c r="E66" s="3">
        <v>17310</v>
      </c>
      <c r="F66" s="3">
        <v>2018</v>
      </c>
      <c r="G66" s="50">
        <v>491</v>
      </c>
      <c r="H66" s="50">
        <v>1609</v>
      </c>
      <c r="I66" s="50">
        <v>430</v>
      </c>
      <c r="J66" s="36">
        <f t="shared" si="0"/>
        <v>0.24331020812685827</v>
      </c>
      <c r="K66" s="36">
        <v>0.223</v>
      </c>
      <c r="L66" s="37">
        <v>9.4000000000000004E-3</v>
      </c>
    </row>
    <row r="67" spans="1:12" x14ac:dyDescent="0.3">
      <c r="A67" s="3">
        <v>535789</v>
      </c>
      <c r="B67" s="3" t="s">
        <v>12</v>
      </c>
      <c r="C67" s="49">
        <f ca="1">IFERROR(__xludf.DUMMYFUNCTION("GOOGLEFINANCE(""bom:""&amp;A67,""price"")"),134.95)</f>
        <v>134.94999999999999</v>
      </c>
      <c r="D67" s="24">
        <f ca="1">IFERROR(__xludf.DUMMYFUNCTION("GOOGLEFINANCE(""bom:""&amp;A67,""marketcap"")/10000000"),9759.059)</f>
        <v>9759.0589999999993</v>
      </c>
      <c r="F67" s="3">
        <v>8579</v>
      </c>
      <c r="G67" s="50">
        <v>1214</v>
      </c>
      <c r="H67" s="50">
        <v>8719</v>
      </c>
      <c r="I67" s="50">
        <v>1130</v>
      </c>
      <c r="J67" s="36">
        <f t="shared" si="0"/>
        <v>0.14150833430469753</v>
      </c>
      <c r="K67" s="36"/>
    </row>
    <row r="68" spans="1:12" x14ac:dyDescent="0.3">
      <c r="A68" s="3">
        <v>511196</v>
      </c>
      <c r="B68" s="3" t="s">
        <v>13</v>
      </c>
      <c r="C68" s="49">
        <f ca="1">IFERROR(__xludf.DUMMYFUNCTION("GOOGLEFINANCE(""bom:""&amp;A68,""price"")"),823.5)</f>
        <v>823.5</v>
      </c>
      <c r="D68" s="24">
        <f ca="1">IFERROR(__xludf.DUMMYFUNCTION("GOOGLEFINANCE(""bom:""&amp;A68,""marketcap"")/10000000"),10949.12424)</f>
        <v>10949.124239999999</v>
      </c>
      <c r="E68" s="3">
        <v>3500</v>
      </c>
      <c r="F68" s="3">
        <v>3525</v>
      </c>
      <c r="G68" s="50">
        <v>751</v>
      </c>
      <c r="H68" s="50">
        <v>2743</v>
      </c>
      <c r="I68" s="50">
        <v>621</v>
      </c>
      <c r="J68" s="36">
        <f t="shared" si="0"/>
        <v>0.21304964539007093</v>
      </c>
      <c r="K68" s="36">
        <v>0.14799999999999999</v>
      </c>
      <c r="L68" s="37">
        <v>8.2000000000000007E-3</v>
      </c>
    </row>
    <row r="69" spans="1:12" x14ac:dyDescent="0.3">
      <c r="A69" s="3">
        <v>543259</v>
      </c>
      <c r="B69" s="3" t="s">
        <v>14</v>
      </c>
      <c r="C69" s="49">
        <f ca="1">IFERROR(__xludf.DUMMYFUNCTION("GOOGLEFINANCE(""bom:""&amp;A69,""price"")"),1051.5)</f>
        <v>1051.5</v>
      </c>
      <c r="D69" s="24">
        <f ca="1">IFERROR(__xludf.DUMMYFUNCTION("GOOGLEFINANCE(""bom:""&amp;A69,""marketcap"")/10000000"),9296.6402533)</f>
        <v>9296.6402533</v>
      </c>
      <c r="E69" s="3">
        <v>9700</v>
      </c>
      <c r="F69" s="3">
        <v>1137</v>
      </c>
      <c r="G69" s="50">
        <v>305</v>
      </c>
      <c r="H69" s="50">
        <v>791</v>
      </c>
      <c r="I69" s="50">
        <v>228</v>
      </c>
      <c r="J69" s="36">
        <f t="shared" si="0"/>
        <v>0.26824978012313105</v>
      </c>
      <c r="K69" s="36">
        <v>0.28799999999999998</v>
      </c>
      <c r="L69" s="37">
        <v>1.7000000000000001E-2</v>
      </c>
    </row>
    <row r="70" spans="1:12" x14ac:dyDescent="0.3">
      <c r="A70" s="3">
        <v>544044</v>
      </c>
      <c r="B70" s="3" t="s">
        <v>24</v>
      </c>
      <c r="C70" s="49">
        <f ca="1">IFERROR(__xludf.DUMMYFUNCTION("GOOGLEFINANCE(""bom:""&amp;A70,""price"")"),640)</f>
        <v>640</v>
      </c>
      <c r="D70" s="24">
        <f ca="1">IFERROR(__xludf.DUMMYFUNCTION("GOOGLEFINANCE(""bom:""&amp;A70,""marketcap"")/10000000"),6852.29864)</f>
        <v>6852.29864</v>
      </c>
      <c r="F70" s="3">
        <v>829</v>
      </c>
      <c r="G70" s="50">
        <v>247</v>
      </c>
      <c r="H70" s="50">
        <v>584</v>
      </c>
      <c r="I70" s="50">
        <v>155</v>
      </c>
      <c r="J70" s="36">
        <f t="shared" si="0"/>
        <v>0.29794933655006034</v>
      </c>
    </row>
    <row r="71" spans="1:12" x14ac:dyDescent="0.3">
      <c r="A71" s="3">
        <v>535322</v>
      </c>
      <c r="B71" s="3" t="s">
        <v>25</v>
      </c>
      <c r="C71" s="49">
        <f ca="1">IFERROR(__xludf.DUMMYFUNCTION("GOOGLEFINANCE(""bom:""&amp;A71,""price"")"),461.65)</f>
        <v>461.65</v>
      </c>
      <c r="D71" s="24">
        <f ca="1">IFERROR(__xludf.DUMMYFUNCTION("GOOGLEFINANCE(""bom:""&amp;A71,""marketcap"")/10000000"),2866.5615915)</f>
        <v>2866.5615914999998</v>
      </c>
      <c r="F71" s="3">
        <v>1528</v>
      </c>
      <c r="G71" s="51">
        <v>395</v>
      </c>
      <c r="H71" s="51">
        <v>1285</v>
      </c>
      <c r="I71" s="51">
        <v>296</v>
      </c>
      <c r="J71" s="36">
        <f t="shared" si="0"/>
        <v>0.25850785340314136</v>
      </c>
    </row>
    <row r="72" spans="1:12" x14ac:dyDescent="0.3">
      <c r="A72" s="3">
        <v>511676</v>
      </c>
      <c r="B72" s="3" t="s">
        <v>26</v>
      </c>
      <c r="C72" s="49">
        <f ca="1">IFERROR(__xludf.DUMMYFUNCTION("GOOGLEFINANCE(""bom:""&amp;A72,""price"")"),206.95)</f>
        <v>206.95</v>
      </c>
      <c r="D72" s="24">
        <f ca="1">IFERROR(__xludf.DUMMYFUNCTION("GOOGLEFINANCE(""bom:""&amp;A72,""marketcap"")/10000000"),1113.6233884)</f>
        <v>1113.6233884000001</v>
      </c>
      <c r="F72" s="3">
        <v>1060</v>
      </c>
      <c r="G72" s="51">
        <v>151</v>
      </c>
      <c r="H72" s="51">
        <v>1123</v>
      </c>
      <c r="I72" s="51">
        <v>213</v>
      </c>
      <c r="J72" s="36">
        <f t="shared" si="0"/>
        <v>0.14245283018867924</v>
      </c>
    </row>
    <row r="73" spans="1:12" x14ac:dyDescent="0.3">
      <c r="A73" s="3">
        <v>534680</v>
      </c>
      <c r="B73" s="3" t="s">
        <v>27</v>
      </c>
      <c r="C73" s="49">
        <f ca="1">IFERROR(__xludf.DUMMYFUNCTION("GOOGLEFINANCE(""bom:""&amp;A73,""price"")"),330.6)</f>
        <v>330.6</v>
      </c>
      <c r="D73" s="24">
        <f ca="1">IFERROR(__xludf.DUMMYFUNCTION("GOOGLEFINANCE(""bom:""&amp;A73,""marketcap"")/10000000"),483.061488)</f>
        <v>483.061488</v>
      </c>
      <c r="F73" s="3">
        <v>127</v>
      </c>
      <c r="G73" s="51">
        <v>21</v>
      </c>
      <c r="H73" s="51">
        <v>94</v>
      </c>
      <c r="I73" s="51">
        <v>17</v>
      </c>
      <c r="J73" s="36">
        <f t="shared" si="0"/>
        <v>0.16535433070866143</v>
      </c>
    </row>
    <row r="74" spans="1:12" x14ac:dyDescent="0.3">
      <c r="A74" s="3">
        <v>539017</v>
      </c>
      <c r="B74" s="3" t="s">
        <v>28</v>
      </c>
      <c r="C74" s="49">
        <f ca="1">IFERROR(__xludf.DUMMYFUNCTION("GOOGLEFINANCE(""bom:""&amp;A74,""price"")"),37.67)</f>
        <v>37.67</v>
      </c>
      <c r="D74" s="24">
        <f ca="1">IFERROR(__xludf.DUMMYFUNCTION("GOOGLEFINANCE(""bom:""&amp;A74,""marketcap"")/10000000"),296.5405611)</f>
        <v>296.54056109999999</v>
      </c>
      <c r="F74" s="3">
        <v>59</v>
      </c>
      <c r="G74" s="51">
        <v>9</v>
      </c>
      <c r="H74" s="51">
        <v>35</v>
      </c>
      <c r="I74" s="51">
        <v>7</v>
      </c>
      <c r="J74" s="36">
        <f t="shared" si="0"/>
        <v>0.15254237288135594</v>
      </c>
    </row>
    <row r="75" spans="1:12" x14ac:dyDescent="0.3">
      <c r="A75" s="3">
        <v>540709</v>
      </c>
      <c r="B75" s="3" t="s">
        <v>29</v>
      </c>
      <c r="C75" s="49">
        <f ca="1">IFERROR(__xludf.DUMMYFUNCTION("GOOGLEFINANCE(""bom:""&amp;A75,""price"")"),3.35)</f>
        <v>3.35</v>
      </c>
      <c r="D75" s="24">
        <f ca="1">IFERROR(__xludf.DUMMYFUNCTION("GOOGLEFINANCE(""bom:""&amp;A75,""marketcap"")/10000000"),159.0992194)</f>
        <v>159.09921940000001</v>
      </c>
    </row>
    <row r="76" spans="1:12" x14ac:dyDescent="0.3">
      <c r="A76" s="3">
        <v>511740</v>
      </c>
      <c r="B76" s="3" t="s">
        <v>30</v>
      </c>
      <c r="C76" s="49">
        <f ca="1">IFERROR(__xludf.DUMMYFUNCTION("GOOGLEFINANCE(""bom:""&amp;A76,""price"")"),185.65)</f>
        <v>185.65</v>
      </c>
      <c r="D76" s="24">
        <f ca="1">IFERROR(__xludf.DUMMYFUNCTION("GOOGLEFINANCE(""bom:""&amp;A76,""marketcap"")/10000000"),57.2173281)</f>
        <v>57.217328100000003</v>
      </c>
    </row>
    <row r="77" spans="1:12" x14ac:dyDescent="0.3">
      <c r="A77" s="3">
        <v>530979</v>
      </c>
      <c r="B77" s="3" t="s">
        <v>31</v>
      </c>
      <c r="C77" s="49">
        <f ca="1">IFERROR(__xludf.DUMMYFUNCTION("GOOGLEFINANCE(""bom:""&amp;A77,""price"")"),32.44)</f>
        <v>32.44</v>
      </c>
      <c r="D77" s="24">
        <f ca="1">IFERROR(__xludf.DUMMYFUNCTION("GOOGLEFINANCE(""bom:""&amp;A77,""marketcap"")/10000000"),46.329995)</f>
        <v>46.329994999999997</v>
      </c>
    </row>
    <row r="78" spans="1:12" x14ac:dyDescent="0.3">
      <c r="A78" s="3">
        <v>523465</v>
      </c>
      <c r="B78" s="3" t="s">
        <v>32</v>
      </c>
      <c r="C78" s="49">
        <f ca="1">IFERROR(__xludf.DUMMYFUNCTION("GOOGLEFINANCE(""bom:""&amp;A78,""price"")"),43.98)</f>
        <v>43.98</v>
      </c>
      <c r="D78" s="24">
        <f ca="1">IFERROR(__xludf.DUMMYFUNCTION("GOOGLEFINANCE(""bom:""&amp;A78,""marketcap"")/10000000"),43.9799995)</f>
        <v>43.979999499999998</v>
      </c>
    </row>
    <row r="79" spans="1:12" x14ac:dyDescent="0.3">
      <c r="A79" s="3">
        <v>511533</v>
      </c>
      <c r="B79" s="3" t="s">
        <v>33</v>
      </c>
      <c r="C79" s="49">
        <f ca="1">IFERROR(__xludf.DUMMYFUNCTION("GOOGLEFINANCE(""bom:""&amp;A79,""price"")"),44.99)</f>
        <v>44.99</v>
      </c>
      <c r="D79" s="24">
        <f ca="1">IFERROR(__xludf.DUMMYFUNCTION("GOOGLEFINANCE(""bom:""&amp;A79,""marketcap"")/10000000"),31.4930011)</f>
        <v>31.493001100000001</v>
      </c>
    </row>
    <row r="80" spans="1:12" x14ac:dyDescent="0.3">
      <c r="A80" s="30">
        <v>509650</v>
      </c>
      <c r="B80" s="30" t="s">
        <v>34</v>
      </c>
      <c r="C80" s="52">
        <f ca="1">IFERROR(__xludf.DUMMYFUNCTION("GOOGLEFINANCE(""bom:""&amp;A80,""price"")"),38.74)</f>
        <v>38.74</v>
      </c>
      <c r="D80" s="53">
        <v>0.09</v>
      </c>
      <c r="E80" s="30"/>
      <c r="F80" s="30"/>
      <c r="G80" s="30"/>
      <c r="H80" s="30"/>
      <c r="I80" s="30"/>
      <c r="J80" s="30"/>
      <c r="K80" s="30"/>
      <c r="L80" s="30"/>
    </row>
    <row r="82" spans="1:12" x14ac:dyDescent="0.3">
      <c r="A82" s="31"/>
      <c r="B82" s="31" t="s">
        <v>16</v>
      </c>
      <c r="C82" s="31"/>
      <c r="D82" s="32">
        <f t="shared" ref="D82:I82" ca="1" si="1">SUM(D61:D80)</f>
        <v>254261.29413020003</v>
      </c>
      <c r="E82" s="31">
        <f t="shared" si="1"/>
        <v>507780</v>
      </c>
      <c r="F82" s="31">
        <f t="shared" si="1"/>
        <v>64220</v>
      </c>
      <c r="G82" s="31">
        <f t="shared" si="1"/>
        <v>12813</v>
      </c>
      <c r="H82" s="31">
        <f t="shared" si="1"/>
        <v>54692</v>
      </c>
      <c r="I82" s="31">
        <f t="shared" si="1"/>
        <v>9261</v>
      </c>
      <c r="J82" s="48">
        <f>G82/F82</f>
        <v>0.19951728433509811</v>
      </c>
      <c r="K82" s="48">
        <f t="shared" ref="K82:L82" si="2">MEDIAN(K61:K69)</f>
        <v>0.19400000000000001</v>
      </c>
      <c r="L82" s="54">
        <f t="shared" si="2"/>
        <v>1.0849999999999999E-2</v>
      </c>
    </row>
  </sheetData>
  <autoFilter ref="A60:D80" xr:uid="{00000000-0009-0000-0000-000000000000}">
    <sortState xmlns:xlrd2="http://schemas.microsoft.com/office/spreadsheetml/2017/richdata2" ref="A60:D80">
      <sortCondition descending="1" ref="D60:D80"/>
    </sortState>
  </autoFilter>
  <mergeCells count="1">
    <mergeCell ref="A1:P3"/>
  </mergeCells>
  <conditionalFormatting sqref="C6:C13 D61:D80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61:E69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61:F74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34:G42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61:G74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61:H74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61:I74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J61:J74 J82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34:K42">
    <cfRule type="colorScale" priority="9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L61:L69">
    <cfRule type="colorScale" priority="8">
      <colorScale>
        <cfvo type="min"/>
        <cfvo type="percentile" val="50"/>
        <cfvo type="max"/>
        <color rgb="FF57BB8A"/>
        <color rgb="FFFFFFFF"/>
        <color rgb="FFE67C73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BAJAJHFL</vt:lpstr>
      <vt:lpstr>Housing Finance Companies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2024-11-15T01:13:11Z</dcterms:created>
  <dcterms:modified xsi:type="dcterms:W3CDTF">2024-11-15T01:13:16Z</dcterms:modified>
</cp:coreProperties>
</file>