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13_ncr:1_{1D56F434-7324-41D8-A58A-630ED213DDD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Housing Finance Companies" sheetId="1" r:id="rId1"/>
    <sheet name="Sheet2" sheetId="2" r:id="rId2"/>
    <sheet name="BAJAJHFL" sheetId="3" r:id="rId3"/>
  </sheets>
  <definedNames>
    <definedName name="_xlnm._FilterDatabase" localSheetId="0" hidden="1">'Housing Finance Companies'!$A$60:$D$80</definedName>
    <definedName name="_xlnm._FilterDatabase" localSheetId="1" hidden="1">Sheet2!$A$2:$M$11</definedName>
  </definedNames>
  <calcPr calcId="191029"/>
</workbook>
</file>

<file path=xl/calcChain.xml><?xml version="1.0" encoding="utf-8"?>
<calcChain xmlns="http://schemas.openxmlformats.org/spreadsheetml/2006/main">
  <c r="J51" i="3" l="1"/>
  <c r="I51" i="3"/>
  <c r="H51" i="3"/>
  <c r="J50" i="3"/>
  <c r="H50" i="3"/>
  <c r="I50" i="3" s="1"/>
  <c r="J49" i="3"/>
  <c r="H49" i="3"/>
  <c r="C54" i="3"/>
  <c r="F49" i="3"/>
  <c r="D49" i="3"/>
  <c r="D50" i="3" s="1"/>
  <c r="S41" i="3"/>
  <c r="R41" i="3"/>
  <c r="U39" i="3" s="1"/>
  <c r="O41" i="3"/>
  <c r="J41" i="3"/>
  <c r="E41" i="3"/>
  <c r="O40" i="3"/>
  <c r="N40" i="3"/>
  <c r="M40" i="3"/>
  <c r="J40" i="3"/>
  <c r="I40" i="3"/>
  <c r="H40" i="3"/>
  <c r="D40" i="3"/>
  <c r="C40" i="3"/>
  <c r="E40" i="3" s="1"/>
  <c r="T39" i="3"/>
  <c r="O39" i="3"/>
  <c r="J39" i="3"/>
  <c r="E39" i="3"/>
  <c r="T38" i="3"/>
  <c r="O38" i="3"/>
  <c r="J38" i="3"/>
  <c r="E38" i="3"/>
  <c r="U37" i="3"/>
  <c r="T37" i="3"/>
  <c r="O37" i="3"/>
  <c r="J37" i="3"/>
  <c r="E37" i="3"/>
  <c r="U36" i="3"/>
  <c r="T36" i="3"/>
  <c r="O36" i="3"/>
  <c r="J36" i="3"/>
  <c r="E36" i="3"/>
  <c r="T35" i="3"/>
  <c r="O35" i="3"/>
  <c r="J35" i="3"/>
  <c r="E35" i="3"/>
  <c r="T34" i="3"/>
  <c r="O34" i="3"/>
  <c r="J34" i="3"/>
  <c r="E34" i="3"/>
  <c r="P31" i="3"/>
  <c r="R29" i="3"/>
  <c r="N29" i="3"/>
  <c r="G22" i="3" s="1"/>
  <c r="M26" i="3"/>
  <c r="K26" i="3"/>
  <c r="H26" i="3"/>
  <c r="G26" i="3"/>
  <c r="E26" i="3"/>
  <c r="D26" i="3"/>
  <c r="M25" i="3"/>
  <c r="H25" i="3"/>
  <c r="G25" i="3"/>
  <c r="E25" i="3"/>
  <c r="D25" i="3"/>
  <c r="N22" i="3"/>
  <c r="E22" i="3"/>
  <c r="J6" i="3" s="1"/>
  <c r="D22" i="3"/>
  <c r="I6" i="3" s="1"/>
  <c r="I8" i="3" s="1"/>
  <c r="O21" i="3"/>
  <c r="N21" i="3"/>
  <c r="N26" i="3" s="1"/>
  <c r="L21" i="3"/>
  <c r="L26" i="3" s="1"/>
  <c r="K21" i="3"/>
  <c r="F21" i="3"/>
  <c r="B11" i="3" s="1"/>
  <c r="C21" i="3"/>
  <c r="C26" i="3" s="1"/>
  <c r="O20" i="3"/>
  <c r="N20" i="3"/>
  <c r="F20" i="3"/>
  <c r="O19" i="3"/>
  <c r="N19" i="3"/>
  <c r="F19" i="3"/>
  <c r="O18" i="3"/>
  <c r="N18" i="3"/>
  <c r="F18" i="3"/>
  <c r="N17" i="3"/>
  <c r="N25" i="3" s="1"/>
  <c r="F17" i="3"/>
  <c r="O16" i="3"/>
  <c r="N16" i="3"/>
  <c r="F16" i="3"/>
  <c r="F25" i="3" s="1"/>
  <c r="F15" i="3"/>
  <c r="F14" i="3"/>
  <c r="N11" i="3"/>
  <c r="D11" i="3"/>
  <c r="C11" i="3"/>
  <c r="O8" i="3"/>
  <c r="N8" i="3"/>
  <c r="M8" i="3"/>
  <c r="L8" i="3"/>
  <c r="G8" i="3"/>
  <c r="F8" i="3"/>
  <c r="E8" i="3"/>
  <c r="H6" i="3"/>
  <c r="H8" i="3" s="1"/>
  <c r="D6" i="3"/>
  <c r="O11" i="3" s="1"/>
  <c r="C6" i="3"/>
  <c r="H13" i="2"/>
  <c r="J13" i="2" s="1"/>
  <c r="G13" i="2"/>
  <c r="I13" i="2" s="1"/>
  <c r="M13" i="2" s="1"/>
  <c r="F13" i="2"/>
  <c r="K13" i="2" s="1"/>
  <c r="E13" i="2"/>
  <c r="L11" i="2"/>
  <c r="K11" i="2"/>
  <c r="J11" i="2"/>
  <c r="I11" i="2"/>
  <c r="M11" i="2" s="1"/>
  <c r="D11" i="2"/>
  <c r="C11" i="2"/>
  <c r="L10" i="2"/>
  <c r="K10" i="2"/>
  <c r="J10" i="2"/>
  <c r="I10" i="2"/>
  <c r="M10" i="2" s="1"/>
  <c r="D10" i="2"/>
  <c r="C10" i="2"/>
  <c r="M9" i="2"/>
  <c r="K9" i="2"/>
  <c r="J9" i="2"/>
  <c r="I9" i="2"/>
  <c r="D9" i="2"/>
  <c r="C9" i="2"/>
  <c r="L8" i="2"/>
  <c r="K8" i="2"/>
  <c r="J8" i="2"/>
  <c r="M8" i="2" s="1"/>
  <c r="I8" i="2"/>
  <c r="D8" i="2"/>
  <c r="C8" i="2"/>
  <c r="M7" i="2"/>
  <c r="L7" i="2"/>
  <c r="K7" i="2"/>
  <c r="J7" i="2"/>
  <c r="I7" i="2"/>
  <c r="D7" i="2"/>
  <c r="C7" i="2"/>
  <c r="M6" i="2"/>
  <c r="L6" i="2"/>
  <c r="K6" i="2"/>
  <c r="J6" i="2"/>
  <c r="I6" i="2"/>
  <c r="D6" i="2"/>
  <c r="C6" i="2"/>
  <c r="M5" i="2"/>
  <c r="L5" i="2"/>
  <c r="K5" i="2"/>
  <c r="J5" i="2"/>
  <c r="I5" i="2"/>
  <c r="D5" i="2"/>
  <c r="C5" i="2"/>
  <c r="L4" i="2"/>
  <c r="K4" i="2"/>
  <c r="J4" i="2"/>
  <c r="M4" i="2" s="1"/>
  <c r="I4" i="2"/>
  <c r="D4" i="2"/>
  <c r="C4" i="2"/>
  <c r="L3" i="2"/>
  <c r="K3" i="2"/>
  <c r="J3" i="2"/>
  <c r="I3" i="2"/>
  <c r="M3" i="2" s="1"/>
  <c r="D3" i="2"/>
  <c r="C3" i="2"/>
  <c r="L82" i="1"/>
  <c r="K82" i="1"/>
  <c r="I82" i="1"/>
  <c r="H82" i="1"/>
  <c r="G82" i="1"/>
  <c r="J82" i="1" s="1"/>
  <c r="F82" i="1"/>
  <c r="E82" i="1"/>
  <c r="C80" i="1"/>
  <c r="D79" i="1"/>
  <c r="C79" i="1"/>
  <c r="D78" i="1"/>
  <c r="C78" i="1"/>
  <c r="D77" i="1"/>
  <c r="C77" i="1"/>
  <c r="D76" i="1"/>
  <c r="C76" i="1"/>
  <c r="D75" i="1"/>
  <c r="C75" i="1"/>
  <c r="J74" i="1"/>
  <c r="D74" i="1"/>
  <c r="C74" i="1"/>
  <c r="J73" i="1"/>
  <c r="D73" i="1"/>
  <c r="C73" i="1"/>
  <c r="J72" i="1"/>
  <c r="D72" i="1"/>
  <c r="C72" i="1"/>
  <c r="J71" i="1"/>
  <c r="D71" i="1"/>
  <c r="C71" i="1"/>
  <c r="J70" i="1"/>
  <c r="D70" i="1"/>
  <c r="C70" i="1"/>
  <c r="J69" i="1"/>
  <c r="D69" i="1"/>
  <c r="C69" i="1"/>
  <c r="J68" i="1"/>
  <c r="D68" i="1"/>
  <c r="C68" i="1"/>
  <c r="J67" i="1"/>
  <c r="D67" i="1"/>
  <c r="C67" i="1"/>
  <c r="J66" i="1"/>
  <c r="D66" i="1"/>
  <c r="C66" i="1"/>
  <c r="J65" i="1"/>
  <c r="D65" i="1"/>
  <c r="C65" i="1"/>
  <c r="J64" i="1"/>
  <c r="D64" i="1"/>
  <c r="C64" i="1"/>
  <c r="J63" i="1"/>
  <c r="D63" i="1"/>
  <c r="C63" i="1"/>
  <c r="J62" i="1"/>
  <c r="D62" i="1"/>
  <c r="C62" i="1"/>
  <c r="J61" i="1"/>
  <c r="D61" i="1"/>
  <c r="C61" i="1"/>
  <c r="C14" i="1"/>
  <c r="C13" i="1"/>
  <c r="C12" i="1"/>
  <c r="C11" i="1"/>
  <c r="C10" i="1"/>
  <c r="C9" i="1"/>
  <c r="C8" i="1"/>
  <c r="C7" i="1"/>
  <c r="C6" i="1"/>
  <c r="I49" i="3" l="1"/>
  <c r="C7" i="3"/>
  <c r="C8" i="3" s="1"/>
  <c r="C17" i="1"/>
  <c r="D13" i="2"/>
  <c r="D82" i="1"/>
  <c r="E50" i="3"/>
  <c r="D51" i="3"/>
  <c r="K11" i="3"/>
  <c r="J11" i="3"/>
  <c r="J8" i="3"/>
  <c r="I11" i="3"/>
  <c r="L11" i="3"/>
  <c r="L22" i="3"/>
  <c r="K22" i="3"/>
  <c r="K6" i="3"/>
  <c r="Q31" i="3"/>
  <c r="O26" i="3"/>
  <c r="R31" i="3"/>
  <c r="S29" i="3" s="1"/>
  <c r="P11" i="3" s="1"/>
  <c r="C49" i="3"/>
  <c r="C50" i="3" s="1"/>
  <c r="C51" i="3" s="1"/>
  <c r="E11" i="3"/>
  <c r="O17" i="3"/>
  <c r="O25" i="3" s="1"/>
  <c r="P21" i="3"/>
  <c r="P26" i="3" s="1"/>
  <c r="F26" i="3"/>
  <c r="U38" i="3"/>
  <c r="D8" i="3"/>
  <c r="Q21" i="3"/>
  <c r="Q26" i="3" s="1"/>
  <c r="O22" i="3"/>
  <c r="U35" i="3"/>
  <c r="E49" i="3"/>
  <c r="E46" i="3" s="1"/>
  <c r="L13" i="2"/>
  <c r="G49" i="3"/>
  <c r="F22" i="3"/>
  <c r="C25" i="3"/>
  <c r="U34" i="3"/>
  <c r="T41" i="3"/>
  <c r="U41" i="3" l="1"/>
  <c r="M49" i="3"/>
  <c r="G50" i="3"/>
  <c r="K49" i="3"/>
  <c r="L49" i="3" s="1"/>
  <c r="N49" i="3" s="1"/>
  <c r="E54" i="3" s="1"/>
  <c r="F54" i="3" s="1"/>
  <c r="Q22" i="3"/>
  <c r="P22" i="3"/>
  <c r="M11" i="3"/>
  <c r="K8" i="3"/>
  <c r="E51" i="3"/>
  <c r="F50" i="3"/>
  <c r="M50" i="3" l="1"/>
  <c r="G51" i="3"/>
  <c r="K50" i="3"/>
  <c r="L50" i="3" s="1"/>
  <c r="F51" i="3"/>
  <c r="N50" i="3"/>
  <c r="N51" i="3" l="1"/>
  <c r="M51" i="3"/>
  <c r="K51" i="3"/>
  <c r="L51" i="3" s="1"/>
</calcChain>
</file>

<file path=xl/sharedStrings.xml><?xml version="1.0" encoding="utf-8"?>
<sst xmlns="http://schemas.openxmlformats.org/spreadsheetml/2006/main" count="398" uniqueCount="199">
  <si>
    <t>HOUSING FINANCE COMPANIES</t>
  </si>
  <si>
    <t>Security Name</t>
  </si>
  <si>
    <t>MARKETCAP</t>
  </si>
  <si>
    <t>AUM_FY24</t>
  </si>
  <si>
    <t>Sales_fy24</t>
  </si>
  <si>
    <t>PROFIT 2024</t>
  </si>
  <si>
    <t>BAJAJHFL</t>
  </si>
  <si>
    <t>LICHSGFIN</t>
  </si>
  <si>
    <t>PNBHOUSING</t>
  </si>
  <si>
    <t>AADHARHFC</t>
  </si>
  <si>
    <t>APTUS</t>
  </si>
  <si>
    <t>AAVAS</t>
  </si>
  <si>
    <t>SAMMAANCAP</t>
  </si>
  <si>
    <t>CANFINHOME</t>
  </si>
  <si>
    <t>HOMEFIRST</t>
  </si>
  <si>
    <t>OTHER_11</t>
  </si>
  <si>
    <t>Industrry</t>
  </si>
  <si>
    <t>MARGIN %</t>
  </si>
  <si>
    <t>GROWTH 4Y</t>
  </si>
  <si>
    <t>GNPA%</t>
  </si>
  <si>
    <t>Security Code</t>
  </si>
  <si>
    <t>CMP</t>
  </si>
  <si>
    <t>SALES 2023</t>
  </si>
  <si>
    <t>PROFIT 2023</t>
  </si>
  <si>
    <t>INDIASHLTR</t>
  </si>
  <si>
    <t>REPCOHOME</t>
  </si>
  <si>
    <t>GICHSGFIN</t>
  </si>
  <si>
    <t>SRGHFL</t>
  </si>
  <si>
    <t>STARHFL</t>
  </si>
  <si>
    <t>RHFL</t>
  </si>
  <si>
    <t>MEHTAHG</t>
  </si>
  <si>
    <t>INDIAHOME</t>
  </si>
  <si>
    <t>INDBNK</t>
  </si>
  <si>
    <t>SAHARAHOUS</t>
  </si>
  <si>
    <t>ZHINDHSG</t>
  </si>
  <si>
    <t>MARKETC (₹ Cr)</t>
  </si>
  <si>
    <t>AUM_FY24 (₹ Cr)</t>
  </si>
  <si>
    <t>Sales_FY24 (₹ Cr)</t>
  </si>
  <si>
    <t>PROFIT 2024 (₹ Cr)</t>
  </si>
  <si>
    <t>GROWTH 4Y (%)</t>
  </si>
  <si>
    <t>GNPA %</t>
  </si>
  <si>
    <t>Bajaj Housing Finance (BAJAJHFL)</t>
  </si>
  <si>
    <t>LIC Housing Finance (LICHSGFIN)</t>
  </si>
  <si>
    <t>Aadhar Housing Finance (AADHARHFC)</t>
  </si>
  <si>
    <t>Aptus Value Housing (APTUS)</t>
  </si>
  <si>
    <t>Aavas Financiers (AAVAS)</t>
  </si>
  <si>
    <t>Home First Finance (HOMEFIRST)</t>
  </si>
  <si>
    <t>Market Cap ($ Billion)</t>
  </si>
  <si>
    <t>AUM ($ Billion)</t>
  </si>
  <si>
    <t>Sales FY24 ($ Billion)</t>
  </si>
  <si>
    <t>💸 Profit FY24 ($ Billion)</t>
  </si>
  <si>
    <t>HDFC (India) PremM</t>
  </si>
  <si>
    <t>Fannie Mae (US)</t>
  </si>
  <si>
    <t>Freddie Mac (US)</t>
  </si>
  <si>
    <t>Nationwide (UK)</t>
  </si>
  <si>
    <t>Tata Capital Housing Finance</t>
  </si>
  <si>
    <t>Piramal Capital &amp; Housing Finance</t>
  </si>
  <si>
    <t>India Shelter Finance</t>
  </si>
  <si>
    <t>IIFL Home Finance</t>
  </si>
  <si>
    <t>Aditya Birla Housing Finance</t>
  </si>
  <si>
    <t>Metric</t>
  </si>
  <si>
    <t>Projected 2035</t>
  </si>
  <si>
    <t>Housing Finance Industry Size (₹ Cr)</t>
  </si>
  <si>
    <t>₹50 lakh crore</t>
  </si>
  <si>
    <t>₹200 lakh crore</t>
  </si>
  <si>
    <t>Mortgage-to-GDP Ratio</t>
  </si>
  <si>
    <t>~11%</t>
  </si>
  <si>
    <t>25-30%</t>
  </si>
  <si>
    <t>Loan Growth (CAGR)</t>
  </si>
  <si>
    <t>~12%</t>
  </si>
  <si>
    <t>15-17%</t>
  </si>
  <si>
    <t>Top Players (Market Cap ₹ Cr)</t>
  </si>
  <si>
    <t>₹95,000 Cr (Bajaj HFL)</t>
  </si>
  <si>
    <t>₹3-5 lakh crore</t>
  </si>
  <si>
    <t>SYMBOL</t>
  </si>
  <si>
    <t>Sector</t>
  </si>
  <si>
    <t>Price</t>
  </si>
  <si>
    <t>Marketcap</t>
  </si>
  <si>
    <t>Sales H1_FY_25</t>
  </si>
  <si>
    <t>Sales H1_FY_24</t>
  </si>
  <si>
    <t>Profit_H1_fy25</t>
  </si>
  <si>
    <t>Profit H1_FY_24</t>
  </si>
  <si>
    <t>Margin_H1_25</t>
  </si>
  <si>
    <t>Margin_H1_24</t>
  </si>
  <si>
    <t>SALES_GR_H1_FY25</t>
  </si>
  <si>
    <t>PROFIT_GR_H1_FY25</t>
  </si>
  <si>
    <t>MARGIN CHANGE H1_FY25</t>
  </si>
  <si>
    <t>Housing Finance Company</t>
  </si>
  <si>
    <t>NA</t>
  </si>
  <si>
    <t>BAJAJ HOUSING FINANCE</t>
  </si>
  <si>
    <t>MARKET</t>
  </si>
  <si>
    <t>INCOME</t>
  </si>
  <si>
    <t>BALANCESHEET</t>
  </si>
  <si>
    <t>Equity</t>
  </si>
  <si>
    <t>FV</t>
  </si>
  <si>
    <t>TOTAL EQ</t>
  </si>
  <si>
    <t>AUM</t>
  </si>
  <si>
    <t>SALES</t>
  </si>
  <si>
    <t>PROFIT</t>
  </si>
  <si>
    <t>TRAIL_EPS</t>
  </si>
  <si>
    <t>ASSETS</t>
  </si>
  <si>
    <t>LIABILITIES</t>
  </si>
  <si>
    <t>EMPLOYEE</t>
  </si>
  <si>
    <t>COSTOFFUND</t>
  </si>
  <si>
    <t>FINANCE</t>
  </si>
  <si>
    <t>LAST YEAR_25</t>
  </si>
  <si>
    <t>MARGIN</t>
  </si>
  <si>
    <t>SALES GRO</t>
  </si>
  <si>
    <t>AUM GR</t>
  </si>
  <si>
    <t>DEP %</t>
  </si>
  <si>
    <t>NIM</t>
  </si>
  <si>
    <t>CRAR</t>
  </si>
  <si>
    <t>ROA</t>
  </si>
  <si>
    <t>ROE</t>
  </si>
  <si>
    <t>ROPE</t>
  </si>
  <si>
    <t>Trail_PE</t>
  </si>
  <si>
    <t>Yield</t>
  </si>
  <si>
    <t>BOOKVALUE</t>
  </si>
  <si>
    <t>P/BV X</t>
  </si>
  <si>
    <t>PEG</t>
  </si>
  <si>
    <t>YEAR</t>
  </si>
  <si>
    <t>AUM IN CR</t>
  </si>
  <si>
    <t>EPS</t>
  </si>
  <si>
    <t>LOW PRICE</t>
  </si>
  <si>
    <t>HIGH PRICE</t>
  </si>
  <si>
    <t>LOW PE</t>
  </si>
  <si>
    <t>HIGH PE</t>
  </si>
  <si>
    <t>Total Eq</t>
  </si>
  <si>
    <t>BookValue</t>
  </si>
  <si>
    <t>LBV</t>
  </si>
  <si>
    <t>HBV</t>
  </si>
  <si>
    <t>FY_18</t>
  </si>
  <si>
    <t>FY_19</t>
  </si>
  <si>
    <t>FY_20</t>
  </si>
  <si>
    <t>FY_21</t>
  </si>
  <si>
    <t>FY_22</t>
  </si>
  <si>
    <t>FY_23</t>
  </si>
  <si>
    <t>FY_24</t>
  </si>
  <si>
    <t>FY_25_IPO</t>
  </si>
  <si>
    <t>Trail FY_26</t>
  </si>
  <si>
    <t>5 YEAR</t>
  </si>
  <si>
    <t>LAST YEAR</t>
  </si>
  <si>
    <t>H1_FY_25</t>
  </si>
  <si>
    <t>9M_FY_25</t>
  </si>
  <si>
    <t>FY_25</t>
  </si>
  <si>
    <t>Q1_FY_26</t>
  </si>
  <si>
    <t>F-2026</t>
  </si>
  <si>
    <t>Current Trend</t>
  </si>
  <si>
    <t>Q2_FY25</t>
  </si>
  <si>
    <t>Q3_FY25</t>
  </si>
  <si>
    <t>Q4_FY25</t>
  </si>
  <si>
    <t>Q1_FY26</t>
  </si>
  <si>
    <t>EPS_25</t>
  </si>
  <si>
    <t>F_EPS</t>
  </si>
  <si>
    <t>F_PEG.</t>
  </si>
  <si>
    <t>PE_24</t>
  </si>
  <si>
    <t>T_PE</t>
  </si>
  <si>
    <t>R_PE_26</t>
  </si>
  <si>
    <t>RESULT</t>
  </si>
  <si>
    <t>Q1_FY_25</t>
  </si>
  <si>
    <t>GROWTH</t>
  </si>
  <si>
    <t>Q4_FY_25</t>
  </si>
  <si>
    <t>Q4_FY_24</t>
  </si>
  <si>
    <t>MAJOR COST</t>
  </si>
  <si>
    <t>SHARE</t>
  </si>
  <si>
    <t>Finance</t>
  </si>
  <si>
    <t>Fees &amp; Comm</t>
  </si>
  <si>
    <t>COST</t>
  </si>
  <si>
    <t>Impairment</t>
  </si>
  <si>
    <t>Employee</t>
  </si>
  <si>
    <t>D&amp;A</t>
  </si>
  <si>
    <t>Other Exp.</t>
  </si>
  <si>
    <t>GROSS NPA</t>
  </si>
  <si>
    <t>TOTAL</t>
  </si>
  <si>
    <t>LONG TERM</t>
  </si>
  <si>
    <t>Mid Term</t>
  </si>
  <si>
    <t>FY_26</t>
  </si>
  <si>
    <t>Base on EPS</t>
  </si>
  <si>
    <t>Base on BV</t>
  </si>
  <si>
    <t>Blended EPS(60%)+PBV(40%)</t>
  </si>
  <si>
    <t>BV</t>
  </si>
  <si>
    <t>LOW PRICE RANGE</t>
  </si>
  <si>
    <t>FAIRVALUE@EPS</t>
  </si>
  <si>
    <t>HIGH PRICE RANGE</t>
  </si>
  <si>
    <t>FAIRVALUE@BV</t>
  </si>
  <si>
    <t>Blended Farivalue</t>
  </si>
  <si>
    <t>SHP</t>
  </si>
  <si>
    <t>Q1_fy26</t>
  </si>
  <si>
    <t>EST_FY26</t>
  </si>
  <si>
    <t>Promoter</t>
  </si>
  <si>
    <t>EST_FY30</t>
  </si>
  <si>
    <t>Domesti_I</t>
  </si>
  <si>
    <t>EST_FY35</t>
  </si>
  <si>
    <t>Foregin_I</t>
  </si>
  <si>
    <t>Non_inst</t>
  </si>
  <si>
    <t>Company</t>
  </si>
  <si>
    <t>STRATEGIC WT %</t>
  </si>
  <si>
    <t>TAF</t>
  </si>
  <si>
    <t>Tactical Wt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</si>
</sst>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₹&quot;\ #,##0;[Red]&quot;₹&quot;\ \-#,##0"/>
    <numFmt numFmtId="164" formatCode="0.0%"/>
    <numFmt numFmtId="165" formatCode="0.0"/>
    <numFmt numFmtId="166" formatCode="&quot;₹&quot;\ #,##0.0;[Red]&quot;₹&quot;\ \-#,##0.0"/>
    <numFmt numFmtId="167" formatCode="#,##0;\(#,##0\)"/>
  </numFmts>
  <fonts count="29">
    <font>
      <sz val="10"/>
      <color rgb="FF000000"/>
      <name val="Calibri"/>
      <scheme val="minor"/>
    </font>
    <font>
      <sz val="36"/>
      <color rgb="FFFFFFFF"/>
      <name val="Arial"/>
    </font>
    <font>
      <b/>
      <sz val="11"/>
      <color rgb="FFFFFFFF"/>
      <name val="Arial"/>
    </font>
    <font>
      <sz val="10"/>
      <color theme="1"/>
      <name val="Calibri"/>
      <scheme val="minor"/>
    </font>
    <font>
      <b/>
      <sz val="11"/>
      <color theme="1"/>
      <name val="Arial"/>
    </font>
    <font>
      <sz val="10"/>
      <color theme="1"/>
      <name val="Calibri"/>
    </font>
    <font>
      <sz val="10"/>
      <color theme="1"/>
      <name val="Arial"/>
    </font>
    <font>
      <sz val="11"/>
      <color theme="1"/>
      <name val="Arial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omic Sans MS"/>
    </font>
    <font>
      <b/>
      <sz val="10"/>
      <color rgb="FFFFFFFF"/>
      <name val="Comic Sans MS"/>
    </font>
    <font>
      <sz val="9"/>
      <color theme="1"/>
      <name val="MyFirstFont"/>
    </font>
    <font>
      <sz val="11"/>
      <color theme="1"/>
      <name val="Calibri"/>
    </font>
    <font>
      <sz val="9"/>
      <color theme="1"/>
      <name val="Arial"/>
    </font>
    <font>
      <b/>
      <sz val="10"/>
      <color theme="1"/>
      <name val="Calibri"/>
      <scheme val="minor"/>
    </font>
    <font>
      <b/>
      <sz val="9"/>
      <color rgb="FFFFFFFF"/>
      <name val="Comic Sans MS"/>
    </font>
    <font>
      <b/>
      <sz val="8"/>
      <color rgb="FFFFFFFF"/>
      <name val="Comic Sans MS"/>
    </font>
    <font>
      <b/>
      <sz val="11"/>
      <color theme="1"/>
      <name val="Calibri"/>
    </font>
    <font>
      <b/>
      <sz val="10"/>
      <color theme="1"/>
      <name val="Arial"/>
    </font>
    <font>
      <sz val="11"/>
      <color rgb="FFFFFFFF"/>
      <name val="Calibri"/>
    </font>
    <font>
      <sz val="11"/>
      <color theme="0"/>
      <name val="Calibri"/>
    </font>
    <font>
      <sz val="11"/>
      <color theme="1"/>
      <name val="Source Code Pro"/>
    </font>
    <font>
      <sz val="11"/>
      <color rgb="FF0000FF"/>
      <name val="Source Code Pro"/>
    </font>
    <font>
      <sz val="25"/>
      <color theme="1"/>
      <name val="Arial"/>
    </font>
    <font>
      <sz val="10"/>
      <name val="Calibri"/>
    </font>
    <font>
      <sz val="9"/>
      <color rgb="FFFFFFFF"/>
      <name val="Calibri"/>
    </font>
    <font>
      <i/>
      <sz val="11"/>
      <color theme="1"/>
      <name val="Arial"/>
    </font>
    <font>
      <b/>
      <sz val="9"/>
      <color rgb="FFFFFFFF"/>
      <name val="Times New Roman"/>
    </font>
  </fonts>
  <fills count="130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D2EDE0"/>
        <bgColor rgb="FFD2EDE0"/>
      </patternFill>
    </fill>
    <fill>
      <patternFill patternType="solid">
        <fgColor rgb="FFD9F0E4"/>
        <bgColor rgb="FFD9F0E4"/>
      </patternFill>
    </fill>
    <fill>
      <patternFill patternType="solid">
        <fgColor rgb="FFCFECDD"/>
        <bgColor rgb="FFCFECDD"/>
      </patternFill>
    </fill>
    <fill>
      <patternFill patternType="solid">
        <fgColor rgb="FF57BB8A"/>
        <bgColor rgb="FF57BB8A"/>
      </patternFill>
    </fill>
    <fill>
      <patternFill patternType="solid">
        <fgColor rgb="FFDFF2E9"/>
        <bgColor rgb="FFDFF2E9"/>
      </patternFill>
    </fill>
    <fill>
      <patternFill patternType="solid">
        <fgColor rgb="FFDCF1E7"/>
        <bgColor rgb="FFDCF1E7"/>
      </patternFill>
    </fill>
    <fill>
      <patternFill patternType="solid">
        <fgColor rgb="FFD7EFE4"/>
        <bgColor rgb="FFD7EFE4"/>
      </patternFill>
    </fill>
    <fill>
      <patternFill patternType="solid">
        <fgColor rgb="FFFEFFFF"/>
        <bgColor rgb="FFFEFFFF"/>
      </patternFill>
    </fill>
    <fill>
      <patternFill patternType="solid">
        <fgColor rgb="FFFAFDFC"/>
        <bgColor rgb="FFFAFDFC"/>
      </patternFill>
    </fill>
    <fill>
      <patternFill patternType="solid">
        <fgColor rgb="FFF5FBF8"/>
        <bgColor rgb="FFF5FBF8"/>
      </patternFill>
    </fill>
    <fill>
      <patternFill patternType="solid">
        <fgColor rgb="FFEB9790"/>
        <bgColor rgb="FFEB9790"/>
      </patternFill>
    </fill>
    <fill>
      <patternFill patternType="solid">
        <fgColor rgb="FFF4C6C2"/>
        <bgColor rgb="FFF4C6C2"/>
      </patternFill>
    </fill>
    <fill>
      <patternFill patternType="solid">
        <fgColor rgb="FFFEFDFD"/>
        <bgColor rgb="FFFEFDFD"/>
      </patternFill>
    </fill>
    <fill>
      <patternFill patternType="solid">
        <fgColor rgb="FFFBEFEE"/>
        <bgColor rgb="FFFBEFEE"/>
      </patternFill>
    </fill>
    <fill>
      <patternFill patternType="solid">
        <fgColor rgb="FFFEFFFE"/>
        <bgColor rgb="FFFEFFFE"/>
      </patternFill>
    </fill>
    <fill>
      <patternFill patternType="solid">
        <fgColor rgb="FFFFFFFF"/>
        <bgColor rgb="FFFFFFFF"/>
      </patternFill>
    </fill>
    <fill>
      <patternFill patternType="solid">
        <fgColor rgb="FFE3F4EC"/>
        <bgColor rgb="FFE3F4EC"/>
      </patternFill>
    </fill>
    <fill>
      <patternFill patternType="solid">
        <fgColor rgb="FFF4FBF7"/>
        <bgColor rgb="FFF4FBF7"/>
      </patternFill>
    </fill>
    <fill>
      <patternFill patternType="solid">
        <fgColor rgb="FFF5CECB"/>
        <bgColor rgb="FFF5CECB"/>
      </patternFill>
    </fill>
    <fill>
      <patternFill patternType="solid">
        <fgColor rgb="FFF5CDC9"/>
        <bgColor rgb="FFF5CDC9"/>
      </patternFill>
    </fill>
    <fill>
      <patternFill patternType="solid">
        <fgColor rgb="FFF6FCF9"/>
        <bgColor rgb="FFF6FCF9"/>
      </patternFill>
    </fill>
    <fill>
      <patternFill patternType="solid">
        <fgColor rgb="FFF1BAB5"/>
        <bgColor rgb="FFF1BAB5"/>
      </patternFill>
    </fill>
    <fill>
      <patternFill patternType="solid">
        <fgColor rgb="FFCCEBDC"/>
        <bgColor rgb="FFCCEBDC"/>
      </patternFill>
    </fill>
    <fill>
      <patternFill patternType="solid">
        <fgColor rgb="FFECF7F2"/>
        <bgColor rgb="FFECF7F2"/>
      </patternFill>
    </fill>
    <fill>
      <patternFill patternType="solid">
        <fgColor rgb="FFE67C73"/>
        <bgColor rgb="FFE67C73"/>
      </patternFill>
    </fill>
    <fill>
      <patternFill patternType="solid">
        <fgColor rgb="FFDBF1E6"/>
        <bgColor rgb="FFDBF1E6"/>
      </patternFill>
    </fill>
    <fill>
      <patternFill patternType="solid">
        <fgColor rgb="FF227ACB"/>
        <bgColor rgb="FF227ACB"/>
      </patternFill>
    </fill>
    <fill>
      <patternFill patternType="solid">
        <fgColor rgb="FFF2F2F2"/>
        <bgColor rgb="FFF2F2F2"/>
      </patternFill>
    </fill>
    <fill>
      <patternFill patternType="solid">
        <fgColor rgb="FF63BE7B"/>
        <bgColor rgb="FF63BE7B"/>
      </patternFill>
    </fill>
    <fill>
      <patternFill patternType="solid">
        <fgColor rgb="FFD3ECDC"/>
        <bgColor rgb="FFD3ECDC"/>
      </patternFill>
    </fill>
    <fill>
      <patternFill patternType="solid">
        <fgColor rgb="FFDCEFE3"/>
        <bgColor rgb="FFDCEFE3"/>
      </patternFill>
    </fill>
    <fill>
      <patternFill patternType="solid">
        <fgColor rgb="FFFAC7C9"/>
        <bgColor rgb="FFFAC7C9"/>
      </patternFill>
    </fill>
    <fill>
      <patternFill patternType="solid">
        <fgColor rgb="FFE4F2EA"/>
        <bgColor rgb="FFE4F2EA"/>
      </patternFill>
    </fill>
    <fill>
      <patternFill patternType="solid">
        <fgColor rgb="FFF8696B"/>
        <bgColor rgb="FFF8696B"/>
      </patternFill>
    </fill>
    <fill>
      <patternFill patternType="solid">
        <fgColor rgb="FFFAFCFE"/>
        <bgColor rgb="FFFAFCFE"/>
      </patternFill>
    </fill>
    <fill>
      <patternFill patternType="solid">
        <fgColor rgb="FFFBFCFF"/>
        <bgColor rgb="FFFBFCFF"/>
      </patternFill>
    </fill>
    <fill>
      <patternFill patternType="solid">
        <fgColor rgb="FFFBFCFE"/>
        <bgColor rgb="FFFBFCFE"/>
      </patternFill>
    </fill>
    <fill>
      <patternFill patternType="solid">
        <fgColor rgb="FFF8FBFB"/>
        <bgColor rgb="FFF8FBFB"/>
      </patternFill>
    </fill>
    <fill>
      <patternFill patternType="solid">
        <fgColor rgb="FFE3F2EA"/>
        <bgColor rgb="FFE3F2EA"/>
      </patternFill>
    </fill>
    <fill>
      <patternFill patternType="solid">
        <fgColor rgb="FFFAB6B8"/>
        <bgColor rgb="FFFAB6B8"/>
      </patternFill>
    </fill>
    <fill>
      <patternFill patternType="solid">
        <fgColor rgb="FFFFEB84"/>
        <bgColor rgb="FFFFEB84"/>
      </patternFill>
    </fill>
    <fill>
      <patternFill patternType="solid">
        <fgColor rgb="FFFBE6E9"/>
        <bgColor rgb="FFFBE6E9"/>
      </patternFill>
    </fill>
    <fill>
      <patternFill patternType="solid">
        <fgColor rgb="FFFABABD"/>
        <bgColor rgb="FFFABABD"/>
      </patternFill>
    </fill>
    <fill>
      <patternFill patternType="solid">
        <fgColor rgb="FFD9EEE1"/>
        <bgColor rgb="FFD9EEE1"/>
      </patternFill>
    </fill>
    <fill>
      <patternFill patternType="solid">
        <fgColor rgb="FFFCEA83"/>
        <bgColor rgb="FFFCEA83"/>
      </patternFill>
    </fill>
    <fill>
      <patternFill patternType="solid">
        <fgColor rgb="FFFAC3C6"/>
        <bgColor rgb="FFFAC3C6"/>
      </patternFill>
    </fill>
    <fill>
      <patternFill patternType="solid">
        <fgColor rgb="FFFBE5E8"/>
        <bgColor rgb="FFFBE5E8"/>
      </patternFill>
    </fill>
    <fill>
      <patternFill patternType="solid">
        <fgColor rgb="FFFBDADD"/>
        <bgColor rgb="FFFBDADD"/>
      </patternFill>
    </fill>
    <fill>
      <patternFill patternType="solid">
        <fgColor rgb="FFFABFC2"/>
        <bgColor rgb="FFFABFC2"/>
      </patternFill>
    </fill>
    <fill>
      <patternFill patternType="solid">
        <fgColor rgb="FFFBE4E7"/>
        <bgColor rgb="FFFBE4E7"/>
      </patternFill>
    </fill>
    <fill>
      <patternFill patternType="solid">
        <fgColor rgb="FFFBEDF0"/>
        <bgColor rgb="FFFBEDF0"/>
      </patternFill>
    </fill>
    <fill>
      <patternFill patternType="solid">
        <fgColor rgb="FFE3E282"/>
        <bgColor rgb="FFE3E282"/>
      </patternFill>
    </fill>
    <fill>
      <patternFill patternType="solid">
        <fgColor rgb="FFF88B8D"/>
        <bgColor rgb="FFF88B8D"/>
      </patternFill>
    </fill>
    <fill>
      <patternFill patternType="solid">
        <fgColor rgb="FFF87476"/>
        <bgColor rgb="FFF87476"/>
      </patternFill>
    </fill>
    <fill>
      <patternFill patternType="solid">
        <fgColor rgb="FFF3F9F8"/>
        <bgColor rgb="FFF3F9F8"/>
      </patternFill>
    </fill>
    <fill>
      <patternFill patternType="solid">
        <fgColor rgb="FF87CD9A"/>
        <bgColor rgb="FF87CD9A"/>
      </patternFill>
    </fill>
    <fill>
      <patternFill patternType="solid">
        <fgColor rgb="FFFEC87E"/>
        <bgColor rgb="FFFEC87E"/>
      </patternFill>
    </fill>
    <fill>
      <patternFill patternType="solid">
        <fgColor rgb="FFFBDEE1"/>
        <bgColor rgb="FFFBDEE1"/>
      </patternFill>
    </fill>
    <fill>
      <patternFill patternType="solid">
        <fgColor rgb="FFF88284"/>
        <bgColor rgb="FFF88284"/>
      </patternFill>
    </fill>
    <fill>
      <patternFill patternType="solid">
        <fgColor rgb="FFF98F91"/>
        <bgColor rgb="FFF98F91"/>
      </patternFill>
    </fill>
    <fill>
      <patternFill patternType="solid">
        <fgColor rgb="FFF8898B"/>
        <bgColor rgb="FFF8898B"/>
      </patternFill>
    </fill>
    <fill>
      <patternFill patternType="solid">
        <fgColor rgb="FFD6EDDE"/>
        <bgColor rgb="FFD6EDDE"/>
      </patternFill>
    </fill>
    <fill>
      <patternFill patternType="solid">
        <fgColor rgb="FFFED17F"/>
        <bgColor rgb="FFFED17F"/>
      </patternFill>
    </fill>
    <fill>
      <patternFill patternType="solid">
        <fgColor rgb="FFFACBCD"/>
        <bgColor rgb="FFFACBCD"/>
      </patternFill>
    </fill>
    <fill>
      <patternFill patternType="solid">
        <fgColor rgb="FFDFE282"/>
        <bgColor rgb="FFDFE282"/>
      </patternFill>
    </fill>
    <fill>
      <patternFill patternType="solid">
        <fgColor rgb="FFEBF6F1"/>
        <bgColor rgb="FFEBF6F1"/>
      </patternFill>
    </fill>
    <fill>
      <patternFill patternType="solid">
        <fgColor rgb="FFBEE3C9"/>
        <bgColor rgb="FFBEE3C9"/>
      </patternFill>
    </fill>
    <fill>
      <patternFill patternType="solid">
        <fgColor rgb="FFB8E1C5"/>
        <bgColor rgb="FFB8E1C5"/>
      </patternFill>
    </fill>
    <fill>
      <patternFill patternType="solid">
        <fgColor rgb="FFB5E0C2"/>
        <bgColor rgb="FFB5E0C2"/>
      </patternFill>
    </fill>
    <fill>
      <patternFill patternType="solid">
        <fgColor rgb="FFF9AFB2"/>
        <bgColor rgb="FFF9AFB2"/>
      </patternFill>
    </fill>
    <fill>
      <patternFill patternType="solid">
        <fgColor rgb="FFF4F9F9"/>
        <bgColor rgb="FFF4F9F9"/>
      </patternFill>
    </fill>
    <fill>
      <patternFill patternType="solid">
        <fgColor rgb="FF4F81BD"/>
        <bgColor rgb="FF4F81BD"/>
      </patternFill>
    </fill>
    <fill>
      <patternFill patternType="solid">
        <fgColor rgb="FFF9A5A7"/>
        <bgColor rgb="FFF9A5A7"/>
      </patternFill>
    </fill>
    <fill>
      <patternFill patternType="solid">
        <fgColor rgb="FFA3D8B3"/>
        <bgColor rgb="FFA3D8B3"/>
      </patternFill>
    </fill>
    <fill>
      <patternFill patternType="solid">
        <fgColor rgb="FFA3D8B2"/>
        <bgColor rgb="FFA3D8B2"/>
      </patternFill>
    </fill>
    <fill>
      <patternFill patternType="solid">
        <fgColor rgb="FF97D3A8"/>
        <bgColor rgb="FF97D3A8"/>
      </patternFill>
    </fill>
    <fill>
      <patternFill patternType="solid">
        <fgColor rgb="FFB5DFC2"/>
        <bgColor rgb="FFB5DFC2"/>
      </patternFill>
    </fill>
    <fill>
      <patternFill patternType="solid">
        <fgColor rgb="FFCFEAD9"/>
        <bgColor rgb="FFCFEAD9"/>
      </patternFill>
    </fill>
    <fill>
      <patternFill patternType="solid">
        <fgColor rgb="FFFAB2B5"/>
        <bgColor rgb="FFFAB2B5"/>
      </patternFill>
    </fill>
    <fill>
      <patternFill patternType="solid">
        <fgColor rgb="FFFABEC1"/>
        <bgColor rgb="FFFABEC1"/>
      </patternFill>
    </fill>
    <fill>
      <patternFill patternType="solid">
        <fgColor rgb="FFFBDCDF"/>
        <bgColor rgb="FFFBDCDF"/>
      </patternFill>
    </fill>
    <fill>
      <patternFill patternType="solid">
        <fgColor rgb="FFFBE9EC"/>
        <bgColor rgb="FFFBE9EC"/>
      </patternFill>
    </fill>
    <fill>
      <patternFill patternType="solid">
        <fgColor rgb="FFFBE4E6"/>
        <bgColor rgb="FFFBE4E6"/>
      </patternFill>
    </fill>
    <fill>
      <patternFill patternType="solid">
        <fgColor rgb="FFFCFCFF"/>
        <bgColor rgb="FFFCFCFF"/>
      </patternFill>
    </fill>
    <fill>
      <patternFill patternType="solid">
        <fgColor rgb="FFB1D47F"/>
        <bgColor rgb="FFB1D47F"/>
      </patternFill>
    </fill>
    <fill>
      <patternFill patternType="solid">
        <fgColor rgb="FFFECB7E"/>
        <bgColor rgb="FFFECB7E"/>
      </patternFill>
    </fill>
    <fill>
      <patternFill patternType="solid">
        <fgColor rgb="FFEAF7F0"/>
        <bgColor rgb="FFEAF7F0"/>
      </patternFill>
    </fill>
    <fill>
      <patternFill patternType="solid">
        <fgColor rgb="FFE5F5ED"/>
        <bgColor rgb="FFE5F5ED"/>
      </patternFill>
    </fill>
    <fill>
      <patternFill patternType="solid">
        <fgColor rgb="FFFBFEFD"/>
        <bgColor rgb="FFFBFEFD"/>
      </patternFill>
    </fill>
    <fill>
      <patternFill patternType="solid">
        <fgColor rgb="FFBDBDBD"/>
        <bgColor rgb="FFBDBDBD"/>
      </patternFill>
    </fill>
    <fill>
      <patternFill patternType="solid">
        <fgColor rgb="FFF0F9F5"/>
        <bgColor rgb="FFF0F9F5"/>
      </patternFill>
    </fill>
    <fill>
      <patternFill patternType="solid">
        <fgColor rgb="FFF1FAF5"/>
        <bgColor rgb="FFF1FAF5"/>
      </patternFill>
    </fill>
    <fill>
      <patternFill patternType="solid">
        <fgColor rgb="FFFCF0EF"/>
        <bgColor rgb="FFFCF0EF"/>
      </patternFill>
    </fill>
    <fill>
      <patternFill patternType="solid">
        <fgColor rgb="FFFEFEFE"/>
        <bgColor rgb="FFFEFEFE"/>
      </patternFill>
    </fill>
    <fill>
      <patternFill patternType="solid">
        <fgColor rgb="FFE6F5EE"/>
        <bgColor rgb="FFE6F5EE"/>
      </patternFill>
    </fill>
    <fill>
      <patternFill patternType="solid">
        <fgColor rgb="FFEDF8F2"/>
        <bgColor rgb="FFEDF8F2"/>
      </patternFill>
    </fill>
    <fill>
      <patternFill patternType="solid">
        <fgColor rgb="FFFDF7F7"/>
        <bgColor rgb="FFFDF7F7"/>
      </patternFill>
    </fill>
    <fill>
      <patternFill patternType="solid">
        <fgColor rgb="FFF3F3F3"/>
        <bgColor rgb="FFF3F3F3"/>
      </patternFill>
    </fill>
    <fill>
      <patternFill patternType="solid">
        <fgColor rgb="FFDEF2E8"/>
        <bgColor rgb="FFDEF2E8"/>
      </patternFill>
    </fill>
    <fill>
      <patternFill patternType="solid">
        <fgColor rgb="FFFDFEFE"/>
        <bgColor rgb="FFFDFEFE"/>
      </patternFill>
    </fill>
    <fill>
      <patternFill patternType="solid">
        <fgColor rgb="FFC6E8D7"/>
        <bgColor rgb="FFC6E8D7"/>
      </patternFill>
    </fill>
    <fill>
      <patternFill patternType="solid">
        <fgColor rgb="FFC2E7D5"/>
        <bgColor rgb="FFC2E7D5"/>
      </patternFill>
    </fill>
    <fill>
      <patternFill patternType="solid">
        <fgColor rgb="FFFBFEFC"/>
        <bgColor rgb="FFFBFEFC"/>
      </patternFill>
    </fill>
    <fill>
      <patternFill patternType="solid">
        <fgColor rgb="FFE7F6EE"/>
        <bgColor rgb="FFE7F6EE"/>
      </patternFill>
    </fill>
    <fill>
      <patternFill patternType="solid">
        <fgColor rgb="FFFCF2F1"/>
        <bgColor rgb="FFFCF2F1"/>
      </patternFill>
    </fill>
    <fill>
      <patternFill patternType="solid">
        <fgColor rgb="FFF9FDFB"/>
        <bgColor rgb="FFF9FDFB"/>
      </patternFill>
    </fill>
    <fill>
      <patternFill patternType="solid">
        <fgColor rgb="FFEBF7F1"/>
        <bgColor rgb="FFEBF7F1"/>
      </patternFill>
    </fill>
    <fill>
      <patternFill patternType="solid">
        <fgColor rgb="FFEEF8F3"/>
        <bgColor rgb="FFEEF8F3"/>
      </patternFill>
    </fill>
    <fill>
      <patternFill patternType="solid">
        <fgColor rgb="FFE4F5ED"/>
        <bgColor rgb="FFE4F5ED"/>
      </patternFill>
    </fill>
    <fill>
      <patternFill patternType="solid">
        <fgColor rgb="FFE1F3EA"/>
        <bgColor rgb="FFE1F3EA"/>
      </patternFill>
    </fill>
    <fill>
      <patternFill patternType="solid">
        <fgColor rgb="FFF4FBF8"/>
        <bgColor rgb="FFF4FBF8"/>
      </patternFill>
    </fill>
    <fill>
      <patternFill patternType="solid">
        <fgColor rgb="FFFDFFFE"/>
        <bgColor rgb="FFFDFFFE"/>
      </patternFill>
    </fill>
    <fill>
      <patternFill patternType="solid">
        <fgColor rgb="FFFAE7E5"/>
        <bgColor rgb="FFFAE7E5"/>
      </patternFill>
    </fill>
    <fill>
      <patternFill patternType="solid">
        <fgColor rgb="FFFBFDFC"/>
        <bgColor rgb="FFFBFDFC"/>
      </patternFill>
    </fill>
    <fill>
      <patternFill patternType="solid">
        <fgColor rgb="FF002060"/>
        <bgColor rgb="FF002060"/>
      </patternFill>
    </fill>
    <fill>
      <patternFill patternType="solid">
        <fgColor rgb="FFF4CAC6"/>
        <bgColor rgb="FFF4CAC6"/>
      </patternFill>
    </fill>
    <fill>
      <patternFill patternType="solid">
        <fgColor rgb="FF999999"/>
        <bgColor rgb="FF999999"/>
      </patternFill>
    </fill>
    <fill>
      <patternFill patternType="solid">
        <fgColor rgb="FFF7D9D6"/>
        <bgColor rgb="FFF7D9D6"/>
      </patternFill>
    </fill>
    <fill>
      <patternFill patternType="solid">
        <fgColor rgb="FFF6D3D0"/>
        <bgColor rgb="FFF6D3D0"/>
      </patternFill>
    </fill>
    <fill>
      <patternFill patternType="solid">
        <fgColor rgb="FFFFD666"/>
        <bgColor rgb="FFFFD666"/>
      </patternFill>
    </fill>
    <fill>
      <patternFill patternType="solid">
        <fgColor rgb="FFFEF9F9"/>
        <bgColor rgb="FFFEF9F9"/>
      </patternFill>
    </fill>
    <fill>
      <patternFill patternType="solid">
        <fgColor rgb="FFFBEBE9"/>
        <bgColor rgb="FFFBEBE9"/>
      </patternFill>
    </fill>
    <fill>
      <patternFill patternType="solid">
        <fgColor rgb="FFD5EEE2"/>
        <bgColor rgb="FFD5EEE2"/>
      </patternFill>
    </fill>
    <fill>
      <patternFill patternType="solid">
        <fgColor rgb="FFBFE5D2"/>
        <bgColor rgb="FFBFE5D2"/>
      </patternFill>
    </fill>
    <fill>
      <patternFill patternType="solid">
        <fgColor rgb="FFE88A82"/>
        <bgColor rgb="FFE88A82"/>
      </patternFill>
    </fill>
    <fill>
      <patternFill patternType="solid">
        <fgColor rgb="FFD9D9D9"/>
        <bgColor rgb="FFD9D9D9"/>
      </patternFill>
    </fill>
    <fill>
      <patternFill patternType="solid">
        <fgColor rgb="FF0C343D"/>
        <bgColor rgb="FF0C343D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0" fontId="3" fillId="0" borderId="0" xfId="0" applyFont="1"/>
    <xf numFmtId="1" fontId="4" fillId="0" borderId="1" xfId="0" applyNumberFormat="1" applyFont="1" applyBorder="1" applyAlignment="1">
      <alignment horizontal="right"/>
    </xf>
    <xf numFmtId="0" fontId="5" fillId="0" borderId="0" xfId="0" applyFont="1"/>
    <xf numFmtId="0" fontId="5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6" fillId="5" borderId="2" xfId="0" applyFont="1" applyFill="1" applyBorder="1" applyAlignment="1">
      <alignment horizontal="right"/>
    </xf>
    <xf numFmtId="0" fontId="5" fillId="6" borderId="0" xfId="0" applyFont="1" applyFill="1" applyAlignment="1">
      <alignment horizontal="right"/>
    </xf>
    <xf numFmtId="0" fontId="6" fillId="6" borderId="2" xfId="0" applyFont="1" applyFill="1" applyBorder="1" applyAlignment="1">
      <alignment horizontal="right"/>
    </xf>
    <xf numFmtId="0" fontId="5" fillId="7" borderId="0" xfId="0" applyFont="1" applyFill="1" applyAlignment="1">
      <alignment horizontal="right"/>
    </xf>
    <xf numFmtId="0" fontId="5" fillId="8" borderId="0" xfId="0" applyFont="1" applyFill="1" applyAlignment="1">
      <alignment horizontal="right"/>
    </xf>
    <xf numFmtId="0" fontId="6" fillId="9" borderId="2" xfId="0" applyFont="1" applyFill="1" applyBorder="1" applyAlignment="1">
      <alignment horizontal="right"/>
    </xf>
    <xf numFmtId="0" fontId="5" fillId="10" borderId="0" xfId="0" applyFont="1" applyFill="1" applyAlignment="1">
      <alignment horizontal="right"/>
    </xf>
    <xf numFmtId="0" fontId="5" fillId="11" borderId="0" xfId="0" applyFont="1" applyFill="1" applyAlignment="1">
      <alignment horizontal="right"/>
    </xf>
    <xf numFmtId="0" fontId="6" fillId="12" borderId="2" xfId="0" applyFont="1" applyFill="1" applyBorder="1" applyAlignment="1">
      <alignment horizontal="right"/>
    </xf>
    <xf numFmtId="0" fontId="5" fillId="13" borderId="0" xfId="0" applyFont="1" applyFill="1" applyAlignment="1">
      <alignment horizontal="right"/>
    </xf>
    <xf numFmtId="0" fontId="5" fillId="14" borderId="0" xfId="0" applyFont="1" applyFill="1" applyAlignment="1">
      <alignment horizontal="right"/>
    </xf>
    <xf numFmtId="0" fontId="6" fillId="15" borderId="2" xfId="0" applyFont="1" applyFill="1" applyBorder="1" applyAlignment="1">
      <alignment horizontal="right"/>
    </xf>
    <xf numFmtId="0" fontId="5" fillId="0" borderId="3" xfId="0" applyFont="1" applyBorder="1"/>
    <xf numFmtId="0" fontId="5" fillId="16" borderId="3" xfId="0" applyFont="1" applyFill="1" applyBorder="1" applyAlignment="1">
      <alignment horizontal="right"/>
    </xf>
    <xf numFmtId="0" fontId="5" fillId="17" borderId="0" xfId="0" applyFont="1" applyFill="1" applyAlignment="1">
      <alignment horizontal="right"/>
    </xf>
    <xf numFmtId="0" fontId="6" fillId="18" borderId="2" xfId="0" applyFont="1" applyFill="1" applyBorder="1" applyAlignment="1">
      <alignment horizontal="right"/>
    </xf>
    <xf numFmtId="0" fontId="6" fillId="19" borderId="2" xfId="0" applyFont="1" applyFill="1" applyBorder="1" applyAlignment="1">
      <alignment horizontal="right"/>
    </xf>
    <xf numFmtId="0" fontId="5" fillId="20" borderId="0" xfId="0" applyFont="1" applyFill="1" applyAlignment="1">
      <alignment horizontal="right"/>
    </xf>
    <xf numFmtId="0" fontId="5" fillId="21" borderId="3" xfId="0" applyFont="1" applyFill="1" applyBorder="1" applyAlignment="1">
      <alignment horizontal="right"/>
    </xf>
    <xf numFmtId="0" fontId="6" fillId="22" borderId="4" xfId="0" applyFont="1" applyFill="1" applyBorder="1" applyAlignment="1">
      <alignment horizontal="right"/>
    </xf>
    <xf numFmtId="0" fontId="3" fillId="0" borderId="3" xfId="0" applyFont="1" applyBorder="1"/>
    <xf numFmtId="0" fontId="3" fillId="0" borderId="5" xfId="0" applyFont="1" applyBorder="1"/>
    <xf numFmtId="1" fontId="3" fillId="0" borderId="5" xfId="0" applyNumberFormat="1" applyFont="1" applyBorder="1"/>
    <xf numFmtId="0" fontId="2" fillId="2" borderId="6" xfId="0" applyFont="1" applyFill="1" applyBorder="1"/>
    <xf numFmtId="1" fontId="2" fillId="2" borderId="6" xfId="0" applyNumberFormat="1" applyFont="1" applyFill="1" applyBorder="1"/>
    <xf numFmtId="164" fontId="5" fillId="23" borderId="0" xfId="0" applyNumberFormat="1" applyFont="1" applyFill="1" applyAlignment="1">
      <alignment horizontal="right"/>
    </xf>
    <xf numFmtId="164" fontId="3" fillId="0" borderId="0" xfId="0" applyNumberFormat="1" applyFont="1"/>
    <xf numFmtId="10" fontId="3" fillId="0" borderId="0" xfId="0" applyNumberFormat="1" applyFont="1"/>
    <xf numFmtId="164" fontId="5" fillId="24" borderId="0" xfId="0" applyNumberFormat="1" applyFont="1" applyFill="1" applyAlignment="1">
      <alignment horizontal="right"/>
    </xf>
    <xf numFmtId="164" fontId="5" fillId="18" borderId="0" xfId="0" applyNumberFormat="1" applyFont="1" applyFill="1" applyAlignment="1">
      <alignment horizontal="right"/>
    </xf>
    <xf numFmtId="164" fontId="5" fillId="25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164" fontId="5" fillId="26" borderId="0" xfId="0" applyNumberFormat="1" applyFont="1" applyFill="1" applyAlignment="1">
      <alignment horizontal="right"/>
    </xf>
    <xf numFmtId="164" fontId="5" fillId="27" borderId="0" xfId="0" applyNumberFormat="1" applyFont="1" applyFill="1" applyAlignment="1">
      <alignment horizontal="right"/>
    </xf>
    <xf numFmtId="164" fontId="5" fillId="15" borderId="0" xfId="0" applyNumberFormat="1" applyFont="1" applyFill="1" applyAlignment="1">
      <alignment horizontal="right"/>
    </xf>
    <xf numFmtId="164" fontId="5" fillId="28" borderId="3" xfId="0" applyNumberFormat="1" applyFont="1" applyFill="1" applyBorder="1" applyAlignment="1">
      <alignment horizontal="right"/>
    </xf>
    <xf numFmtId="164" fontId="3" fillId="0" borderId="3" xfId="0" applyNumberFormat="1" applyFont="1" applyBorder="1"/>
    <xf numFmtId="10" fontId="3" fillId="0" borderId="3" xfId="0" applyNumberFormat="1" applyFont="1" applyBorder="1"/>
    <xf numFmtId="164" fontId="3" fillId="0" borderId="5" xfId="0" applyNumberFormat="1" applyFont="1" applyBorder="1"/>
    <xf numFmtId="0" fontId="7" fillId="0" borderId="7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8" xfId="0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10" fontId="3" fillId="0" borderId="5" xfId="0" applyNumberFormat="1" applyFont="1" applyBorder="1"/>
    <xf numFmtId="0" fontId="8" fillId="29" borderId="7" xfId="0" applyFont="1" applyFill="1" applyBorder="1" applyAlignment="1">
      <alignment horizontal="center" vertical="top"/>
    </xf>
    <xf numFmtId="0" fontId="8" fillId="29" borderId="1" xfId="0" applyFont="1" applyFill="1" applyBorder="1" applyAlignment="1">
      <alignment horizontal="center" vertical="top"/>
    </xf>
    <xf numFmtId="0" fontId="9" fillId="30" borderId="0" xfId="0" applyFont="1" applyFill="1" applyAlignment="1">
      <alignment horizontal="left"/>
    </xf>
    <xf numFmtId="0" fontId="9" fillId="31" borderId="0" xfId="0" applyFont="1" applyFill="1" applyAlignment="1">
      <alignment horizontal="right"/>
    </xf>
    <xf numFmtId="0" fontId="9" fillId="32" borderId="0" xfId="0" applyFont="1" applyFill="1" applyAlignment="1">
      <alignment horizontal="right"/>
    </xf>
    <xf numFmtId="0" fontId="9" fillId="33" borderId="0" xfId="0" applyFont="1" applyFill="1" applyAlignment="1">
      <alignment horizontal="right"/>
    </xf>
    <xf numFmtId="0" fontId="9" fillId="34" borderId="0" xfId="0" applyFont="1" applyFill="1" applyAlignment="1">
      <alignment horizontal="right"/>
    </xf>
    <xf numFmtId="0" fontId="9" fillId="35" borderId="0" xfId="0" applyFont="1" applyFill="1" applyAlignment="1">
      <alignment horizontal="right"/>
    </xf>
    <xf numFmtId="0" fontId="9" fillId="36" borderId="0" xfId="0" applyFont="1" applyFill="1" applyAlignment="1">
      <alignment horizontal="right"/>
    </xf>
    <xf numFmtId="0" fontId="9" fillId="37" borderId="0" xfId="0" applyFont="1" applyFill="1" applyAlignment="1">
      <alignment horizontal="right"/>
    </xf>
    <xf numFmtId="0" fontId="9" fillId="38" borderId="0" xfId="0" applyFont="1" applyFill="1" applyAlignment="1">
      <alignment horizontal="right"/>
    </xf>
    <xf numFmtId="0" fontId="9" fillId="39" borderId="0" xfId="0" applyFont="1" applyFill="1" applyAlignment="1">
      <alignment horizontal="right"/>
    </xf>
    <xf numFmtId="0" fontId="9" fillId="40" borderId="0" xfId="0" applyFont="1" applyFill="1" applyAlignment="1">
      <alignment horizontal="right"/>
    </xf>
    <xf numFmtId="0" fontId="9" fillId="41" borderId="0" xfId="0" applyFont="1" applyFill="1" applyAlignment="1">
      <alignment horizontal="right"/>
    </xf>
    <xf numFmtId="0" fontId="9" fillId="42" borderId="0" xfId="0" applyFont="1" applyFill="1" applyAlignment="1">
      <alignment horizontal="right"/>
    </xf>
    <xf numFmtId="0" fontId="9" fillId="43" borderId="0" xfId="0" applyFont="1" applyFill="1" applyAlignment="1">
      <alignment horizontal="right"/>
    </xf>
    <xf numFmtId="0" fontId="9" fillId="44" borderId="0" xfId="0" applyFont="1" applyFill="1" applyAlignment="1">
      <alignment horizontal="right"/>
    </xf>
    <xf numFmtId="0" fontId="9" fillId="45" borderId="0" xfId="0" applyFont="1" applyFill="1" applyAlignment="1">
      <alignment horizontal="right"/>
    </xf>
    <xf numFmtId="0" fontId="9" fillId="46" borderId="0" xfId="0" applyFont="1" applyFill="1" applyAlignment="1">
      <alignment horizontal="right"/>
    </xf>
    <xf numFmtId="0" fontId="9" fillId="47" borderId="0" xfId="0" applyFont="1" applyFill="1" applyAlignment="1">
      <alignment horizontal="right"/>
    </xf>
    <xf numFmtId="0" fontId="9" fillId="48" borderId="0" xfId="0" applyFont="1" applyFill="1" applyAlignment="1">
      <alignment horizontal="right"/>
    </xf>
    <xf numFmtId="0" fontId="9" fillId="49" borderId="0" xfId="0" applyFont="1" applyFill="1" applyAlignment="1">
      <alignment horizontal="right"/>
    </xf>
    <xf numFmtId="0" fontId="9" fillId="50" borderId="0" xfId="0" applyFont="1" applyFill="1" applyAlignment="1">
      <alignment horizontal="right"/>
    </xf>
    <xf numFmtId="0" fontId="9" fillId="51" borderId="0" xfId="0" applyFont="1" applyFill="1" applyAlignment="1">
      <alignment horizontal="right"/>
    </xf>
    <xf numFmtId="0" fontId="9" fillId="52" borderId="0" xfId="0" applyFont="1" applyFill="1" applyAlignment="1">
      <alignment horizontal="right"/>
    </xf>
    <xf numFmtId="0" fontId="9" fillId="53" borderId="0" xfId="0" applyFont="1" applyFill="1" applyAlignment="1">
      <alignment horizontal="right"/>
    </xf>
    <xf numFmtId="0" fontId="9" fillId="54" borderId="0" xfId="0" applyFont="1" applyFill="1" applyAlignment="1">
      <alignment horizontal="right"/>
    </xf>
    <xf numFmtId="0" fontId="9" fillId="55" borderId="0" xfId="0" applyFont="1" applyFill="1" applyAlignment="1">
      <alignment horizontal="right"/>
    </xf>
    <xf numFmtId="0" fontId="9" fillId="56" borderId="0" xfId="0" applyFont="1" applyFill="1" applyAlignment="1">
      <alignment horizontal="right"/>
    </xf>
    <xf numFmtId="0" fontId="9" fillId="57" borderId="0" xfId="0" applyFont="1" applyFill="1" applyAlignment="1">
      <alignment horizontal="right"/>
    </xf>
    <xf numFmtId="0" fontId="9" fillId="58" borderId="0" xfId="0" applyFont="1" applyFill="1" applyAlignment="1">
      <alignment horizontal="right"/>
    </xf>
    <xf numFmtId="0" fontId="9" fillId="59" borderId="0" xfId="0" applyFont="1" applyFill="1" applyAlignment="1">
      <alignment horizontal="right"/>
    </xf>
    <xf numFmtId="0" fontId="9" fillId="60" borderId="0" xfId="0" applyFont="1" applyFill="1" applyAlignment="1">
      <alignment horizontal="right"/>
    </xf>
    <xf numFmtId="0" fontId="9" fillId="61" borderId="0" xfId="0" applyFont="1" applyFill="1" applyAlignment="1">
      <alignment horizontal="right"/>
    </xf>
    <xf numFmtId="0" fontId="9" fillId="62" borderId="0" xfId="0" applyFont="1" applyFill="1" applyAlignment="1">
      <alignment horizontal="right"/>
    </xf>
    <xf numFmtId="0" fontId="9" fillId="63" borderId="0" xfId="0" applyFont="1" applyFill="1" applyAlignment="1">
      <alignment horizontal="right"/>
    </xf>
    <xf numFmtId="0" fontId="9" fillId="64" borderId="0" xfId="0" applyFont="1" applyFill="1" applyAlignment="1">
      <alignment horizontal="right"/>
    </xf>
    <xf numFmtId="0" fontId="9" fillId="65" borderId="0" xfId="0" applyFont="1" applyFill="1" applyAlignment="1">
      <alignment horizontal="right"/>
    </xf>
    <xf numFmtId="0" fontId="9" fillId="66" borderId="0" xfId="0" applyFont="1" applyFill="1" applyAlignment="1">
      <alignment horizontal="right"/>
    </xf>
    <xf numFmtId="0" fontId="9" fillId="67" borderId="0" xfId="0" applyFont="1" applyFill="1" applyAlignment="1">
      <alignment horizontal="right"/>
    </xf>
    <xf numFmtId="0" fontId="9" fillId="68" borderId="0" xfId="0" applyFont="1" applyFill="1" applyAlignment="1">
      <alignment horizontal="right"/>
    </xf>
    <xf numFmtId="0" fontId="9" fillId="69" borderId="0" xfId="0" applyFont="1" applyFill="1" applyAlignment="1">
      <alignment horizontal="right"/>
    </xf>
    <xf numFmtId="0" fontId="9" fillId="70" borderId="0" xfId="0" applyFont="1" applyFill="1" applyAlignment="1">
      <alignment horizontal="right"/>
    </xf>
    <xf numFmtId="0" fontId="9" fillId="71" borderId="0" xfId="0" applyFont="1" applyFill="1" applyAlignment="1">
      <alignment horizontal="right"/>
    </xf>
    <xf numFmtId="0" fontId="9" fillId="72" borderId="0" xfId="0" applyFont="1" applyFill="1" applyAlignment="1">
      <alignment horizontal="right"/>
    </xf>
    <xf numFmtId="0" fontId="9" fillId="73" borderId="0" xfId="0" applyFont="1" applyFill="1" applyAlignment="1">
      <alignment horizontal="right"/>
    </xf>
    <xf numFmtId="0" fontId="9" fillId="0" borderId="0" xfId="0" applyFont="1"/>
    <xf numFmtId="0" fontId="8" fillId="74" borderId="7" xfId="0" applyFont="1" applyFill="1" applyBorder="1" applyAlignment="1">
      <alignment horizontal="center" vertical="top"/>
    </xf>
    <xf numFmtId="0" fontId="8" fillId="74" borderId="1" xfId="0" applyFont="1" applyFill="1" applyBorder="1" applyAlignment="1">
      <alignment horizontal="center" vertical="top"/>
    </xf>
    <xf numFmtId="0" fontId="9" fillId="75" borderId="0" xfId="0" applyFont="1" applyFill="1" applyAlignment="1">
      <alignment horizontal="right"/>
    </xf>
    <xf numFmtId="0" fontId="9" fillId="76" borderId="0" xfId="0" applyFont="1" applyFill="1" applyAlignment="1">
      <alignment horizontal="right"/>
    </xf>
    <xf numFmtId="0" fontId="9" fillId="77" borderId="0" xfId="0" applyFont="1" applyFill="1" applyAlignment="1">
      <alignment horizontal="right"/>
    </xf>
    <xf numFmtId="0" fontId="9" fillId="78" borderId="0" xfId="0" applyFont="1" applyFill="1" applyAlignment="1">
      <alignment horizontal="right"/>
    </xf>
    <xf numFmtId="0" fontId="9" fillId="79" borderId="0" xfId="0" applyFont="1" applyFill="1" applyAlignment="1">
      <alignment horizontal="right"/>
    </xf>
    <xf numFmtId="0" fontId="9" fillId="80" borderId="0" xfId="0" applyFont="1" applyFill="1" applyAlignment="1">
      <alignment horizontal="right"/>
    </xf>
    <xf numFmtId="0" fontId="9" fillId="81" borderId="0" xfId="0" applyFont="1" applyFill="1" applyAlignment="1">
      <alignment horizontal="right"/>
    </xf>
    <xf numFmtId="0" fontId="9" fillId="82" borderId="0" xfId="0" applyFont="1" applyFill="1" applyAlignment="1">
      <alignment horizontal="right"/>
    </xf>
    <xf numFmtId="0" fontId="9" fillId="83" borderId="0" xfId="0" applyFont="1" applyFill="1" applyAlignment="1">
      <alignment horizontal="right"/>
    </xf>
    <xf numFmtId="0" fontId="9" fillId="84" borderId="0" xfId="0" applyFont="1" applyFill="1" applyAlignment="1">
      <alignment horizontal="right"/>
    </xf>
    <xf numFmtId="0" fontId="9" fillId="85" borderId="0" xfId="0" applyFont="1" applyFill="1" applyAlignment="1">
      <alignment horizontal="right"/>
    </xf>
    <xf numFmtId="0" fontId="9" fillId="86" borderId="0" xfId="0" applyFont="1" applyFill="1" applyAlignment="1">
      <alignment horizontal="right"/>
    </xf>
    <xf numFmtId="0" fontId="9" fillId="87" borderId="0" xfId="0" applyFont="1" applyFill="1" applyAlignment="1">
      <alignment horizontal="right"/>
    </xf>
    <xf numFmtId="0" fontId="9" fillId="88" borderId="0" xfId="0" applyFont="1" applyFill="1" applyAlignment="1">
      <alignment horizontal="right"/>
    </xf>
    <xf numFmtId="0" fontId="10" fillId="2" borderId="7" xfId="0" applyFont="1" applyFill="1" applyBorder="1"/>
    <xf numFmtId="0" fontId="11" fillId="2" borderId="7" xfId="0" applyFont="1" applyFill="1" applyBorder="1"/>
    <xf numFmtId="1" fontId="11" fillId="2" borderId="7" xfId="0" applyNumberFormat="1" applyFont="1" applyFill="1" applyBorder="1"/>
    <xf numFmtId="0" fontId="6" fillId="0" borderId="7" xfId="0" applyFont="1" applyBorder="1"/>
    <xf numFmtId="0" fontId="12" fillId="18" borderId="7" xfId="0" applyFont="1" applyFill="1" applyBorder="1" applyAlignment="1">
      <alignment horizontal="right"/>
    </xf>
    <xf numFmtId="1" fontId="6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10" fontId="6" fillId="89" borderId="7" xfId="0" applyNumberFormat="1" applyFont="1" applyFill="1" applyBorder="1" applyAlignment="1">
      <alignment horizontal="right"/>
    </xf>
    <xf numFmtId="10" fontId="6" fillId="90" borderId="7" xfId="0" applyNumberFormat="1" applyFont="1" applyFill="1" applyBorder="1" applyAlignment="1">
      <alignment horizontal="right"/>
    </xf>
    <xf numFmtId="10" fontId="6" fillId="91" borderId="7" xfId="0" applyNumberFormat="1" applyFont="1" applyFill="1" applyBorder="1" applyAlignment="1">
      <alignment horizontal="right"/>
    </xf>
    <xf numFmtId="10" fontId="6" fillId="18" borderId="7" xfId="0" applyNumberFormat="1" applyFont="1" applyFill="1" applyBorder="1" applyAlignment="1">
      <alignment horizontal="right"/>
    </xf>
    <xf numFmtId="10" fontId="6" fillId="92" borderId="7" xfId="0" applyNumberFormat="1" applyFont="1" applyFill="1" applyBorder="1" applyAlignment="1">
      <alignment horizontal="right"/>
    </xf>
    <xf numFmtId="0" fontId="13" fillId="0" borderId="7" xfId="0" applyFont="1" applyBorder="1"/>
    <xf numFmtId="10" fontId="6" fillId="93" borderId="7" xfId="0" applyNumberFormat="1" applyFont="1" applyFill="1" applyBorder="1" applyAlignment="1">
      <alignment horizontal="right"/>
    </xf>
    <xf numFmtId="10" fontId="6" fillId="94" borderId="7" xfId="0" applyNumberFormat="1" applyFont="1" applyFill="1" applyBorder="1" applyAlignment="1">
      <alignment horizontal="right"/>
    </xf>
    <xf numFmtId="10" fontId="6" fillId="95" borderId="7" xfId="0" applyNumberFormat="1" applyFont="1" applyFill="1" applyBorder="1" applyAlignment="1">
      <alignment horizontal="right"/>
    </xf>
    <xf numFmtId="10" fontId="6" fillId="96" borderId="7" xfId="0" applyNumberFormat="1" applyFont="1" applyFill="1" applyBorder="1" applyAlignment="1">
      <alignment horizontal="right"/>
    </xf>
    <xf numFmtId="10" fontId="6" fillId="97" borderId="7" xfId="0" applyNumberFormat="1" applyFont="1" applyFill="1" applyBorder="1" applyAlignment="1">
      <alignment horizontal="right"/>
    </xf>
    <xf numFmtId="10" fontId="6" fillId="98" borderId="7" xfId="0" applyNumberFormat="1" applyFont="1" applyFill="1" applyBorder="1" applyAlignment="1">
      <alignment horizontal="right"/>
    </xf>
    <xf numFmtId="10" fontId="6" fillId="99" borderId="7" xfId="0" applyNumberFormat="1" applyFont="1" applyFill="1" applyBorder="1" applyAlignment="1">
      <alignment horizontal="right"/>
    </xf>
    <xf numFmtId="10" fontId="6" fillId="100" borderId="7" xfId="0" applyNumberFormat="1" applyFont="1" applyFill="1" applyBorder="1" applyAlignment="1">
      <alignment horizontal="right"/>
    </xf>
    <xf numFmtId="10" fontId="6" fillId="101" borderId="7" xfId="0" applyNumberFormat="1" applyFont="1" applyFill="1" applyBorder="1" applyAlignment="1">
      <alignment horizontal="right"/>
    </xf>
    <xf numFmtId="10" fontId="6" fillId="7" borderId="7" xfId="0" applyNumberFormat="1" applyFont="1" applyFill="1" applyBorder="1" applyAlignment="1">
      <alignment horizontal="right"/>
    </xf>
    <xf numFmtId="10" fontId="6" fillId="102" borderId="7" xfId="0" applyNumberFormat="1" applyFont="1" applyFill="1" applyBorder="1" applyAlignment="1">
      <alignment horizontal="right"/>
    </xf>
    <xf numFmtId="10" fontId="6" fillId="103" borderId="7" xfId="0" applyNumberFormat="1" applyFont="1" applyFill="1" applyBorder="1" applyAlignment="1">
      <alignment horizontal="right"/>
    </xf>
    <xf numFmtId="10" fontId="6" fillId="104" borderId="7" xfId="0" applyNumberFormat="1" applyFont="1" applyFill="1" applyBorder="1" applyAlignment="1">
      <alignment horizontal="right"/>
    </xf>
    <xf numFmtId="10" fontId="6" fillId="105" borderId="7" xfId="0" applyNumberFormat="1" applyFont="1" applyFill="1" applyBorder="1" applyAlignment="1">
      <alignment horizontal="right"/>
    </xf>
    <xf numFmtId="10" fontId="6" fillId="106" borderId="7" xfId="0" applyNumberFormat="1" applyFont="1" applyFill="1" applyBorder="1" applyAlignment="1">
      <alignment horizontal="right"/>
    </xf>
    <xf numFmtId="10" fontId="6" fillId="17" borderId="7" xfId="0" applyNumberFormat="1" applyFont="1" applyFill="1" applyBorder="1" applyAlignment="1">
      <alignment horizontal="right"/>
    </xf>
    <xf numFmtId="0" fontId="13" fillId="18" borderId="7" xfId="0" applyFont="1" applyFill="1" applyBorder="1"/>
    <xf numFmtId="10" fontId="6" fillId="107" borderId="7" xfId="0" applyNumberFormat="1" applyFont="1" applyFill="1" applyBorder="1" applyAlignment="1">
      <alignment horizontal="right"/>
    </xf>
    <xf numFmtId="10" fontId="6" fillId="108" borderId="7" xfId="0" applyNumberFormat="1" applyFont="1" applyFill="1" applyBorder="1" applyAlignment="1">
      <alignment horizontal="right"/>
    </xf>
    <xf numFmtId="10" fontId="6" fillId="109" borderId="7" xfId="0" applyNumberFormat="1" applyFont="1" applyFill="1" applyBorder="1" applyAlignment="1">
      <alignment horizontal="right"/>
    </xf>
    <xf numFmtId="10" fontId="6" fillId="110" borderId="7" xfId="0" applyNumberFormat="1" applyFont="1" applyFill="1" applyBorder="1" applyAlignment="1">
      <alignment horizontal="right"/>
    </xf>
    <xf numFmtId="0" fontId="14" fillId="0" borderId="7" xfId="0" applyFont="1" applyBorder="1"/>
    <xf numFmtId="10" fontId="6" fillId="111" borderId="7" xfId="0" applyNumberFormat="1" applyFont="1" applyFill="1" applyBorder="1" applyAlignment="1">
      <alignment horizontal="right"/>
    </xf>
    <xf numFmtId="10" fontId="6" fillId="112" borderId="7" xfId="0" applyNumberFormat="1" applyFont="1" applyFill="1" applyBorder="1" applyAlignment="1">
      <alignment horizontal="right"/>
    </xf>
    <xf numFmtId="0" fontId="15" fillId="0" borderId="7" xfId="0" applyFont="1" applyBorder="1"/>
    <xf numFmtId="1" fontId="15" fillId="0" borderId="7" xfId="0" applyNumberFormat="1" applyFont="1" applyBorder="1"/>
    <xf numFmtId="0" fontId="16" fillId="2" borderId="7" xfId="0" applyFont="1" applyFill="1" applyBorder="1"/>
    <xf numFmtId="1" fontId="16" fillId="2" borderId="7" xfId="0" applyNumberFormat="1" applyFont="1" applyFill="1" applyBorder="1"/>
    <xf numFmtId="0" fontId="17" fillId="2" borderId="7" xfId="0" applyFont="1" applyFill="1" applyBorder="1"/>
    <xf numFmtId="10" fontId="6" fillId="113" borderId="7" xfId="0" applyNumberFormat="1" applyFont="1" applyFill="1" applyBorder="1" applyAlignment="1">
      <alignment horizontal="right"/>
    </xf>
    <xf numFmtId="10" fontId="6" fillId="114" borderId="7" xfId="0" applyNumberFormat="1" applyFont="1" applyFill="1" applyBorder="1" applyAlignment="1">
      <alignment horizontal="right"/>
    </xf>
    <xf numFmtId="10" fontId="6" fillId="10" borderId="7" xfId="0" applyNumberFormat="1" applyFont="1" applyFill="1" applyBorder="1" applyAlignment="1">
      <alignment horizontal="right"/>
    </xf>
    <xf numFmtId="10" fontId="6" fillId="115" borderId="7" xfId="0" applyNumberFormat="1" applyFont="1" applyFill="1" applyBorder="1" applyAlignment="1">
      <alignment horizontal="right"/>
    </xf>
    <xf numFmtId="10" fontId="6" fillId="116" borderId="7" xfId="0" applyNumberFormat="1" applyFont="1" applyFill="1" applyBorder="1" applyAlignment="1">
      <alignment horizontal="right"/>
    </xf>
    <xf numFmtId="0" fontId="5" fillId="0" borderId="7" xfId="0" applyFont="1" applyBorder="1"/>
    <xf numFmtId="1" fontId="18" fillId="0" borderId="7" xfId="0" applyNumberFormat="1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10" fontId="19" fillId="108" borderId="7" xfId="0" applyNumberFormat="1" applyFont="1" applyFill="1" applyBorder="1" applyAlignment="1">
      <alignment horizontal="right"/>
    </xf>
    <xf numFmtId="10" fontId="19" fillId="18" borderId="7" xfId="0" applyNumberFormat="1" applyFont="1" applyFill="1" applyBorder="1" applyAlignment="1">
      <alignment horizontal="right"/>
    </xf>
    <xf numFmtId="10" fontId="19" fillId="96" borderId="7" xfId="0" applyNumberFormat="1" applyFont="1" applyFill="1" applyBorder="1" applyAlignment="1">
      <alignment horizontal="right"/>
    </xf>
    <xf numFmtId="4" fontId="7" fillId="18" borderId="0" xfId="0" applyNumberFormat="1" applyFont="1" applyFill="1"/>
    <xf numFmtId="0" fontId="7" fillId="18" borderId="0" xfId="0" applyFont="1" applyFill="1"/>
    <xf numFmtId="4" fontId="7" fillId="18" borderId="10" xfId="0" applyNumberFormat="1" applyFont="1" applyFill="1" applyBorder="1"/>
    <xf numFmtId="0" fontId="20" fillId="117" borderId="10" xfId="0" applyFont="1" applyFill="1" applyBorder="1"/>
    <xf numFmtId="9" fontId="7" fillId="18" borderId="11" xfId="0" applyNumberFormat="1" applyFont="1" applyFill="1" applyBorder="1"/>
    <xf numFmtId="0" fontId="7" fillId="18" borderId="11" xfId="0" applyFont="1" applyFill="1" applyBorder="1"/>
    <xf numFmtId="0" fontId="7" fillId="0" borderId="0" xfId="0" applyFont="1"/>
    <xf numFmtId="4" fontId="7" fillId="18" borderId="12" xfId="0" applyNumberFormat="1" applyFont="1" applyFill="1" applyBorder="1"/>
    <xf numFmtId="0" fontId="21" fillId="117" borderId="10" xfId="0" applyFont="1" applyFill="1" applyBorder="1"/>
    <xf numFmtId="0" fontId="22" fillId="0" borderId="7" xfId="0" applyFont="1" applyBorder="1"/>
    <xf numFmtId="1" fontId="22" fillId="0" borderId="7" xfId="0" applyNumberFormat="1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165" fontId="22" fillId="0" borderId="7" xfId="0" applyNumberFormat="1" applyFont="1" applyBorder="1" applyAlignment="1">
      <alignment horizontal="right"/>
    </xf>
    <xf numFmtId="0" fontId="23" fillId="18" borderId="7" xfId="0" applyFont="1" applyFill="1" applyBorder="1" applyAlignment="1">
      <alignment horizontal="right" wrapText="1"/>
    </xf>
    <xf numFmtId="10" fontId="7" fillId="0" borderId="0" xfId="0" applyNumberFormat="1" applyFont="1" applyAlignment="1">
      <alignment horizontal="right"/>
    </xf>
    <xf numFmtId="4" fontId="7" fillId="0" borderId="0" xfId="0" applyNumberFormat="1" applyFont="1"/>
    <xf numFmtId="2" fontId="22" fillId="0" borderId="7" xfId="0" applyNumberFormat="1" applyFont="1" applyBorder="1" applyAlignment="1">
      <alignment horizontal="right"/>
    </xf>
    <xf numFmtId="0" fontId="3" fillId="0" borderId="7" xfId="0" applyFont="1" applyBorder="1"/>
    <xf numFmtId="10" fontId="3" fillId="0" borderId="7" xfId="0" applyNumberFormat="1" applyFont="1" applyBorder="1"/>
    <xf numFmtId="0" fontId="7" fillId="18" borderId="10" xfId="0" applyFont="1" applyFill="1" applyBorder="1"/>
    <xf numFmtId="9" fontId="22" fillId="0" borderId="7" xfId="0" applyNumberFormat="1" applyFont="1" applyBorder="1" applyAlignment="1">
      <alignment horizontal="right"/>
    </xf>
    <xf numFmtId="9" fontId="7" fillId="0" borderId="7" xfId="0" applyNumberFormat="1" applyFont="1" applyBorder="1" applyAlignment="1">
      <alignment horizontal="right"/>
    </xf>
    <xf numFmtId="10" fontId="7" fillId="0" borderId="7" xfId="0" applyNumberFormat="1" applyFont="1" applyBorder="1" applyAlignment="1">
      <alignment horizontal="right"/>
    </xf>
    <xf numFmtId="10" fontId="22" fillId="0" borderId="7" xfId="0" applyNumberFormat="1" applyFont="1" applyBorder="1" applyAlignment="1">
      <alignment horizontal="right"/>
    </xf>
    <xf numFmtId="164" fontId="22" fillId="0" borderId="7" xfId="0" applyNumberFormat="1" applyFont="1" applyBorder="1" applyAlignment="1">
      <alignment horizontal="right"/>
    </xf>
    <xf numFmtId="4" fontId="22" fillId="0" borderId="7" xfId="0" applyNumberFormat="1" applyFont="1" applyBorder="1" applyAlignment="1">
      <alignment horizontal="right"/>
    </xf>
    <xf numFmtId="0" fontId="7" fillId="18" borderId="13" xfId="0" applyFont="1" applyFill="1" applyBorder="1"/>
    <xf numFmtId="0" fontId="21" fillId="117" borderId="7" xfId="0" applyFont="1" applyFill="1" applyBorder="1"/>
    <xf numFmtId="0" fontId="20" fillId="117" borderId="7" xfId="0" applyFont="1" applyFill="1" applyBorder="1"/>
    <xf numFmtId="164" fontId="13" fillId="0" borderId="7" xfId="0" applyNumberFormat="1" applyFont="1" applyBorder="1"/>
    <xf numFmtId="2" fontId="3" fillId="0" borderId="7" xfId="0" applyNumberFormat="1" applyFont="1" applyBorder="1"/>
    <xf numFmtId="1" fontId="3" fillId="0" borderId="7" xfId="0" applyNumberFormat="1" applyFont="1" applyBorder="1"/>
    <xf numFmtId="10" fontId="13" fillId="0" borderId="7" xfId="0" applyNumberFormat="1" applyFont="1" applyBorder="1"/>
    <xf numFmtId="9" fontId="3" fillId="0" borderId="7" xfId="0" applyNumberFormat="1" applyFont="1" applyBorder="1"/>
    <xf numFmtId="164" fontId="3" fillId="0" borderId="7" xfId="0" applyNumberFormat="1" applyFont="1" applyBorder="1"/>
    <xf numFmtId="0" fontId="8" fillId="2" borderId="7" xfId="0" applyFont="1" applyFill="1" applyBorder="1"/>
    <xf numFmtId="0" fontId="20" fillId="117" borderId="10" xfId="0" applyFont="1" applyFill="1" applyBorder="1" applyAlignment="1">
      <alignment horizontal="center"/>
    </xf>
    <xf numFmtId="0" fontId="21" fillId="117" borderId="10" xfId="0" applyFont="1" applyFill="1" applyBorder="1" applyAlignment="1">
      <alignment horizontal="center"/>
    </xf>
    <xf numFmtId="0" fontId="21" fillId="117" borderId="11" xfId="0" applyFont="1" applyFill="1" applyBorder="1"/>
    <xf numFmtId="0" fontId="7" fillId="18" borderId="7" xfId="0" applyFont="1" applyFill="1" applyBorder="1"/>
    <xf numFmtId="9" fontId="7" fillId="27" borderId="7" xfId="0" applyNumberFormat="1" applyFont="1" applyFill="1" applyBorder="1" applyAlignment="1">
      <alignment horizontal="right"/>
    </xf>
    <xf numFmtId="9" fontId="7" fillId="18" borderId="7" xfId="0" applyNumberFormat="1" applyFont="1" applyFill="1" applyBorder="1" applyAlignment="1">
      <alignment horizontal="right"/>
    </xf>
    <xf numFmtId="0" fontId="7" fillId="118" borderId="7" xfId="0" applyFont="1" applyFill="1" applyBorder="1" applyAlignment="1">
      <alignment horizontal="right"/>
    </xf>
    <xf numFmtId="2" fontId="7" fillId="0" borderId="7" xfId="0" applyNumberFormat="1" applyFont="1" applyBorder="1" applyAlignment="1">
      <alignment horizontal="right"/>
    </xf>
    <xf numFmtId="165" fontId="22" fillId="27" borderId="7" xfId="0" applyNumberFormat="1" applyFont="1" applyFill="1" applyBorder="1" applyAlignment="1">
      <alignment horizontal="center"/>
    </xf>
    <xf numFmtId="2" fontId="22" fillId="18" borderId="7" xfId="0" applyNumberFormat="1" applyFont="1" applyFill="1" applyBorder="1" applyAlignment="1">
      <alignment horizontal="center"/>
    </xf>
    <xf numFmtId="2" fontId="22" fillId="6" borderId="7" xfId="0" applyNumberFormat="1" applyFont="1" applyFill="1" applyBorder="1" applyAlignment="1">
      <alignment horizontal="center"/>
    </xf>
    <xf numFmtId="9" fontId="7" fillId="120" borderId="7" xfId="0" applyNumberFormat="1" applyFont="1" applyFill="1" applyBorder="1" applyAlignment="1">
      <alignment horizontal="right"/>
    </xf>
    <xf numFmtId="0" fontId="20" fillId="117" borderId="12" xfId="0" applyFont="1" applyFill="1" applyBorder="1" applyAlignment="1">
      <alignment horizontal="center"/>
    </xf>
    <xf numFmtId="0" fontId="7" fillId="0" borderId="7" xfId="0" applyFont="1" applyBorder="1"/>
    <xf numFmtId="164" fontId="7" fillId="121" borderId="7" xfId="0" applyNumberFormat="1" applyFont="1" applyFill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3" fontId="22" fillId="122" borderId="7" xfId="0" applyNumberFormat="1" applyFont="1" applyFill="1" applyBorder="1" applyAlignment="1">
      <alignment horizontal="center"/>
    </xf>
    <xf numFmtId="1" fontId="22" fillId="27" borderId="7" xfId="0" applyNumberFormat="1" applyFont="1" applyFill="1" applyBorder="1" applyAlignment="1">
      <alignment horizontal="center"/>
    </xf>
    <xf numFmtId="0" fontId="20" fillId="117" borderId="11" xfId="0" applyFont="1" applyFill="1" applyBorder="1"/>
    <xf numFmtId="9" fontId="22" fillId="123" borderId="7" xfId="0" applyNumberFormat="1" applyFont="1" applyFill="1" applyBorder="1" applyAlignment="1">
      <alignment horizontal="right"/>
    </xf>
    <xf numFmtId="9" fontId="3" fillId="0" borderId="0" xfId="0" applyNumberFormat="1" applyFont="1"/>
    <xf numFmtId="9" fontId="22" fillId="124" borderId="7" xfId="0" applyNumberFormat="1" applyFont="1" applyFill="1" applyBorder="1" applyAlignment="1">
      <alignment horizontal="right"/>
    </xf>
    <xf numFmtId="9" fontId="22" fillId="125" borderId="7" xfId="0" applyNumberFormat="1" applyFont="1" applyFill="1" applyBorder="1" applyAlignment="1">
      <alignment horizontal="right"/>
    </xf>
    <xf numFmtId="9" fontId="22" fillId="126" borderId="7" xfId="0" applyNumberFormat="1" applyFont="1" applyFill="1" applyBorder="1" applyAlignment="1">
      <alignment horizontal="right"/>
    </xf>
    <xf numFmtId="0" fontId="22" fillId="18" borderId="7" xfId="0" applyFont="1" applyFill="1" applyBorder="1"/>
    <xf numFmtId="0" fontId="22" fillId="18" borderId="7" xfId="0" applyFont="1" applyFill="1" applyBorder="1" applyAlignment="1">
      <alignment horizontal="right"/>
    </xf>
    <xf numFmtId="9" fontId="22" fillId="127" borderId="7" xfId="0" applyNumberFormat="1" applyFont="1" applyFill="1" applyBorder="1" applyAlignment="1">
      <alignment horizontal="right"/>
    </xf>
    <xf numFmtId="2" fontId="22" fillId="18" borderId="7" xfId="0" applyNumberFormat="1" applyFont="1" applyFill="1" applyBorder="1" applyAlignment="1">
      <alignment horizontal="right"/>
    </xf>
    <xf numFmtId="165" fontId="22" fillId="18" borderId="7" xfId="0" applyNumberFormat="1" applyFont="1" applyFill="1" applyBorder="1"/>
    <xf numFmtId="9" fontId="22" fillId="27" borderId="7" xfId="0" applyNumberFormat="1" applyFont="1" applyFill="1" applyBorder="1" applyAlignment="1">
      <alignment horizontal="right"/>
    </xf>
    <xf numFmtId="164" fontId="22" fillId="18" borderId="7" xfId="0" applyNumberFormat="1" applyFont="1" applyFill="1" applyBorder="1" applyAlignment="1">
      <alignment horizontal="right"/>
    </xf>
    <xf numFmtId="10" fontId="22" fillId="18" borderId="7" xfId="0" applyNumberFormat="1" applyFont="1" applyFill="1" applyBorder="1" applyAlignment="1">
      <alignment horizontal="right"/>
    </xf>
    <xf numFmtId="3" fontId="22" fillId="18" borderId="7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26" fillId="117" borderId="10" xfId="0" applyFont="1" applyFill="1" applyBorder="1"/>
    <xf numFmtId="6" fontId="13" fillId="0" borderId="0" xfId="0" applyNumberFormat="1" applyFont="1"/>
    <xf numFmtId="166" fontId="13" fillId="0" borderId="0" xfId="0" applyNumberFormat="1" applyFont="1"/>
    <xf numFmtId="1" fontId="3" fillId="0" borderId="0" xfId="0" applyNumberFormat="1" applyFont="1"/>
    <xf numFmtId="167" fontId="7" fillId="128" borderId="7" xfId="0" applyNumberFormat="1" applyFont="1" applyFill="1" applyBorder="1" applyAlignment="1">
      <alignment horizontal="right"/>
    </xf>
    <xf numFmtId="167" fontId="27" fillId="128" borderId="7" xfId="0" applyNumberFormat="1" applyFont="1" applyFill="1" applyBorder="1" applyAlignment="1">
      <alignment horizontal="center"/>
    </xf>
    <xf numFmtId="6" fontId="13" fillId="0" borderId="3" xfId="0" applyNumberFormat="1" applyFont="1" applyBorder="1"/>
    <xf numFmtId="0" fontId="28" fillId="129" borderId="7" xfId="0" applyFont="1" applyFill="1" applyBorder="1" applyAlignment="1">
      <alignment wrapText="1"/>
    </xf>
    <xf numFmtId="1" fontId="28" fillId="129" borderId="7" xfId="0" applyNumberFormat="1" applyFont="1" applyFill="1" applyBorder="1" applyAlignment="1">
      <alignment wrapText="1"/>
    </xf>
    <xf numFmtId="10" fontId="7" fillId="6" borderId="7" xfId="0" applyNumberFormat="1" applyFont="1" applyFill="1" applyBorder="1" applyAlignment="1">
      <alignment horizontal="right"/>
    </xf>
    <xf numFmtId="2" fontId="13" fillId="0" borderId="7" xfId="0" applyNumberFormat="1" applyFont="1" applyBorder="1" applyAlignment="1">
      <alignment horizontal="right"/>
    </xf>
    <xf numFmtId="165" fontId="3" fillId="0" borderId="0" xfId="0" applyNumberFormat="1" applyFont="1"/>
    <xf numFmtId="9" fontId="22" fillId="18" borderId="7" xfId="0" applyNumberFormat="1" applyFont="1" applyFill="1" applyBorder="1" applyAlignment="1">
      <alignment horizontal="right"/>
    </xf>
    <xf numFmtId="165" fontId="22" fillId="18" borderId="0" xfId="0" applyNumberFormat="1" applyFont="1" applyFill="1"/>
    <xf numFmtId="164" fontId="22" fillId="18" borderId="0" xfId="0" applyNumberFormat="1" applyFont="1" applyFill="1" applyAlignment="1">
      <alignment horizontal="right"/>
    </xf>
    <xf numFmtId="164" fontId="2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0" xfId="0"/>
    <xf numFmtId="165" fontId="24" fillId="119" borderId="14" xfId="0" applyNumberFormat="1" applyFont="1" applyFill="1" applyBorder="1" applyAlignment="1">
      <alignment horizontal="center" vertical="center"/>
    </xf>
    <xf numFmtId="0" fontId="25" fillId="0" borderId="15" xfId="0" applyFont="1" applyBorder="1"/>
    <xf numFmtId="0" fontId="25" fillId="0" borderId="2" xfId="0" applyFont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MARKETCAP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'Housing Finance Companies'!$C$5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B06B-4CD0-8E27-7203D86CBBD4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B06B-4CD0-8E27-7203D86CBBD4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B06B-4CD0-8E27-7203D86CBBD4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B06B-4CD0-8E27-7203D86CBBD4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B06B-4CD0-8E27-7203D86CBBD4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B06B-4CD0-8E27-7203D86CBBD4}"/>
              </c:ext>
            </c:extLst>
          </c:dPt>
          <c:dPt>
            <c:idx val="6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0D-B06B-4CD0-8E27-7203D86CBBD4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B06B-4CD0-8E27-7203D86CBBD4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B06B-4CD0-8E27-7203D86CBBD4}"/>
              </c:ext>
            </c:extLst>
          </c:dPt>
          <c:dPt>
            <c:idx val="9"/>
            <c:bubble3D val="0"/>
            <c:spPr>
              <a:solidFill>
                <a:srgbClr val="FFD34D"/>
              </a:solidFill>
            </c:spPr>
            <c:extLst>
              <c:ext xmlns:c16="http://schemas.microsoft.com/office/drawing/2014/chart" uri="{C3380CC4-5D6E-409C-BE32-E72D297353CC}">
                <c16:uniqueId val="{00000013-B06B-4CD0-8E27-7203D86CBBD4}"/>
              </c:ext>
            </c:extLst>
          </c:dPt>
          <c:cat>
            <c:strRef>
              <c:f>'Housing Finance Companies'!$B$6:$B$15</c:f>
              <c:strCache>
                <c:ptCount val="10"/>
                <c:pt idx="0">
                  <c:v>BAJAJHFL</c:v>
                </c:pt>
                <c:pt idx="1">
                  <c:v>LICHSGFIN</c:v>
                </c:pt>
                <c:pt idx="2">
                  <c:v>PNBHOUSING</c:v>
                </c:pt>
                <c:pt idx="3">
                  <c:v>AADHARHFC</c:v>
                </c:pt>
                <c:pt idx="4">
                  <c:v>APTUS</c:v>
                </c:pt>
                <c:pt idx="5">
                  <c:v>AAVAS</c:v>
                </c:pt>
                <c:pt idx="6">
                  <c:v>SAMMAANCAP</c:v>
                </c:pt>
                <c:pt idx="7">
                  <c:v>CANFINHOME</c:v>
                </c:pt>
                <c:pt idx="8">
                  <c:v>HOMEFIRST</c:v>
                </c:pt>
                <c:pt idx="9">
                  <c:v>OTHER_11</c:v>
                </c:pt>
              </c:strCache>
            </c:strRef>
          </c:cat>
          <c:val>
            <c:numRef>
              <c:f>'Housing Finance Companies'!$C$6:$C$15</c:f>
              <c:numCache>
                <c:formatCode>0</c:formatCode>
                <c:ptCount val="10"/>
                <c:pt idx="0">
                  <c:v>95670.740783200003</c:v>
                </c:pt>
                <c:pt idx="1">
                  <c:v>31271.081549999999</c:v>
                </c:pt>
                <c:pt idx="2">
                  <c:v>20573.242568999998</c:v>
                </c:pt>
                <c:pt idx="3">
                  <c:v>21780.1045357</c:v>
                </c:pt>
                <c:pt idx="4">
                  <c:v>17984.134258300001</c:v>
                </c:pt>
                <c:pt idx="5">
                  <c:v>13234.2700575</c:v>
                </c:pt>
                <c:pt idx="6">
                  <c:v>9665.2479999999996</c:v>
                </c:pt>
                <c:pt idx="7">
                  <c:v>10113.0463</c:v>
                </c:pt>
                <c:pt idx="8">
                  <c:v>13018.6092634</c:v>
                </c:pt>
                <c:pt idx="9" formatCode="General">
                  <c:v>14164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06B-4CD0-8E27-7203D86CB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AUM_FY24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'Housing Finance Companies'!$G$5</c:f>
              <c:strCache>
                <c:ptCount val="1"/>
                <c:pt idx="0">
                  <c:v>AUM_FY24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EEFD-480E-A081-8A211CF5BF92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EEFD-480E-A081-8A211CF5BF92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EEFD-480E-A081-8A211CF5BF92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EEFD-480E-A081-8A211CF5BF92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EEFD-480E-A081-8A211CF5BF92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EEFD-480E-A081-8A211CF5BF92}"/>
              </c:ext>
            </c:extLst>
          </c:dPt>
          <c:cat>
            <c:strRef>
              <c:f>'Housing Finance Companies'!$F$6:$F$11</c:f>
              <c:strCache>
                <c:ptCount val="6"/>
                <c:pt idx="0">
                  <c:v>BAJAJHFL</c:v>
                </c:pt>
                <c:pt idx="1">
                  <c:v>LICHSGFIN</c:v>
                </c:pt>
                <c:pt idx="2">
                  <c:v>PNBHOUSING</c:v>
                </c:pt>
                <c:pt idx="3">
                  <c:v>AADHARHFC</c:v>
                </c:pt>
                <c:pt idx="4">
                  <c:v>APTUS</c:v>
                </c:pt>
                <c:pt idx="5">
                  <c:v>AAVAS</c:v>
                </c:pt>
              </c:strCache>
            </c:strRef>
          </c:cat>
          <c:val>
            <c:numRef>
              <c:f>'Housing Finance Companies'!$G$6:$G$11</c:f>
              <c:numCache>
                <c:formatCode>General</c:formatCode>
                <c:ptCount val="6"/>
                <c:pt idx="0">
                  <c:v>91370</c:v>
                </c:pt>
                <c:pt idx="1">
                  <c:v>286800</c:v>
                </c:pt>
                <c:pt idx="2">
                  <c:v>71240</c:v>
                </c:pt>
                <c:pt idx="3">
                  <c:v>21100</c:v>
                </c:pt>
                <c:pt idx="4">
                  <c:v>6760</c:v>
                </c:pt>
                <c:pt idx="5">
                  <c:v>17310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FD-480E-A081-8A211CF5B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Sales_fy24 and PROFIT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'Housing Finance Companies'!$K$5</c:f>
              <c:strCache>
                <c:ptCount val="1"/>
                <c:pt idx="0">
                  <c:v>Sales_fy24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'Housing Finance Companies'!$J$6:$J$14</c:f>
              <c:strCache>
                <c:ptCount val="9"/>
                <c:pt idx="0">
                  <c:v>BAJAJHFL</c:v>
                </c:pt>
                <c:pt idx="1">
                  <c:v>LICHSGFIN</c:v>
                </c:pt>
                <c:pt idx="2">
                  <c:v>PNBHOUSING</c:v>
                </c:pt>
                <c:pt idx="3">
                  <c:v>AADHARHFC</c:v>
                </c:pt>
                <c:pt idx="4">
                  <c:v>APTUS</c:v>
                </c:pt>
                <c:pt idx="5">
                  <c:v>AAVAS</c:v>
                </c:pt>
                <c:pt idx="6">
                  <c:v>SAMMAANCAP</c:v>
                </c:pt>
                <c:pt idx="7">
                  <c:v>CANFINHOME</c:v>
                </c:pt>
                <c:pt idx="8">
                  <c:v>HOMEFIRST</c:v>
                </c:pt>
              </c:strCache>
            </c:strRef>
          </c:cat>
          <c:val>
            <c:numRef>
              <c:f>'Housing Finance Companies'!$K$6:$K$14</c:f>
              <c:numCache>
                <c:formatCode>General</c:formatCode>
                <c:ptCount val="9"/>
                <c:pt idx="0">
                  <c:v>7617</c:v>
                </c:pt>
                <c:pt idx="1">
                  <c:v>27067</c:v>
                </c:pt>
                <c:pt idx="2">
                  <c:v>7050</c:v>
                </c:pt>
                <c:pt idx="3">
                  <c:v>2587</c:v>
                </c:pt>
                <c:pt idx="4">
                  <c:v>1037</c:v>
                </c:pt>
                <c:pt idx="5">
                  <c:v>2018</c:v>
                </c:pt>
                <c:pt idx="6">
                  <c:v>8579</c:v>
                </c:pt>
                <c:pt idx="7">
                  <c:v>3525</c:v>
                </c:pt>
                <c:pt idx="8">
                  <c:v>1137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E05-432D-9AC2-19A69CE4B2BF}"/>
            </c:ext>
          </c:extLst>
        </c:ser>
        <c:ser>
          <c:idx val="1"/>
          <c:order val="1"/>
          <c:tx>
            <c:strRef>
              <c:f>'Housing Finance Companies'!$L$5</c:f>
              <c:strCache>
                <c:ptCount val="1"/>
                <c:pt idx="0">
                  <c:v>PROFIT 2024</c:v>
                </c:pt>
              </c:strCache>
            </c:strRef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'Housing Finance Companies'!$J$6:$J$14</c:f>
              <c:strCache>
                <c:ptCount val="9"/>
                <c:pt idx="0">
                  <c:v>BAJAJHFL</c:v>
                </c:pt>
                <c:pt idx="1">
                  <c:v>LICHSGFIN</c:v>
                </c:pt>
                <c:pt idx="2">
                  <c:v>PNBHOUSING</c:v>
                </c:pt>
                <c:pt idx="3">
                  <c:v>AADHARHFC</c:v>
                </c:pt>
                <c:pt idx="4">
                  <c:v>APTUS</c:v>
                </c:pt>
                <c:pt idx="5">
                  <c:v>AAVAS</c:v>
                </c:pt>
                <c:pt idx="6">
                  <c:v>SAMMAANCAP</c:v>
                </c:pt>
                <c:pt idx="7">
                  <c:v>CANFINHOME</c:v>
                </c:pt>
                <c:pt idx="8">
                  <c:v>HOMEFIRST</c:v>
                </c:pt>
              </c:strCache>
            </c:strRef>
          </c:cat>
          <c:val>
            <c:numRef>
              <c:f>'Housing Finance Companies'!$L$6:$L$14</c:f>
              <c:numCache>
                <c:formatCode>General</c:formatCode>
                <c:ptCount val="9"/>
                <c:pt idx="0">
                  <c:v>1731</c:v>
                </c:pt>
                <c:pt idx="1">
                  <c:v>4760</c:v>
                </c:pt>
                <c:pt idx="2">
                  <c:v>1508</c:v>
                </c:pt>
                <c:pt idx="3">
                  <c:v>750</c:v>
                </c:pt>
                <c:pt idx="4">
                  <c:v>480</c:v>
                </c:pt>
                <c:pt idx="5">
                  <c:v>491</c:v>
                </c:pt>
                <c:pt idx="6">
                  <c:v>1214</c:v>
                </c:pt>
                <c:pt idx="7">
                  <c:v>751</c:v>
                </c:pt>
                <c:pt idx="8">
                  <c:v>305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E05-432D-9AC2-19A69CE4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5514367"/>
        <c:axId val="44921418"/>
      </c:barChart>
      <c:catAx>
        <c:axId val="7055143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921418"/>
        <c:crosses val="autoZero"/>
        <c:auto val="1"/>
        <c:lblAlgn val="ctr"/>
        <c:lblOffset val="100"/>
        <c:noMultiLvlLbl val="1"/>
      </c:catAx>
      <c:valAx>
        <c:axId val="449214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0551436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MARGIN %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'Housing Finance Companies'!$C$33</c:f>
              <c:strCache>
                <c:ptCount val="1"/>
                <c:pt idx="0">
                  <c:v>MARGIN %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4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636-41F5-9347-56756050868D}"/>
              </c:ext>
            </c:extLst>
          </c:dPt>
          <c:dPt>
            <c:idx val="6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636-41F5-9347-5675605086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'Housing Finance Companies'!$B$34:$B$42</c:f>
              <c:strCache>
                <c:ptCount val="9"/>
                <c:pt idx="0">
                  <c:v>BAJAJHFL</c:v>
                </c:pt>
                <c:pt idx="1">
                  <c:v>LICHSGFIN</c:v>
                </c:pt>
                <c:pt idx="2">
                  <c:v>PNBHOUSING</c:v>
                </c:pt>
                <c:pt idx="3">
                  <c:v>AADHARHFC</c:v>
                </c:pt>
                <c:pt idx="4">
                  <c:v>APTUS</c:v>
                </c:pt>
                <c:pt idx="5">
                  <c:v>AAVAS</c:v>
                </c:pt>
                <c:pt idx="6">
                  <c:v>SAMMAANCAP</c:v>
                </c:pt>
                <c:pt idx="7">
                  <c:v>CANFINHOME</c:v>
                </c:pt>
                <c:pt idx="8">
                  <c:v>HOMEFIRST</c:v>
                </c:pt>
              </c:strCache>
            </c:strRef>
          </c:cat>
          <c:val>
            <c:numRef>
              <c:f>'Housing Finance Companies'!$C$34:$C$42</c:f>
              <c:numCache>
                <c:formatCode>0.0%</c:formatCode>
                <c:ptCount val="9"/>
                <c:pt idx="0">
                  <c:v>0.22725482473414729</c:v>
                </c:pt>
                <c:pt idx="1">
                  <c:v>0.17585990320316253</c:v>
                </c:pt>
                <c:pt idx="2">
                  <c:v>0.21390070921985815</c:v>
                </c:pt>
                <c:pt idx="3">
                  <c:v>0.28991109393119441</c:v>
                </c:pt>
                <c:pt idx="4">
                  <c:v>0.46287367405978785</c:v>
                </c:pt>
                <c:pt idx="5">
                  <c:v>0.24331020812685827</c:v>
                </c:pt>
                <c:pt idx="6">
                  <c:v>0.14150833430469753</c:v>
                </c:pt>
                <c:pt idx="7">
                  <c:v>0.21304964539007093</c:v>
                </c:pt>
                <c:pt idx="8">
                  <c:v>0.26824978012313105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636-41F5-9347-567560508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990980"/>
        <c:axId val="122912065"/>
      </c:barChart>
      <c:catAx>
        <c:axId val="18629909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2912065"/>
        <c:crosses val="autoZero"/>
        <c:auto val="1"/>
        <c:lblAlgn val="ctr"/>
        <c:lblOffset val="100"/>
        <c:noMultiLvlLbl val="1"/>
      </c:catAx>
      <c:valAx>
        <c:axId val="1229120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MARGIN %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6299098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GROWTH 4Y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'Housing Finance Companies'!$G$33</c:f>
              <c:strCache>
                <c:ptCount val="1"/>
                <c:pt idx="0">
                  <c:v>GROWTH 4Y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F0F-4C67-94CB-FD8265D59F8C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F0F-4C67-94CB-FD8265D59F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'Housing Finance Companies'!$F$34:$F$42</c:f>
              <c:strCache>
                <c:ptCount val="9"/>
                <c:pt idx="0">
                  <c:v>BAJAJHFL</c:v>
                </c:pt>
                <c:pt idx="1">
                  <c:v>LICHSGFIN</c:v>
                </c:pt>
                <c:pt idx="2">
                  <c:v>PNBHOUSING</c:v>
                </c:pt>
                <c:pt idx="3">
                  <c:v>AADHARHFC</c:v>
                </c:pt>
                <c:pt idx="4">
                  <c:v>APTUS</c:v>
                </c:pt>
                <c:pt idx="5">
                  <c:v>AAVAS</c:v>
                </c:pt>
                <c:pt idx="6">
                  <c:v>SAMMAANCAP</c:v>
                </c:pt>
                <c:pt idx="7">
                  <c:v>CANFINHOME</c:v>
                </c:pt>
                <c:pt idx="8">
                  <c:v>HOMEFIRST</c:v>
                </c:pt>
              </c:strCache>
            </c:strRef>
          </c:cat>
          <c:val>
            <c:numRef>
              <c:f>'Housing Finance Companies'!$G$34:$G$42</c:f>
              <c:numCache>
                <c:formatCode>0.0%</c:formatCode>
                <c:ptCount val="9"/>
                <c:pt idx="0">
                  <c:v>0.30299999999999999</c:v>
                </c:pt>
                <c:pt idx="1">
                  <c:v>8.4000000000000005E-2</c:v>
                </c:pt>
                <c:pt idx="2">
                  <c:v>-4.5999999999999999E-2</c:v>
                </c:pt>
                <c:pt idx="3">
                  <c:v>0.16500000000000001</c:v>
                </c:pt>
                <c:pt idx="4">
                  <c:v>0.253</c:v>
                </c:pt>
                <c:pt idx="5">
                  <c:v>0.223</c:v>
                </c:pt>
                <c:pt idx="7">
                  <c:v>0.14799999999999999</c:v>
                </c:pt>
                <c:pt idx="8">
                  <c:v>0.28799999999999998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FF0F-4C67-94CB-FD8265D59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1662934"/>
        <c:axId val="1412811252"/>
      </c:barChart>
      <c:catAx>
        <c:axId val="6316629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12811252"/>
        <c:crosses val="autoZero"/>
        <c:auto val="1"/>
        <c:lblAlgn val="ctr"/>
        <c:lblOffset val="100"/>
        <c:noMultiLvlLbl val="1"/>
      </c:catAx>
      <c:valAx>
        <c:axId val="14128112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GROWTH 4Y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3166293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GNPA%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'Housing Finance Companies'!$K$33</c:f>
              <c:strCache>
                <c:ptCount val="1"/>
                <c:pt idx="0">
                  <c:v>GNPA%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7D9-4EBF-861D-21BE39D803E4}"/>
              </c:ext>
            </c:extLst>
          </c:dPt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7D9-4EBF-861D-21BE39D803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'Housing Finance Companies'!$J$34:$J$42</c:f>
              <c:strCache>
                <c:ptCount val="9"/>
                <c:pt idx="0">
                  <c:v>BAJAJHFL</c:v>
                </c:pt>
                <c:pt idx="1">
                  <c:v>LICHSGFIN</c:v>
                </c:pt>
                <c:pt idx="2">
                  <c:v>PNBHOUSING</c:v>
                </c:pt>
                <c:pt idx="3">
                  <c:v>AADHARHFC</c:v>
                </c:pt>
                <c:pt idx="4">
                  <c:v>APTUS</c:v>
                </c:pt>
                <c:pt idx="5">
                  <c:v>AAVAS</c:v>
                </c:pt>
                <c:pt idx="6">
                  <c:v>SAMMAANCAP</c:v>
                </c:pt>
                <c:pt idx="7">
                  <c:v>CANFINHOME</c:v>
                </c:pt>
                <c:pt idx="8">
                  <c:v>HOMEFIRST</c:v>
                </c:pt>
              </c:strCache>
            </c:strRef>
          </c:cat>
          <c:val>
            <c:numRef>
              <c:f>'Housing Finance Companies'!$K$34:$K$42</c:f>
              <c:numCache>
                <c:formatCode>0.00%</c:formatCode>
                <c:ptCount val="9"/>
                <c:pt idx="0">
                  <c:v>2.7000000000000001E-3</c:v>
                </c:pt>
                <c:pt idx="1">
                  <c:v>3.3099999999999997E-2</c:v>
                </c:pt>
                <c:pt idx="2">
                  <c:v>1.4999999999999999E-2</c:v>
                </c:pt>
                <c:pt idx="3">
                  <c:v>1.0999999999999999E-2</c:v>
                </c:pt>
                <c:pt idx="4">
                  <c:v>1.0699999999999999E-2</c:v>
                </c:pt>
                <c:pt idx="5">
                  <c:v>9.4000000000000004E-3</c:v>
                </c:pt>
                <c:pt idx="7">
                  <c:v>8.2000000000000007E-3</c:v>
                </c:pt>
                <c:pt idx="8">
                  <c:v>1.7000000000000001E-2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D7D9-4EBF-861D-21BE39D80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077839"/>
        <c:axId val="102759524"/>
      </c:barChart>
      <c:catAx>
        <c:axId val="19730778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2759524"/>
        <c:crosses val="autoZero"/>
        <c:auto val="1"/>
        <c:lblAlgn val="ctr"/>
        <c:lblOffset val="100"/>
        <c:noMultiLvlLbl val="1"/>
      </c:catAx>
      <c:valAx>
        <c:axId val="1027595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GNPA%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307783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17</xdr:row>
      <xdr:rowOff>123825</xdr:rowOff>
    </xdr:from>
    <xdr:ext cx="4057650" cy="25050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400050</xdr:colOff>
      <xdr:row>17</xdr:row>
      <xdr:rowOff>123825</xdr:rowOff>
    </xdr:from>
    <xdr:ext cx="4057650" cy="25050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619125</xdr:colOff>
      <xdr:row>17</xdr:row>
      <xdr:rowOff>123825</xdr:rowOff>
    </xdr:from>
    <xdr:ext cx="4057650" cy="250507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180975</xdr:colOff>
      <xdr:row>44</xdr:row>
      <xdr:rowOff>95250</xdr:rowOff>
    </xdr:from>
    <xdr:ext cx="4114800" cy="250507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457200</xdr:colOff>
      <xdr:row>44</xdr:row>
      <xdr:rowOff>95250</xdr:rowOff>
    </xdr:from>
    <xdr:ext cx="4057650" cy="250507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8</xdr:col>
      <xdr:colOff>676275</xdr:colOff>
      <xdr:row>44</xdr:row>
      <xdr:rowOff>95250</xdr:rowOff>
    </xdr:from>
    <xdr:ext cx="4057650" cy="250507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293370</xdr:colOff>
      <xdr:row>54</xdr:row>
      <xdr:rowOff>80010</xdr:rowOff>
    </xdr:from>
    <xdr:ext cx="9324975" cy="37719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370" y="9544050"/>
          <a:ext cx="9324975" cy="37719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G18:G26" headerRowCount="0">
  <tableColumns count="1">
    <tableColumn id="1" xr3:uid="{00000000-0010-0000-0000-000001000000}" name="Column1"/>
  </tableColumns>
  <tableStyleInfo name="Sheet2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12"/>
  <sheetViews>
    <sheetView workbookViewId="0"/>
  </sheetViews>
  <sheetFormatPr defaultColWidth="14.44140625" defaultRowHeight="15.75" customHeight="1"/>
  <sheetData>
    <row r="1" spans="1:16" ht="13.8">
      <c r="A1" s="257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ht="15.75" customHeight="1">
      <c r="A3" s="258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</row>
    <row r="5" spans="1:16" ht="14.4">
      <c r="B5" s="1" t="s">
        <v>1</v>
      </c>
      <c r="C5" s="2" t="s">
        <v>2</v>
      </c>
      <c r="F5" s="1" t="s">
        <v>1</v>
      </c>
      <c r="G5" s="2" t="s">
        <v>3</v>
      </c>
      <c r="J5" s="1" t="s">
        <v>1</v>
      </c>
      <c r="K5" s="2" t="s">
        <v>4</v>
      </c>
      <c r="L5" s="2" t="s">
        <v>5</v>
      </c>
    </row>
    <row r="6" spans="1:16" ht="14.4">
      <c r="B6" s="3" t="s">
        <v>6</v>
      </c>
      <c r="C6" s="4">
        <f ca="1">IFERROR(__xludf.DUMMYFUNCTION("GOOGLEFINANCE(""nse:""&amp;B6,""marketcap"")/10000000"),95670.7407832)</f>
        <v>95670.740783200003</v>
      </c>
      <c r="F6" s="5" t="s">
        <v>6</v>
      </c>
      <c r="G6" s="6">
        <v>91370</v>
      </c>
      <c r="J6" s="5" t="s">
        <v>6</v>
      </c>
      <c r="K6" s="7">
        <v>7617</v>
      </c>
      <c r="L6" s="8">
        <v>1731</v>
      </c>
    </row>
    <row r="7" spans="1:16" ht="14.4">
      <c r="B7" s="3" t="s">
        <v>7</v>
      </c>
      <c r="C7" s="4">
        <f ca="1">IFERROR(__xludf.DUMMYFUNCTION("GOOGLEFINANCE(""nse:""&amp;B7,""marketcap"")/10000000"),31271.08155)</f>
        <v>31271.081549999999</v>
      </c>
      <c r="F7" s="5" t="s">
        <v>7</v>
      </c>
      <c r="G7" s="9">
        <v>286800</v>
      </c>
      <c r="J7" s="5" t="s">
        <v>7</v>
      </c>
      <c r="K7" s="9">
        <v>27067</v>
      </c>
      <c r="L7" s="10">
        <v>4760</v>
      </c>
    </row>
    <row r="8" spans="1:16" ht="14.4">
      <c r="B8" s="3" t="s">
        <v>8</v>
      </c>
      <c r="C8" s="4">
        <f ca="1">IFERROR(__xludf.DUMMYFUNCTION("GOOGLEFINANCE(""nse:""&amp;B8,""marketcap"")/10000000"),20573.242569)</f>
        <v>20573.242568999998</v>
      </c>
      <c r="F8" s="5" t="s">
        <v>8</v>
      </c>
      <c r="G8" s="11">
        <v>71240</v>
      </c>
      <c r="J8" s="5" t="s">
        <v>8</v>
      </c>
      <c r="K8" s="12">
        <v>7050</v>
      </c>
      <c r="L8" s="13">
        <v>1508</v>
      </c>
    </row>
    <row r="9" spans="1:16" ht="14.4">
      <c r="B9" s="3" t="s">
        <v>9</v>
      </c>
      <c r="C9" s="4">
        <f ca="1">IFERROR(__xludf.DUMMYFUNCTION("GOOGLEFINANCE(""nse:""&amp;B9,""marketcap"")/10000000"),21780.1045357)</f>
        <v>21780.1045357</v>
      </c>
      <c r="F9" s="5" t="s">
        <v>9</v>
      </c>
      <c r="G9" s="14">
        <v>21100</v>
      </c>
      <c r="J9" s="5" t="s">
        <v>9</v>
      </c>
      <c r="K9" s="15">
        <v>2587</v>
      </c>
      <c r="L9" s="16">
        <v>750</v>
      </c>
    </row>
    <row r="10" spans="1:16" ht="14.4">
      <c r="B10" s="3" t="s">
        <v>10</v>
      </c>
      <c r="C10" s="4">
        <f ca="1">IFERROR(__xludf.DUMMYFUNCTION("GOOGLEFINANCE(""nse:""&amp;B10,""marketcap"")/10000000"),17984.1342583)</f>
        <v>17984.134258300001</v>
      </c>
      <c r="F10" s="5" t="s">
        <v>10</v>
      </c>
      <c r="G10" s="17">
        <v>6760</v>
      </c>
      <c r="J10" s="5" t="s">
        <v>10</v>
      </c>
      <c r="K10" s="18">
        <v>1037</v>
      </c>
      <c r="L10" s="19">
        <v>480</v>
      </c>
    </row>
    <row r="11" spans="1:16" ht="14.4">
      <c r="B11" s="3" t="s">
        <v>11</v>
      </c>
      <c r="C11" s="4">
        <f ca="1">IFERROR(__xludf.DUMMYFUNCTION("GOOGLEFINANCE(""nse:""&amp;B11,""marketcap"")/10000000"),13234.2700575)</f>
        <v>13234.2700575</v>
      </c>
      <c r="F11" s="20" t="s">
        <v>11</v>
      </c>
      <c r="G11" s="21">
        <v>17310</v>
      </c>
      <c r="J11" s="5" t="s">
        <v>11</v>
      </c>
      <c r="K11" s="22">
        <v>2018</v>
      </c>
      <c r="L11" s="23">
        <v>491</v>
      </c>
    </row>
    <row r="12" spans="1:16" ht="14.4">
      <c r="B12" s="3" t="s">
        <v>12</v>
      </c>
      <c r="C12" s="4">
        <f ca="1">IFERROR(__xludf.DUMMYFUNCTION("GOOGLEFINANCE(""nse:""&amp;B12,""marketcap"")/10000000"),9665.248)</f>
        <v>9665.2479999999996</v>
      </c>
      <c r="J12" s="5" t="s">
        <v>12</v>
      </c>
      <c r="K12" s="6">
        <v>8579</v>
      </c>
      <c r="L12" s="24">
        <v>1214</v>
      </c>
    </row>
    <row r="13" spans="1:16" ht="14.4">
      <c r="B13" s="3" t="s">
        <v>13</v>
      </c>
      <c r="C13" s="4">
        <f ca="1">IFERROR(__xludf.DUMMYFUNCTION("GOOGLEFINANCE(""nse:""&amp;B13,""marketcap"")/10000000"),10113.0463)</f>
        <v>10113.0463</v>
      </c>
      <c r="J13" s="5" t="s">
        <v>13</v>
      </c>
      <c r="K13" s="25">
        <v>3525</v>
      </c>
      <c r="L13" s="16">
        <v>751</v>
      </c>
    </row>
    <row r="14" spans="1:16" ht="14.4">
      <c r="B14" s="3" t="s">
        <v>14</v>
      </c>
      <c r="C14" s="4">
        <f ca="1">IFERROR(__xludf.DUMMYFUNCTION("GOOGLEFINANCE(""nse:""&amp;B14,""marketcap"")/10000000"),13018.6092634)</f>
        <v>13018.6092634</v>
      </c>
      <c r="J14" s="20" t="s">
        <v>14</v>
      </c>
      <c r="K14" s="26">
        <v>1137</v>
      </c>
      <c r="L14" s="27">
        <v>305</v>
      </c>
    </row>
    <row r="15" spans="1:16" ht="13.8">
      <c r="B15" s="28" t="s">
        <v>15</v>
      </c>
      <c r="C15" s="28">
        <v>14164</v>
      </c>
    </row>
    <row r="17" spans="2:12" ht="13.8">
      <c r="B17" s="29" t="s">
        <v>16</v>
      </c>
      <c r="C17" s="30">
        <f ca="1">SUM(C6:C15)</f>
        <v>247474.47731709998</v>
      </c>
      <c r="F17" s="29" t="s">
        <v>16</v>
      </c>
      <c r="G17" s="29">
        <v>507780</v>
      </c>
      <c r="J17" s="29" t="s">
        <v>16</v>
      </c>
      <c r="K17" s="29">
        <v>64220</v>
      </c>
      <c r="L17" s="29">
        <v>12813</v>
      </c>
    </row>
    <row r="33" spans="2:11" ht="14.4">
      <c r="B33" s="31" t="s">
        <v>1</v>
      </c>
      <c r="C33" s="32" t="s">
        <v>17</v>
      </c>
      <c r="F33" s="31" t="s">
        <v>1</v>
      </c>
      <c r="G33" s="2" t="s">
        <v>18</v>
      </c>
      <c r="J33" s="31" t="s">
        <v>1</v>
      </c>
      <c r="K33" s="2" t="s">
        <v>19</v>
      </c>
    </row>
    <row r="34" spans="2:11" ht="13.8">
      <c r="B34" s="5" t="s">
        <v>6</v>
      </c>
      <c r="C34" s="33">
        <v>0.22725482473414729</v>
      </c>
      <c r="F34" s="5" t="s">
        <v>6</v>
      </c>
      <c r="G34" s="34">
        <v>0.30299999999999999</v>
      </c>
      <c r="J34" s="5" t="s">
        <v>6</v>
      </c>
      <c r="K34" s="35">
        <v>2.7000000000000001E-3</v>
      </c>
    </row>
    <row r="35" spans="2:11" ht="13.8">
      <c r="B35" s="5" t="s">
        <v>7</v>
      </c>
      <c r="C35" s="36">
        <v>0.17585990320316253</v>
      </c>
      <c r="F35" s="5" t="s">
        <v>7</v>
      </c>
      <c r="G35" s="34">
        <v>8.4000000000000005E-2</v>
      </c>
      <c r="J35" s="5" t="s">
        <v>7</v>
      </c>
      <c r="K35" s="35">
        <v>3.3099999999999997E-2</v>
      </c>
    </row>
    <row r="36" spans="2:11" ht="13.8">
      <c r="B36" s="5" t="s">
        <v>8</v>
      </c>
      <c r="C36" s="37">
        <v>0.21390070921985815</v>
      </c>
      <c r="F36" s="5" t="s">
        <v>8</v>
      </c>
      <c r="G36" s="34">
        <v>-4.5999999999999999E-2</v>
      </c>
      <c r="J36" s="5" t="s">
        <v>8</v>
      </c>
      <c r="K36" s="35">
        <v>1.4999999999999999E-2</v>
      </c>
    </row>
    <row r="37" spans="2:11" ht="13.8">
      <c r="B37" s="5" t="s">
        <v>9</v>
      </c>
      <c r="C37" s="38">
        <v>0.28991109393119441</v>
      </c>
      <c r="F37" s="5" t="s">
        <v>9</v>
      </c>
      <c r="G37" s="34">
        <v>0.16500000000000001</v>
      </c>
      <c r="J37" s="5" t="s">
        <v>9</v>
      </c>
      <c r="K37" s="35">
        <v>1.0999999999999999E-2</v>
      </c>
    </row>
    <row r="38" spans="2:11" ht="13.8">
      <c r="B38" s="5" t="s">
        <v>10</v>
      </c>
      <c r="C38" s="39">
        <v>0.46287367405978785</v>
      </c>
      <c r="F38" s="5" t="s">
        <v>10</v>
      </c>
      <c r="G38" s="34">
        <v>0.253</v>
      </c>
      <c r="J38" s="5" t="s">
        <v>10</v>
      </c>
      <c r="K38" s="35">
        <v>1.0699999999999999E-2</v>
      </c>
    </row>
    <row r="39" spans="2:11" ht="13.8">
      <c r="B39" s="5" t="s">
        <v>11</v>
      </c>
      <c r="C39" s="40">
        <v>0.24331020812685827</v>
      </c>
      <c r="F39" s="5" t="s">
        <v>11</v>
      </c>
      <c r="G39" s="34">
        <v>0.223</v>
      </c>
      <c r="J39" s="5" t="s">
        <v>11</v>
      </c>
      <c r="K39" s="35">
        <v>9.4000000000000004E-3</v>
      </c>
    </row>
    <row r="40" spans="2:11" ht="13.8">
      <c r="B40" s="5" t="s">
        <v>12</v>
      </c>
      <c r="C40" s="41">
        <v>0.14150833430469753</v>
      </c>
      <c r="F40" s="5" t="s">
        <v>12</v>
      </c>
      <c r="G40" s="34"/>
      <c r="J40" s="5" t="s">
        <v>12</v>
      </c>
    </row>
    <row r="41" spans="2:11" ht="13.8">
      <c r="B41" s="5" t="s">
        <v>13</v>
      </c>
      <c r="C41" s="42">
        <v>0.21304964539007093</v>
      </c>
      <c r="F41" s="5" t="s">
        <v>13</v>
      </c>
      <c r="G41" s="34">
        <v>0.14799999999999999</v>
      </c>
      <c r="J41" s="5" t="s">
        <v>13</v>
      </c>
      <c r="K41" s="35">
        <v>8.2000000000000007E-3</v>
      </c>
    </row>
    <row r="42" spans="2:11" ht="13.8">
      <c r="B42" s="20" t="s">
        <v>14</v>
      </c>
      <c r="C42" s="43">
        <v>0.26824978012313105</v>
      </c>
      <c r="F42" s="20" t="s">
        <v>14</v>
      </c>
      <c r="G42" s="44">
        <v>0.28799999999999998</v>
      </c>
      <c r="J42" s="20" t="s">
        <v>14</v>
      </c>
      <c r="K42" s="45">
        <v>1.7000000000000001E-2</v>
      </c>
    </row>
    <row r="44" spans="2:11" ht="13.8">
      <c r="B44" s="29" t="s">
        <v>16</v>
      </c>
      <c r="C44" s="46">
        <v>0.19951728433509811</v>
      </c>
      <c r="F44" s="29" t="s">
        <v>16</v>
      </c>
      <c r="G44" s="46">
        <v>0.19400000000000001</v>
      </c>
      <c r="J44" s="29" t="s">
        <v>16</v>
      </c>
      <c r="K44" s="46">
        <v>0.19400000000000001</v>
      </c>
    </row>
    <row r="60" spans="1:12" ht="14.4">
      <c r="A60" s="1" t="s">
        <v>20</v>
      </c>
      <c r="B60" s="1" t="s">
        <v>1</v>
      </c>
      <c r="C60" s="1" t="s">
        <v>21</v>
      </c>
      <c r="D60" s="2" t="s">
        <v>2</v>
      </c>
      <c r="E60" s="2" t="s">
        <v>3</v>
      </c>
      <c r="F60" s="2" t="s">
        <v>4</v>
      </c>
      <c r="G60" s="2" t="s">
        <v>5</v>
      </c>
      <c r="H60" s="2" t="s">
        <v>22</v>
      </c>
      <c r="I60" s="2" t="s">
        <v>23</v>
      </c>
      <c r="J60" s="2" t="s">
        <v>17</v>
      </c>
      <c r="K60" s="2" t="s">
        <v>18</v>
      </c>
      <c r="L60" s="2" t="s">
        <v>19</v>
      </c>
    </row>
    <row r="61" spans="1:12" ht="14.4">
      <c r="A61" s="3">
        <v>544252</v>
      </c>
      <c r="B61" s="3" t="s">
        <v>6</v>
      </c>
      <c r="C61" s="47">
        <f ca="1">IFERROR(__xludf.DUMMYFUNCTION("GOOGLEFINANCE(""bom:""&amp;A61,""price"")"),114.8)</f>
        <v>114.8</v>
      </c>
      <c r="D61" s="4">
        <f ca="1">IFERROR(__xludf.DUMMYFUNCTION("GOOGLEFINANCE(""bom:""&amp;A61,""marketcap"")/10000000"),95670.7407832)</f>
        <v>95670.740783200003</v>
      </c>
      <c r="E61" s="3">
        <v>91370</v>
      </c>
      <c r="F61" s="3">
        <v>7617</v>
      </c>
      <c r="G61" s="48">
        <v>1731</v>
      </c>
      <c r="H61" s="48">
        <v>5665</v>
      </c>
      <c r="I61" s="48">
        <v>1258</v>
      </c>
      <c r="J61" s="34">
        <f t="shared" ref="J61:J74" si="0">G61/F61</f>
        <v>0.22725482473414729</v>
      </c>
      <c r="K61" s="34">
        <v>0.30299999999999999</v>
      </c>
      <c r="L61" s="35">
        <v>2.7000000000000001E-3</v>
      </c>
    </row>
    <row r="62" spans="1:12" ht="14.4">
      <c r="A62" s="3">
        <v>500253</v>
      </c>
      <c r="B62" s="3" t="s">
        <v>7</v>
      </c>
      <c r="C62" s="47">
        <f ca="1">IFERROR(__xludf.DUMMYFUNCTION("GOOGLEFINANCE(""bom:""&amp;A62,""price"")"),569.9)</f>
        <v>569.9</v>
      </c>
      <c r="D62" s="4">
        <f ca="1">IFERROR(__xludf.DUMMYFUNCTION("GOOGLEFINANCE(""bom:""&amp;A62,""marketcap"")/10000000"),31271.08155)</f>
        <v>31271.081549999999</v>
      </c>
      <c r="E62" s="3">
        <v>286800</v>
      </c>
      <c r="F62" s="3">
        <v>27067</v>
      </c>
      <c r="G62" s="48">
        <v>4760</v>
      </c>
      <c r="H62" s="48">
        <v>22546</v>
      </c>
      <c r="I62" s="48">
        <v>2891</v>
      </c>
      <c r="J62" s="34">
        <f t="shared" si="0"/>
        <v>0.17585990320316253</v>
      </c>
      <c r="K62" s="34">
        <v>8.4000000000000005E-2</v>
      </c>
      <c r="L62" s="35">
        <v>3.3099999999999997E-2</v>
      </c>
    </row>
    <row r="63" spans="1:12" ht="14.4">
      <c r="A63" s="3">
        <v>540173</v>
      </c>
      <c r="B63" s="3" t="s">
        <v>8</v>
      </c>
      <c r="C63" s="47">
        <f ca="1">IFERROR(__xludf.DUMMYFUNCTION("GOOGLEFINANCE(""bom:""&amp;A63,""price"")"),786.1)</f>
        <v>786.1</v>
      </c>
      <c r="D63" s="4">
        <f ca="1">IFERROR(__xludf.DUMMYFUNCTION("GOOGLEFINANCE(""bom:""&amp;A63,""marketcap"")/10000000"),20573.242569)</f>
        <v>20573.242568999998</v>
      </c>
      <c r="E63" s="3">
        <v>71240</v>
      </c>
      <c r="F63" s="3">
        <v>7050</v>
      </c>
      <c r="G63" s="48">
        <v>1508</v>
      </c>
      <c r="H63" s="48">
        <v>6527</v>
      </c>
      <c r="I63" s="48">
        <v>1046</v>
      </c>
      <c r="J63" s="34">
        <f t="shared" si="0"/>
        <v>0.21390070921985815</v>
      </c>
      <c r="K63" s="34">
        <v>-4.5999999999999999E-2</v>
      </c>
      <c r="L63" s="35">
        <v>1.4999999999999999E-2</v>
      </c>
    </row>
    <row r="64" spans="1:12" ht="14.4">
      <c r="A64" s="3">
        <v>544176</v>
      </c>
      <c r="B64" s="3" t="s">
        <v>9</v>
      </c>
      <c r="C64" s="47">
        <f ca="1">IFERROR(__xludf.DUMMYFUNCTION("GOOGLEFINANCE(""bom:""&amp;A64,""price"")"),505)</f>
        <v>505</v>
      </c>
      <c r="D64" s="4">
        <f ca="1">IFERROR(__xludf.DUMMYFUNCTION("GOOGLEFINANCE(""bom:""&amp;A64,""marketcap"")/10000000"),21780.1045357)</f>
        <v>21780.1045357</v>
      </c>
      <c r="E64" s="3">
        <v>21100</v>
      </c>
      <c r="F64" s="3">
        <v>2587</v>
      </c>
      <c r="G64" s="48">
        <v>750</v>
      </c>
      <c r="H64" s="48">
        <v>2043</v>
      </c>
      <c r="I64" s="48">
        <v>545</v>
      </c>
      <c r="J64" s="34">
        <f t="shared" si="0"/>
        <v>0.28991109393119441</v>
      </c>
      <c r="K64" s="34">
        <v>0.16500000000000001</v>
      </c>
      <c r="L64" s="35">
        <v>1.0999999999999999E-2</v>
      </c>
    </row>
    <row r="65" spans="1:12" ht="14.4">
      <c r="A65" s="3">
        <v>543335</v>
      </c>
      <c r="B65" s="3" t="s">
        <v>10</v>
      </c>
      <c r="C65" s="47">
        <f ca="1">IFERROR(__xludf.DUMMYFUNCTION("GOOGLEFINANCE(""bom:""&amp;A65,""price"")"),359.15)</f>
        <v>359.15</v>
      </c>
      <c r="D65" s="4">
        <f ca="1">IFERROR(__xludf.DUMMYFUNCTION("GOOGLEFINANCE(""bom:""&amp;A65,""marketcap"")/10000000"),17984.1342583)</f>
        <v>17984.134258300001</v>
      </c>
      <c r="E65" s="3">
        <v>6760</v>
      </c>
      <c r="F65" s="3">
        <v>1037</v>
      </c>
      <c r="G65" s="48">
        <v>480</v>
      </c>
      <c r="H65" s="48">
        <v>928</v>
      </c>
      <c r="I65" s="48">
        <v>424</v>
      </c>
      <c r="J65" s="34">
        <f t="shared" si="0"/>
        <v>0.46287367405978785</v>
      </c>
      <c r="K65" s="34">
        <v>0.253</v>
      </c>
      <c r="L65" s="35">
        <v>1.0699999999999999E-2</v>
      </c>
    </row>
    <row r="66" spans="1:12" ht="14.4">
      <c r="A66" s="3">
        <v>541988</v>
      </c>
      <c r="B66" s="3" t="s">
        <v>11</v>
      </c>
      <c r="C66" s="47">
        <f ca="1">IFERROR(__xludf.DUMMYFUNCTION("GOOGLEFINANCE(""bom:""&amp;A66,""price"")"),1672.5)</f>
        <v>1672.5</v>
      </c>
      <c r="D66" s="4">
        <f ca="1">IFERROR(__xludf.DUMMYFUNCTION("GOOGLEFINANCE(""bom:""&amp;A66,""marketcap"")/10000000"),13234.2700575)</f>
        <v>13234.2700575</v>
      </c>
      <c r="E66" s="3">
        <v>17310</v>
      </c>
      <c r="F66" s="3">
        <v>2018</v>
      </c>
      <c r="G66" s="48">
        <v>491</v>
      </c>
      <c r="H66" s="48">
        <v>1609</v>
      </c>
      <c r="I66" s="48">
        <v>430</v>
      </c>
      <c r="J66" s="34">
        <f t="shared" si="0"/>
        <v>0.24331020812685827</v>
      </c>
      <c r="K66" s="34">
        <v>0.223</v>
      </c>
      <c r="L66" s="35">
        <v>9.4000000000000004E-3</v>
      </c>
    </row>
    <row r="67" spans="1:12" ht="14.4">
      <c r="A67" s="3">
        <v>535789</v>
      </c>
      <c r="B67" s="3" t="s">
        <v>12</v>
      </c>
      <c r="C67" s="47">
        <f ca="1">IFERROR(__xludf.DUMMYFUNCTION("GOOGLEFINANCE(""bom:""&amp;A67,""price"")"),118.25)</f>
        <v>118.25</v>
      </c>
      <c r="D67" s="49">
        <f ca="1">IFERROR(__xludf.DUMMYFUNCTION("GOOGLEFINANCE(""bom:""&amp;A67,""marketcap"")/10000000"),9665.248)</f>
        <v>9665.2479999999996</v>
      </c>
      <c r="F67" s="3">
        <v>8579</v>
      </c>
      <c r="G67" s="48">
        <v>1214</v>
      </c>
      <c r="H67" s="48">
        <v>8719</v>
      </c>
      <c r="I67" s="48">
        <v>1130</v>
      </c>
      <c r="J67" s="34">
        <f t="shared" si="0"/>
        <v>0.14150833430469753</v>
      </c>
      <c r="K67" s="34"/>
    </row>
    <row r="68" spans="1:12" ht="14.4">
      <c r="A68" s="3">
        <v>511196</v>
      </c>
      <c r="B68" s="3" t="s">
        <v>13</v>
      </c>
      <c r="C68" s="47">
        <f ca="1">IFERROR(__xludf.DUMMYFUNCTION("GOOGLEFINANCE(""bom:""&amp;A68,""price"")"),758.75)</f>
        <v>758.75</v>
      </c>
      <c r="D68" s="49">
        <f ca="1">IFERROR(__xludf.DUMMYFUNCTION("GOOGLEFINANCE(""bom:""&amp;A68,""marketcap"")/10000000"),10113.0463)</f>
        <v>10113.0463</v>
      </c>
      <c r="E68" s="3">
        <v>3500</v>
      </c>
      <c r="F68" s="3">
        <v>3525</v>
      </c>
      <c r="G68" s="48">
        <v>751</v>
      </c>
      <c r="H68" s="48">
        <v>2743</v>
      </c>
      <c r="I68" s="48">
        <v>621</v>
      </c>
      <c r="J68" s="34">
        <f t="shared" si="0"/>
        <v>0.21304964539007093</v>
      </c>
      <c r="K68" s="34">
        <v>0.14799999999999999</v>
      </c>
      <c r="L68" s="35">
        <v>8.2000000000000007E-3</v>
      </c>
    </row>
    <row r="69" spans="1:12" ht="14.4">
      <c r="A69" s="3">
        <v>543259</v>
      </c>
      <c r="B69" s="3" t="s">
        <v>14</v>
      </c>
      <c r="C69" s="47">
        <f ca="1">IFERROR(__xludf.DUMMYFUNCTION("GOOGLEFINANCE(""bom:""&amp;A69,""price"")"),1259.95)</f>
        <v>1259.95</v>
      </c>
      <c r="D69" s="49">
        <f ca="1">IFERROR(__xludf.DUMMYFUNCTION("GOOGLEFINANCE(""bom:""&amp;A69,""marketcap"")/10000000"),13018.6092634)</f>
        <v>13018.6092634</v>
      </c>
      <c r="E69" s="3">
        <v>9700</v>
      </c>
      <c r="F69" s="3">
        <v>1137</v>
      </c>
      <c r="G69" s="48">
        <v>305</v>
      </c>
      <c r="H69" s="48">
        <v>791</v>
      </c>
      <c r="I69" s="48">
        <v>228</v>
      </c>
      <c r="J69" s="34">
        <f t="shared" si="0"/>
        <v>0.26824978012313105</v>
      </c>
      <c r="K69" s="34">
        <v>0.28799999999999998</v>
      </c>
      <c r="L69" s="35">
        <v>1.7000000000000001E-2</v>
      </c>
    </row>
    <row r="70" spans="1:12" ht="14.4">
      <c r="A70" s="3">
        <v>544044</v>
      </c>
      <c r="B70" s="3" t="s">
        <v>24</v>
      </c>
      <c r="C70" s="47">
        <f ca="1">IFERROR(__xludf.DUMMYFUNCTION("GOOGLEFINANCE(""bom:""&amp;A70,""price"")"),907.45)</f>
        <v>907.45</v>
      </c>
      <c r="D70" s="49">
        <f ca="1">IFERROR(__xludf.DUMMYFUNCTION("GOOGLEFINANCE(""bom:""&amp;A70,""marketcap"")/10000000"),9826.054365)</f>
        <v>9826.054365</v>
      </c>
      <c r="F70" s="3">
        <v>829</v>
      </c>
      <c r="G70" s="48">
        <v>247</v>
      </c>
      <c r="H70" s="48">
        <v>584</v>
      </c>
      <c r="I70" s="48">
        <v>155</v>
      </c>
      <c r="J70" s="34">
        <f t="shared" si="0"/>
        <v>0.29794933655006034</v>
      </c>
    </row>
    <row r="71" spans="1:12" ht="14.4">
      <c r="A71" s="3">
        <v>535322</v>
      </c>
      <c r="B71" s="3" t="s">
        <v>25</v>
      </c>
      <c r="C71" s="47">
        <f ca="1">IFERROR(__xludf.DUMMYFUNCTION("GOOGLEFINANCE(""bom:""&amp;A71,""price"")"),372.3)</f>
        <v>372.3</v>
      </c>
      <c r="D71" s="49">
        <f ca="1">IFERROR(__xludf.DUMMYFUNCTION("GOOGLEFINANCE(""bom:""&amp;A71,""marketcap"")/10000000"),2320.0880737)</f>
        <v>2320.0880737000002</v>
      </c>
      <c r="F71" s="3">
        <v>1528</v>
      </c>
      <c r="G71" s="50">
        <v>395</v>
      </c>
      <c r="H71" s="50">
        <v>1285</v>
      </c>
      <c r="I71" s="50">
        <v>296</v>
      </c>
      <c r="J71" s="34">
        <f t="shared" si="0"/>
        <v>0.25850785340314136</v>
      </c>
    </row>
    <row r="72" spans="1:12" ht="14.4">
      <c r="A72" s="3">
        <v>511676</v>
      </c>
      <c r="B72" s="3" t="s">
        <v>26</v>
      </c>
      <c r="C72" s="47">
        <f ca="1">IFERROR(__xludf.DUMMYFUNCTION("GOOGLEFINANCE(""bom:""&amp;A72,""price"")"),175.9)</f>
        <v>175.9</v>
      </c>
      <c r="D72" s="49">
        <f ca="1">IFERROR(__xludf.DUMMYFUNCTION("GOOGLEFINANCE(""bom:""&amp;A72,""marketcap"")/10000000"),948.7711985)</f>
        <v>948.77119849999997</v>
      </c>
      <c r="F72" s="3">
        <v>1060</v>
      </c>
      <c r="G72" s="50">
        <v>151</v>
      </c>
      <c r="H72" s="50">
        <v>1123</v>
      </c>
      <c r="I72" s="50">
        <v>213</v>
      </c>
      <c r="J72" s="34">
        <f t="shared" si="0"/>
        <v>0.14245283018867924</v>
      </c>
    </row>
    <row r="73" spans="1:12" ht="14.4">
      <c r="A73" s="3">
        <v>534680</v>
      </c>
      <c r="B73" s="3" t="s">
        <v>27</v>
      </c>
      <c r="C73" s="47">
        <f ca="1">IFERROR(__xludf.DUMMYFUNCTION("GOOGLEFINANCE(""bom:""&amp;A73,""price"")"),310)</f>
        <v>310</v>
      </c>
      <c r="D73" s="49">
        <f ca="1">IFERROR(__xludf.DUMMYFUNCTION("GOOGLEFINANCE(""bom:""&amp;A73,""marketcap"")/10000000"),487.43346)</f>
        <v>487.43346000000003</v>
      </c>
      <c r="F73" s="3">
        <v>127</v>
      </c>
      <c r="G73" s="50">
        <v>21</v>
      </c>
      <c r="H73" s="50">
        <v>94</v>
      </c>
      <c r="I73" s="50">
        <v>17</v>
      </c>
      <c r="J73" s="34">
        <f t="shared" si="0"/>
        <v>0.16535433070866143</v>
      </c>
    </row>
    <row r="74" spans="1:12" ht="14.4">
      <c r="A74" s="3">
        <v>539017</v>
      </c>
      <c r="B74" s="3" t="s">
        <v>28</v>
      </c>
      <c r="C74" s="47">
        <f ca="1">IFERROR(__xludf.DUMMYFUNCTION("GOOGLEFINANCE(""bom:""&amp;A74,""price"")"),24.86)</f>
        <v>24.86</v>
      </c>
      <c r="D74" s="49">
        <f ca="1">IFERROR(__xludf.DUMMYFUNCTION("GOOGLEFINANCE(""bom:""&amp;A74,""marketcap"")/10000000"),195.6994661)</f>
        <v>195.6994661</v>
      </c>
      <c r="F74" s="3">
        <v>59</v>
      </c>
      <c r="G74" s="50">
        <v>9</v>
      </c>
      <c r="H74" s="50">
        <v>35</v>
      </c>
      <c r="I74" s="50">
        <v>7</v>
      </c>
      <c r="J74" s="34">
        <f t="shared" si="0"/>
        <v>0.15254237288135594</v>
      </c>
    </row>
    <row r="75" spans="1:12" ht="14.4">
      <c r="A75" s="3">
        <v>540709</v>
      </c>
      <c r="B75" s="3" t="s">
        <v>29</v>
      </c>
      <c r="C75" s="47">
        <f ca="1">IFERROR(__xludf.DUMMYFUNCTION("GOOGLEFINANCE(""bom:""&amp;A75,""price"")"),4.65)</f>
        <v>4.6500000000000004</v>
      </c>
      <c r="D75" s="49">
        <f ca="1">IFERROR(__xludf.DUMMYFUNCTION("GOOGLEFINANCE(""bom:""&amp;A75,""marketcap"")/10000000"),226.0373933)</f>
        <v>226.03739329999999</v>
      </c>
    </row>
    <row r="76" spans="1:12" ht="14.4">
      <c r="A76" s="3">
        <v>511740</v>
      </c>
      <c r="B76" s="3" t="s">
        <v>30</v>
      </c>
      <c r="C76" s="47">
        <f ca="1">IFERROR(__xludf.DUMMYFUNCTION("GOOGLEFINANCE(""bom:""&amp;A76,""price"")"),190)</f>
        <v>190</v>
      </c>
      <c r="D76" s="49">
        <f ca="1">IFERROR(__xludf.DUMMYFUNCTION("GOOGLEFINANCE(""bom:""&amp;A76,""marketcap"")/10000000"),58.558)</f>
        <v>58.558</v>
      </c>
    </row>
    <row r="77" spans="1:12" ht="14.4">
      <c r="A77" s="3">
        <v>530979</v>
      </c>
      <c r="B77" s="3" t="s">
        <v>31</v>
      </c>
      <c r="C77" s="47">
        <f ca="1">IFERROR(__xludf.DUMMYFUNCTION("GOOGLEFINANCE(""bom:""&amp;A77,""price"")"),35.8)</f>
        <v>35.799999999999997</v>
      </c>
      <c r="D77" s="49">
        <f ca="1">IFERROR(__xludf.DUMMYFUNCTION("GOOGLEFINANCE(""bom:""&amp;A77,""marketcap"")/10000000"),51.1286639)</f>
        <v>51.128663899999999</v>
      </c>
    </row>
    <row r="78" spans="1:12" ht="14.4">
      <c r="A78" s="3">
        <v>523465</v>
      </c>
      <c r="B78" s="3" t="s">
        <v>32</v>
      </c>
      <c r="C78" s="47">
        <f ca="1">IFERROR(__xludf.DUMMYFUNCTION("GOOGLEFINANCE(""bom:""&amp;A78,""price"")"),39.26)</f>
        <v>39.26</v>
      </c>
      <c r="D78" s="49">
        <f ca="1">IFERROR(__xludf.DUMMYFUNCTION("GOOGLEFINANCE(""bom:""&amp;A78,""marketcap"")/10000000"),39.2599983)</f>
        <v>39.259998299999999</v>
      </c>
    </row>
    <row r="79" spans="1:12" ht="14.4">
      <c r="A79" s="3">
        <v>511533</v>
      </c>
      <c r="B79" s="3" t="s">
        <v>33</v>
      </c>
      <c r="C79" s="47">
        <f ca="1">IFERROR(__xludf.DUMMYFUNCTION("GOOGLEFINANCE(""bom:""&amp;A79,""price"")"),38.67)</f>
        <v>38.67</v>
      </c>
      <c r="D79" s="49">
        <f ca="1">IFERROR(__xludf.DUMMYFUNCTION("GOOGLEFINANCE(""bom:""&amp;A79,""marketcap"")/10000000"),27.0689987)</f>
        <v>27.068998700000002</v>
      </c>
    </row>
    <row r="80" spans="1:12" ht="14.4">
      <c r="A80" s="28">
        <v>509650</v>
      </c>
      <c r="B80" s="28" t="s">
        <v>34</v>
      </c>
      <c r="C80" s="51">
        <f ca="1">IFERROR(__xludf.DUMMYFUNCTION("GOOGLEFINANCE(""bom:""&amp;A80,""price"")"),38.74)</f>
        <v>38.74</v>
      </c>
      <c r="D80" s="52">
        <v>0.09</v>
      </c>
      <c r="E80" s="28"/>
      <c r="F80" s="28"/>
      <c r="G80" s="28"/>
      <c r="H80" s="28"/>
      <c r="I80" s="28"/>
      <c r="J80" s="28"/>
      <c r="K80" s="28"/>
      <c r="L80" s="28"/>
    </row>
    <row r="82" spans="1:12" ht="13.8">
      <c r="A82" s="29"/>
      <c r="B82" s="29" t="s">
        <v>16</v>
      </c>
      <c r="C82" s="29"/>
      <c r="D82" s="30">
        <f t="shared" ref="D82:I82" ca="1" si="1">SUM(D61:D80)</f>
        <v>247490.66693459995</v>
      </c>
      <c r="E82" s="29">
        <f t="shared" si="1"/>
        <v>507780</v>
      </c>
      <c r="F82" s="29">
        <f t="shared" si="1"/>
        <v>64220</v>
      </c>
      <c r="G82" s="29">
        <f t="shared" si="1"/>
        <v>12813</v>
      </c>
      <c r="H82" s="29">
        <f t="shared" si="1"/>
        <v>54692</v>
      </c>
      <c r="I82" s="29">
        <f t="shared" si="1"/>
        <v>9261</v>
      </c>
      <c r="J82" s="46">
        <f>G82/F82</f>
        <v>0.19951728433509811</v>
      </c>
      <c r="K82" s="46">
        <f t="shared" ref="K82:L82" si="2">MEDIAN(K61:K69)</f>
        <v>0.19400000000000001</v>
      </c>
      <c r="L82" s="53">
        <f t="shared" si="2"/>
        <v>1.0849999999999999E-2</v>
      </c>
    </row>
    <row r="84" spans="1:12" ht="14.4">
      <c r="B84" s="54" t="s">
        <v>1</v>
      </c>
      <c r="C84" s="55" t="s">
        <v>35</v>
      </c>
      <c r="D84" s="55" t="s">
        <v>36</v>
      </c>
      <c r="E84" s="55" t="s">
        <v>37</v>
      </c>
      <c r="F84" s="55" t="s">
        <v>38</v>
      </c>
      <c r="G84" s="55" t="s">
        <v>17</v>
      </c>
      <c r="H84" s="55" t="s">
        <v>39</v>
      </c>
      <c r="I84" s="55" t="s">
        <v>40</v>
      </c>
    </row>
    <row r="85" spans="1:12" ht="14.4">
      <c r="B85" s="56" t="s">
        <v>41</v>
      </c>
      <c r="C85" s="57">
        <v>95257</v>
      </c>
      <c r="D85" s="58">
        <v>91370</v>
      </c>
      <c r="E85" s="59">
        <v>7617</v>
      </c>
      <c r="F85" s="58">
        <v>1731</v>
      </c>
      <c r="G85" s="60">
        <v>22.7</v>
      </c>
      <c r="H85" s="57">
        <v>30.3</v>
      </c>
      <c r="I85" s="57">
        <v>0.27</v>
      </c>
    </row>
    <row r="86" spans="1:12" ht="14.4">
      <c r="B86" s="56" t="s">
        <v>42</v>
      </c>
      <c r="C86" s="61">
        <v>29153</v>
      </c>
      <c r="D86" s="57">
        <v>286800</v>
      </c>
      <c r="E86" s="57">
        <v>27067</v>
      </c>
      <c r="F86" s="57">
        <v>4760</v>
      </c>
      <c r="G86" s="62">
        <v>17.600000000000001</v>
      </c>
      <c r="H86" s="62">
        <v>8.4</v>
      </c>
      <c r="I86" s="62">
        <v>3.31</v>
      </c>
    </row>
    <row r="87" spans="1:12" ht="14.4">
      <c r="B87" s="56" t="s">
        <v>43</v>
      </c>
      <c r="C87" s="63">
        <v>17292</v>
      </c>
      <c r="D87" s="64">
        <v>21100</v>
      </c>
      <c r="E87" s="65">
        <v>2587</v>
      </c>
      <c r="F87" s="66">
        <v>750</v>
      </c>
      <c r="G87" s="67">
        <v>29</v>
      </c>
      <c r="H87" s="68">
        <v>16.5</v>
      </c>
      <c r="I87" s="69">
        <v>1.1000000000000001</v>
      </c>
    </row>
    <row r="88" spans="1:12" ht="14.4">
      <c r="B88" s="56" t="s">
        <v>44</v>
      </c>
      <c r="C88" s="70">
        <v>15224</v>
      </c>
      <c r="D88" s="62">
        <v>6760</v>
      </c>
      <c r="E88" s="62">
        <v>1037</v>
      </c>
      <c r="F88" s="71">
        <v>480</v>
      </c>
      <c r="G88" s="57">
        <v>46.3</v>
      </c>
      <c r="H88" s="72">
        <v>25.3</v>
      </c>
      <c r="I88" s="73">
        <v>1.07</v>
      </c>
    </row>
    <row r="89" spans="1:12" ht="14.4">
      <c r="B89" s="56" t="s">
        <v>45</v>
      </c>
      <c r="C89" s="74">
        <v>13500</v>
      </c>
      <c r="D89" s="75">
        <v>17310</v>
      </c>
      <c r="E89" s="76">
        <v>2018</v>
      </c>
      <c r="F89" s="77">
        <v>491</v>
      </c>
      <c r="G89" s="78">
        <v>24.3</v>
      </c>
      <c r="H89" s="79">
        <v>22.3</v>
      </c>
      <c r="I89" s="80">
        <v>0.94</v>
      </c>
    </row>
    <row r="90" spans="1:12" ht="14.4">
      <c r="B90" s="56" t="s">
        <v>46</v>
      </c>
      <c r="C90" s="62">
        <v>9024</v>
      </c>
      <c r="D90" s="81">
        <v>9700</v>
      </c>
      <c r="E90" s="82">
        <v>1137</v>
      </c>
      <c r="F90" s="62">
        <v>305</v>
      </c>
      <c r="G90" s="83">
        <v>26.8</v>
      </c>
      <c r="H90" s="84">
        <v>28.8</v>
      </c>
      <c r="I90" s="85">
        <v>1.7</v>
      </c>
    </row>
    <row r="93" spans="1:12" ht="14.4">
      <c r="B93" s="54" t="s">
        <v>1</v>
      </c>
      <c r="C93" s="55" t="s">
        <v>47</v>
      </c>
      <c r="D93" s="55" t="s">
        <v>48</v>
      </c>
      <c r="E93" s="55" t="s">
        <v>49</v>
      </c>
      <c r="F93" s="55" t="s">
        <v>50</v>
      </c>
      <c r="G93" s="55" t="s">
        <v>17</v>
      </c>
      <c r="H93" s="55" t="s">
        <v>39</v>
      </c>
      <c r="I93" s="55" t="s">
        <v>40</v>
      </c>
    </row>
    <row r="94" spans="1:12" ht="14.4">
      <c r="B94" s="56" t="s">
        <v>51</v>
      </c>
      <c r="C94" s="86">
        <v>70</v>
      </c>
      <c r="D94" s="87">
        <v>600</v>
      </c>
      <c r="E94" s="88">
        <v>25</v>
      </c>
      <c r="F94" s="89">
        <v>5</v>
      </c>
      <c r="G94" s="90">
        <v>20</v>
      </c>
      <c r="H94" s="57">
        <v>12.5</v>
      </c>
      <c r="I94" s="91">
        <v>1.2</v>
      </c>
    </row>
    <row r="95" spans="1:12" ht="14.4">
      <c r="B95" s="56" t="s">
        <v>52</v>
      </c>
      <c r="C95" s="57">
        <v>120</v>
      </c>
      <c r="D95" s="57">
        <v>4200</v>
      </c>
      <c r="E95" s="57">
        <v>90</v>
      </c>
      <c r="F95" s="57">
        <v>16</v>
      </c>
      <c r="G95" s="62">
        <v>18</v>
      </c>
      <c r="H95" s="92">
        <v>5.5</v>
      </c>
      <c r="I95" s="93">
        <v>1.1000000000000001</v>
      </c>
    </row>
    <row r="96" spans="1:12" ht="14.4">
      <c r="B96" s="56" t="s">
        <v>53</v>
      </c>
      <c r="C96" s="94">
        <v>80</v>
      </c>
      <c r="D96" s="95">
        <v>2700</v>
      </c>
      <c r="E96" s="96">
        <v>65</v>
      </c>
      <c r="F96" s="97">
        <v>12</v>
      </c>
      <c r="G96" s="98">
        <v>19</v>
      </c>
      <c r="H96" s="62">
        <v>4.8</v>
      </c>
      <c r="I96" s="62">
        <v>1.4</v>
      </c>
    </row>
    <row r="97" spans="2:9" ht="14.4">
      <c r="B97" s="56" t="s">
        <v>54</v>
      </c>
      <c r="C97" s="62">
        <v>50</v>
      </c>
      <c r="D97" s="62">
        <v>380</v>
      </c>
      <c r="E97" s="62">
        <v>18</v>
      </c>
      <c r="F97" s="62">
        <v>4</v>
      </c>
      <c r="G97" s="57">
        <v>22</v>
      </c>
      <c r="H97" s="99">
        <v>6.2</v>
      </c>
      <c r="I97" s="57">
        <v>0.9</v>
      </c>
    </row>
    <row r="98" spans="2:9" ht="14.4">
      <c r="B98" s="100"/>
      <c r="C98" s="100"/>
      <c r="D98" s="100"/>
      <c r="E98" s="100"/>
      <c r="F98" s="100"/>
      <c r="G98" s="100"/>
      <c r="H98" s="100"/>
      <c r="I98" s="100"/>
    </row>
    <row r="101" spans="2:9" ht="14.4">
      <c r="B101" s="101" t="s">
        <v>1</v>
      </c>
      <c r="C101" s="102" t="s">
        <v>35</v>
      </c>
      <c r="D101" s="102" t="s">
        <v>36</v>
      </c>
      <c r="E101" s="102" t="s">
        <v>37</v>
      </c>
      <c r="F101" s="102" t="s">
        <v>38</v>
      </c>
      <c r="G101" s="102" t="s">
        <v>17</v>
      </c>
      <c r="H101" s="102" t="s">
        <v>39</v>
      </c>
      <c r="I101" s="102" t="s">
        <v>40</v>
      </c>
    </row>
    <row r="102" spans="2:9" ht="14.4">
      <c r="B102" s="56" t="s">
        <v>55</v>
      </c>
      <c r="C102" s="57">
        <v>15000</v>
      </c>
      <c r="D102" s="57">
        <v>85000</v>
      </c>
      <c r="E102" s="57">
        <v>12000</v>
      </c>
      <c r="F102" s="57">
        <v>1500</v>
      </c>
      <c r="G102" s="57">
        <v>22.5</v>
      </c>
      <c r="H102" s="103">
        <v>10.5</v>
      </c>
      <c r="I102" s="69">
        <v>1.8</v>
      </c>
    </row>
    <row r="103" spans="2:9" ht="14.4">
      <c r="B103" s="56" t="s">
        <v>56</v>
      </c>
      <c r="C103" s="90">
        <v>12000</v>
      </c>
      <c r="D103" s="104">
        <v>62000</v>
      </c>
      <c r="E103" s="105">
        <v>9500</v>
      </c>
      <c r="F103" s="106">
        <v>1300</v>
      </c>
      <c r="G103" s="107">
        <v>20.8</v>
      </c>
      <c r="H103" s="62">
        <v>9.8000000000000007</v>
      </c>
      <c r="I103" s="62">
        <v>2.2000000000000002</v>
      </c>
    </row>
    <row r="104" spans="2:9" ht="14.4">
      <c r="B104" s="56" t="s">
        <v>57</v>
      </c>
      <c r="C104" s="62">
        <v>7000</v>
      </c>
      <c r="D104" s="62">
        <v>18000</v>
      </c>
      <c r="E104" s="62">
        <v>3200</v>
      </c>
      <c r="F104" s="62">
        <v>500</v>
      </c>
      <c r="G104" s="62">
        <v>15.6</v>
      </c>
      <c r="H104" s="108">
        <v>12</v>
      </c>
      <c r="I104" s="57">
        <v>1.4</v>
      </c>
    </row>
    <row r="105" spans="2:9" ht="14.4">
      <c r="B105" s="56" t="s">
        <v>58</v>
      </c>
      <c r="C105" s="109">
        <v>9000</v>
      </c>
      <c r="D105" s="110">
        <v>25000</v>
      </c>
      <c r="E105" s="111">
        <v>5400</v>
      </c>
      <c r="F105" s="112">
        <v>850</v>
      </c>
      <c r="G105" s="113">
        <v>18.7</v>
      </c>
      <c r="H105" s="114">
        <v>11.5</v>
      </c>
      <c r="I105" s="115">
        <v>1.6</v>
      </c>
    </row>
    <row r="106" spans="2:9" ht="14.4">
      <c r="B106" s="56" t="s">
        <v>59</v>
      </c>
      <c r="C106" s="114">
        <v>11000</v>
      </c>
      <c r="D106" s="114">
        <v>30000</v>
      </c>
      <c r="E106" s="114">
        <v>6000</v>
      </c>
      <c r="F106" s="114">
        <v>900</v>
      </c>
      <c r="G106" s="114">
        <v>19.3</v>
      </c>
      <c r="H106" s="57">
        <v>13.2</v>
      </c>
      <c r="I106" s="116">
        <v>1.9</v>
      </c>
    </row>
    <row r="108" spans="2:9" ht="14.4">
      <c r="B108" s="101" t="s">
        <v>60</v>
      </c>
      <c r="C108" s="102">
        <v>2024</v>
      </c>
      <c r="D108" s="102" t="s">
        <v>61</v>
      </c>
    </row>
    <row r="109" spans="2:9" ht="14.4">
      <c r="B109" s="56" t="s">
        <v>62</v>
      </c>
      <c r="C109" s="56" t="s">
        <v>63</v>
      </c>
      <c r="D109" s="56" t="s">
        <v>64</v>
      </c>
    </row>
    <row r="110" spans="2:9" ht="14.4">
      <c r="B110" s="56" t="s">
        <v>65</v>
      </c>
      <c r="C110" s="56" t="s">
        <v>66</v>
      </c>
      <c r="D110" s="56" t="s">
        <v>67</v>
      </c>
    </row>
    <row r="111" spans="2:9" ht="14.4">
      <c r="B111" s="56" t="s">
        <v>68</v>
      </c>
      <c r="C111" s="56" t="s">
        <v>69</v>
      </c>
      <c r="D111" s="56" t="s">
        <v>70</v>
      </c>
    </row>
    <row r="112" spans="2:9" ht="14.4">
      <c r="B112" s="56" t="s">
        <v>71</v>
      </c>
      <c r="C112" s="56" t="s">
        <v>72</v>
      </c>
      <c r="D112" s="56" t="s">
        <v>73</v>
      </c>
    </row>
  </sheetData>
  <autoFilter ref="A60:D80" xr:uid="{00000000-0009-0000-0000-000000000000}">
    <sortState xmlns:xlrd2="http://schemas.microsoft.com/office/spreadsheetml/2017/richdata2" ref="A60:D80">
      <sortCondition descending="1" ref="D60:D80"/>
    </sortState>
  </autoFilter>
  <mergeCells count="1">
    <mergeCell ref="A1:P3"/>
  </mergeCells>
  <conditionalFormatting sqref="C6:C14 D61:D80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61:E69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61:F74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4:G42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61:G74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61:H74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61:I74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61:J74 J82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4:K42">
    <cfRule type="colorScale" priority="9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61:L69">
    <cfRule type="colorScale" priority="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M28"/>
  <sheetViews>
    <sheetView workbookViewId="0"/>
  </sheetViews>
  <sheetFormatPr defaultColWidth="14.44140625" defaultRowHeight="15.75" customHeight="1"/>
  <cols>
    <col min="2" max="2" width="21.33203125" customWidth="1"/>
  </cols>
  <sheetData>
    <row r="2" spans="1:13" ht="15.75" customHeight="1">
      <c r="A2" s="117" t="s">
        <v>74</v>
      </c>
      <c r="B2" s="118" t="s">
        <v>75</v>
      </c>
      <c r="C2" s="118" t="s">
        <v>76</v>
      </c>
      <c r="D2" s="119" t="s">
        <v>77</v>
      </c>
      <c r="E2" s="118" t="s">
        <v>78</v>
      </c>
      <c r="F2" s="118" t="s">
        <v>79</v>
      </c>
      <c r="G2" s="118" t="s">
        <v>80</v>
      </c>
      <c r="H2" s="118" t="s">
        <v>81</v>
      </c>
      <c r="I2" s="118" t="s">
        <v>82</v>
      </c>
      <c r="J2" s="118" t="s">
        <v>83</v>
      </c>
      <c r="K2" s="118" t="s">
        <v>84</v>
      </c>
      <c r="L2" s="118" t="s">
        <v>85</v>
      </c>
      <c r="M2" s="118" t="s">
        <v>86</v>
      </c>
    </row>
    <row r="3" spans="1:13" ht="13.8">
      <c r="A3" s="120" t="s">
        <v>6</v>
      </c>
      <c r="B3" s="121" t="s">
        <v>87</v>
      </c>
      <c r="C3" s="122">
        <f ca="1">IFERROR(__xludf.DUMMYFUNCTION("GOOGLEFINANCE(""nse:""&amp;A3,""price"")"),114.75)</f>
        <v>114.75</v>
      </c>
      <c r="D3" s="122">
        <f ca="1">IFERROR(__xludf.DUMMYFUNCTION("GOOGLEFINANCE(""nse:""&amp;A3,""marketcap"")/10000000"),95670.7407832)</f>
        <v>95670.740783200003</v>
      </c>
      <c r="E3" s="123">
        <v>4619</v>
      </c>
      <c r="F3" s="123">
        <v>3675</v>
      </c>
      <c r="G3" s="123">
        <v>1034</v>
      </c>
      <c r="H3" s="123">
        <v>913</v>
      </c>
      <c r="I3" s="124">
        <f t="shared" ref="I3:J3" si="0">G3/E3</f>
        <v>0.22385797791729811</v>
      </c>
      <c r="J3" s="125">
        <f t="shared" si="0"/>
        <v>0.24843537414965985</v>
      </c>
      <c r="K3" s="126">
        <f t="shared" ref="K3:K11" si="1">(E3/F3)-1</f>
        <v>0.25687074829931977</v>
      </c>
      <c r="L3" s="127">
        <f t="shared" ref="L3:L8" si="2">(G3/H3)-1</f>
        <v>0.1325301204819278</v>
      </c>
      <c r="M3" s="128">
        <f t="shared" ref="M3:M11" si="3">I3-J3</f>
        <v>-2.4577396232361742E-2</v>
      </c>
    </row>
    <row r="4" spans="1:13" ht="14.4">
      <c r="A4" s="129" t="s">
        <v>7</v>
      </c>
      <c r="B4" s="121" t="s">
        <v>87</v>
      </c>
      <c r="C4" s="122">
        <f ca="1">IFERROR(__xludf.DUMMYFUNCTION("GOOGLEFINANCE(""nse:""&amp;A4,""price"")"),568.5)</f>
        <v>568.5</v>
      </c>
      <c r="D4" s="122">
        <f ca="1">IFERROR(__xludf.DUMMYFUNCTION("GOOGLEFINANCE(""nse:""&amp;A4,""marketcap"")/10000000"),31271.08155)</f>
        <v>31271.081549999999</v>
      </c>
      <c r="E4" s="123">
        <v>13734</v>
      </c>
      <c r="F4" s="123">
        <v>13525</v>
      </c>
      <c r="G4" s="123">
        <v>2634</v>
      </c>
      <c r="H4" s="123">
        <v>2512</v>
      </c>
      <c r="I4" s="130">
        <f t="shared" ref="I4:J4" si="4">G4/E4</f>
        <v>0.19178680646570556</v>
      </c>
      <c r="J4" s="131">
        <f t="shared" si="4"/>
        <v>0.18573012939001848</v>
      </c>
      <c r="K4" s="132">
        <f t="shared" si="1"/>
        <v>1.5452865064695009E-2</v>
      </c>
      <c r="L4" s="133">
        <f t="shared" si="2"/>
        <v>4.8566878980891737E-2</v>
      </c>
      <c r="M4" s="127">
        <f t="shared" si="3"/>
        <v>6.056677075687078E-3</v>
      </c>
    </row>
    <row r="5" spans="1:13" ht="14.4">
      <c r="A5" s="129" t="s">
        <v>8</v>
      </c>
      <c r="B5" s="121" t="s">
        <v>87</v>
      </c>
      <c r="C5" s="122">
        <f ca="1">IFERROR(__xludf.DUMMYFUNCTION("GOOGLEFINANCE(""nse:""&amp;A5,""price"")"),786.5)</f>
        <v>786.5</v>
      </c>
      <c r="D5" s="122">
        <f ca="1">IFERROR(__xludf.DUMMYFUNCTION("GOOGLEFINANCE(""nse:""&amp;A5,""marketcap"")/10000000"),20573.242569)</f>
        <v>20573.242568999998</v>
      </c>
      <c r="E5" s="123">
        <v>3702</v>
      </c>
      <c r="F5" s="123">
        <v>3485</v>
      </c>
      <c r="G5" s="123">
        <v>902</v>
      </c>
      <c r="H5" s="123">
        <v>730</v>
      </c>
      <c r="I5" s="134">
        <f t="shared" ref="I5:J5" si="5">G5/E5</f>
        <v>0.24365207995678012</v>
      </c>
      <c r="J5" s="135">
        <f t="shared" si="5"/>
        <v>0.20946915351506457</v>
      </c>
      <c r="K5" s="136">
        <f t="shared" si="1"/>
        <v>6.2266857962697264E-2</v>
      </c>
      <c r="L5" s="127">
        <f t="shared" si="2"/>
        <v>0.2356164383561643</v>
      </c>
      <c r="M5" s="137">
        <f t="shared" si="3"/>
        <v>3.4182926441715555E-2</v>
      </c>
    </row>
    <row r="6" spans="1:13" ht="14.4">
      <c r="A6" s="129" t="s">
        <v>9</v>
      </c>
      <c r="B6" s="121" t="s">
        <v>87</v>
      </c>
      <c r="C6" s="122">
        <f ca="1">IFERROR(__xludf.DUMMYFUNCTION("GOOGLEFINANCE(""nse:""&amp;A6,""price"")"),504.1)</f>
        <v>504.1</v>
      </c>
      <c r="D6" s="122">
        <f ca="1">IFERROR(__xludf.DUMMYFUNCTION("GOOGLEFINANCE(""nse:""&amp;A6,""marketcap"")/10000000"),21780.1045357)</f>
        <v>21780.1045357</v>
      </c>
      <c r="E6" s="123">
        <v>1477</v>
      </c>
      <c r="F6" s="123">
        <v>1222</v>
      </c>
      <c r="G6" s="123">
        <v>428</v>
      </c>
      <c r="H6" s="123">
        <v>344</v>
      </c>
      <c r="I6" s="138">
        <f t="shared" ref="I6:J6" si="6">G6/E6</f>
        <v>0.28977657413676372</v>
      </c>
      <c r="J6" s="139">
        <f t="shared" si="6"/>
        <v>0.28150572831423898</v>
      </c>
      <c r="K6" s="140">
        <f t="shared" si="1"/>
        <v>0.20867430441898538</v>
      </c>
      <c r="L6" s="127">
        <f t="shared" si="2"/>
        <v>0.2441860465116279</v>
      </c>
      <c r="M6" s="127">
        <f t="shared" si="3"/>
        <v>8.2708458225247417E-3</v>
      </c>
    </row>
    <row r="7" spans="1:13" ht="14.4">
      <c r="A7" s="129" t="s">
        <v>10</v>
      </c>
      <c r="B7" s="121" t="s">
        <v>87</v>
      </c>
      <c r="C7" s="122">
        <f ca="1">IFERROR(__xludf.DUMMYFUNCTION("GOOGLEFINANCE(""nse:""&amp;A7,""price"")"),358.5)</f>
        <v>358.5</v>
      </c>
      <c r="D7" s="122">
        <f ca="1">IFERROR(__xludf.DUMMYFUNCTION("GOOGLEFINANCE(""nse:""&amp;A7,""marketcap"")/10000000"),17984.1342583)</f>
        <v>17984.134258300001</v>
      </c>
      <c r="E7" s="123">
        <v>840</v>
      </c>
      <c r="F7" s="123">
        <v>661</v>
      </c>
      <c r="G7" s="123">
        <v>353</v>
      </c>
      <c r="H7" s="123">
        <v>290</v>
      </c>
      <c r="I7" s="141">
        <f t="shared" ref="I7:J7" si="7">G7/E7</f>
        <v>0.42023809523809524</v>
      </c>
      <c r="J7" s="142">
        <f t="shared" si="7"/>
        <v>0.43872919818456885</v>
      </c>
      <c r="K7" s="143">
        <f t="shared" si="1"/>
        <v>0.27080181543116488</v>
      </c>
      <c r="L7" s="127">
        <f t="shared" si="2"/>
        <v>0.21724137931034493</v>
      </c>
      <c r="M7" s="137">
        <f t="shared" si="3"/>
        <v>-1.8491102946473603E-2</v>
      </c>
    </row>
    <row r="8" spans="1:13" ht="14.4">
      <c r="A8" s="129" t="s">
        <v>11</v>
      </c>
      <c r="B8" s="121" t="s">
        <v>87</v>
      </c>
      <c r="C8" s="122">
        <f ca="1">IFERROR(__xludf.DUMMYFUNCTION("GOOGLEFINANCE(""nse:""&amp;A8,""price"")"),1670)</f>
        <v>1670</v>
      </c>
      <c r="D8" s="122">
        <f ca="1">IFERROR(__xludf.DUMMYFUNCTION("GOOGLEFINANCE(""nse:""&amp;A8,""marketcap"")/10000000"),13234.2700575)</f>
        <v>13234.2700575</v>
      </c>
      <c r="E8" s="123">
        <v>1123</v>
      </c>
      <c r="F8" s="123">
        <v>964</v>
      </c>
      <c r="G8" s="123">
        <v>274</v>
      </c>
      <c r="H8" s="123">
        <v>231</v>
      </c>
      <c r="I8" s="134">
        <f t="shared" ref="I8:J8" si="8">G8/E8</f>
        <v>0.2439893143365984</v>
      </c>
      <c r="J8" s="144">
        <f t="shared" si="8"/>
        <v>0.23962655601659752</v>
      </c>
      <c r="K8" s="145">
        <f t="shared" si="1"/>
        <v>0.16493775933609967</v>
      </c>
      <c r="L8" s="127">
        <f t="shared" si="2"/>
        <v>0.18614718614718617</v>
      </c>
      <c r="M8" s="127">
        <f t="shared" si="3"/>
        <v>4.3627583200008813E-3</v>
      </c>
    </row>
    <row r="9" spans="1:13" ht="14.4">
      <c r="A9" s="146" t="s">
        <v>12</v>
      </c>
      <c r="B9" s="121" t="s">
        <v>87</v>
      </c>
      <c r="C9" s="122">
        <f ca="1">IFERROR(__xludf.DUMMYFUNCTION("GOOGLEFINANCE(""nse:""&amp;A9,""price"")"),118.52)</f>
        <v>118.52</v>
      </c>
      <c r="D9" s="122">
        <f ca="1">IFERROR(__xludf.DUMMYFUNCTION("GOOGLEFINANCE(""nse:""&amp;A9,""marketcap"")/10000000"),9665.248)</f>
        <v>9665.2479999999996</v>
      </c>
      <c r="E9" s="123">
        <v>4629</v>
      </c>
      <c r="F9" s="123">
        <v>4127</v>
      </c>
      <c r="G9" s="123">
        <v>-2433</v>
      </c>
      <c r="H9" s="123">
        <v>594</v>
      </c>
      <c r="I9" s="147">
        <f t="shared" ref="I9:J9" si="9">G9/E9</f>
        <v>-0.52559948152948799</v>
      </c>
      <c r="J9" s="148">
        <f t="shared" si="9"/>
        <v>0.14393021565301672</v>
      </c>
      <c r="K9" s="127">
        <f t="shared" si="1"/>
        <v>0.12163799370002426</v>
      </c>
      <c r="L9" s="120" t="s">
        <v>88</v>
      </c>
      <c r="M9" s="137">
        <f t="shared" si="3"/>
        <v>-0.66952969718250466</v>
      </c>
    </row>
    <row r="10" spans="1:13" ht="14.4">
      <c r="A10" s="129" t="s">
        <v>13</v>
      </c>
      <c r="B10" s="121" t="s">
        <v>87</v>
      </c>
      <c r="C10" s="122">
        <f ca="1">IFERROR(__xludf.DUMMYFUNCTION("GOOGLEFINANCE(""nse:""&amp;A10,""price"")"),759.5)</f>
        <v>759.5</v>
      </c>
      <c r="D10" s="122">
        <f ca="1">IFERROR(__xludf.DUMMYFUNCTION("GOOGLEFINANCE(""nse:""&amp;A10,""marketcap"")/10000000"),10113.0463)</f>
        <v>10113.0463</v>
      </c>
      <c r="E10" s="123">
        <v>1894</v>
      </c>
      <c r="F10" s="123">
        <v>1695</v>
      </c>
      <c r="G10" s="123">
        <v>411</v>
      </c>
      <c r="H10" s="123">
        <v>341</v>
      </c>
      <c r="I10" s="149">
        <f t="shared" ref="I10:J10" si="10">G10/E10</f>
        <v>0.21700105596620908</v>
      </c>
      <c r="J10" s="150">
        <f t="shared" si="10"/>
        <v>0.20117994100294986</v>
      </c>
      <c r="K10" s="127">
        <f t="shared" si="1"/>
        <v>0.11740412979351023</v>
      </c>
      <c r="L10" s="127">
        <f t="shared" ref="L10:L11" si="11">(G10/H10)-1</f>
        <v>0.20527859237536661</v>
      </c>
      <c r="M10" s="127">
        <f t="shared" si="3"/>
        <v>1.582111496325922E-2</v>
      </c>
    </row>
    <row r="11" spans="1:13" ht="14.4">
      <c r="A11" s="129" t="s">
        <v>14</v>
      </c>
      <c r="B11" s="151" t="s">
        <v>87</v>
      </c>
      <c r="C11" s="122">
        <f ca="1">IFERROR(__xludf.DUMMYFUNCTION("GOOGLEFINANCE(""nse:""&amp;A11,""price"")"),1265)</f>
        <v>1265</v>
      </c>
      <c r="D11" s="122">
        <f ca="1">IFERROR(__xludf.DUMMYFUNCTION("GOOGLEFINANCE(""nse:""&amp;A11,""marketcap"")/10000000"),13018.6092634)</f>
        <v>13018.6092634</v>
      </c>
      <c r="E11" s="123">
        <v>709</v>
      </c>
      <c r="F11" s="123">
        <v>528</v>
      </c>
      <c r="G11" s="123">
        <v>180</v>
      </c>
      <c r="H11" s="123">
        <v>143</v>
      </c>
      <c r="I11" s="152">
        <f t="shared" ref="I11:J11" si="12">G11/E11</f>
        <v>0.25387870239774329</v>
      </c>
      <c r="J11" s="153">
        <f t="shared" si="12"/>
        <v>0.27083333333333331</v>
      </c>
      <c r="K11" s="148">
        <f t="shared" si="1"/>
        <v>0.34280303030303028</v>
      </c>
      <c r="L11" s="127">
        <f t="shared" si="11"/>
        <v>0.25874125874125875</v>
      </c>
      <c r="M11" s="137">
        <f t="shared" si="3"/>
        <v>-1.695463093559002E-2</v>
      </c>
    </row>
    <row r="13" spans="1:13" ht="13.8">
      <c r="A13" s="154"/>
      <c r="B13" s="154"/>
      <c r="C13" s="154"/>
      <c r="D13" s="155">
        <f t="shared" ref="D13:H13" ca="1" si="13">SUM(D3:D11)</f>
        <v>233310.47731709998</v>
      </c>
      <c r="E13" s="154">
        <f t="shared" si="13"/>
        <v>32727</v>
      </c>
      <c r="F13" s="154">
        <f t="shared" si="13"/>
        <v>29882</v>
      </c>
      <c r="G13" s="154">
        <f t="shared" si="13"/>
        <v>3783</v>
      </c>
      <c r="H13" s="154">
        <f t="shared" si="13"/>
        <v>6098</v>
      </c>
      <c r="I13" s="152">
        <f t="shared" ref="I13:J13" si="14">G13/E13</f>
        <v>0.11559262993858282</v>
      </c>
      <c r="J13" s="153">
        <f t="shared" si="14"/>
        <v>0.20406933940164648</v>
      </c>
      <c r="K13" s="148">
        <f>(E13/F13)-1</f>
        <v>9.5207817415166263E-2</v>
      </c>
      <c r="L13" s="127">
        <f>(G13/H13)-1</f>
        <v>-0.37963266644801574</v>
      </c>
      <c r="M13" s="133">
        <f>I13-J13</f>
        <v>-8.8476709463063657E-2</v>
      </c>
    </row>
    <row r="17" spans="1:7" ht="15.75" customHeight="1">
      <c r="A17" s="156" t="s">
        <v>74</v>
      </c>
      <c r="B17" s="157" t="s">
        <v>77</v>
      </c>
      <c r="C17" s="156" t="s">
        <v>78</v>
      </c>
      <c r="D17" s="156" t="s">
        <v>80</v>
      </c>
      <c r="E17" s="158" t="s">
        <v>84</v>
      </c>
      <c r="F17" s="158" t="s">
        <v>85</v>
      </c>
      <c r="G17" s="158" t="s">
        <v>86</v>
      </c>
    </row>
    <row r="18" spans="1:7" ht="13.8">
      <c r="A18" s="120" t="s">
        <v>6</v>
      </c>
      <c r="B18" s="122">
        <v>104651.4486608</v>
      </c>
      <c r="C18" s="123">
        <v>4619</v>
      </c>
      <c r="D18" s="123">
        <v>1034</v>
      </c>
      <c r="E18" s="126">
        <v>0.25687074829931977</v>
      </c>
      <c r="F18" s="127">
        <v>0.1325301204819278</v>
      </c>
      <c r="G18" s="133">
        <v>-2.4577396232361742E-2</v>
      </c>
    </row>
    <row r="19" spans="1:7" ht="14.4">
      <c r="A19" s="129" t="s">
        <v>7</v>
      </c>
      <c r="B19" s="122">
        <v>32362.949378500001</v>
      </c>
      <c r="C19" s="123">
        <v>13734</v>
      </c>
      <c r="D19" s="123">
        <v>2634</v>
      </c>
      <c r="E19" s="132">
        <v>1.5452865064695009E-2</v>
      </c>
      <c r="F19" s="133">
        <v>4.8566878980891737E-2</v>
      </c>
      <c r="G19" s="145">
        <v>6.056677075687078E-3</v>
      </c>
    </row>
    <row r="20" spans="1:7" ht="14.4">
      <c r="A20" s="129" t="s">
        <v>8</v>
      </c>
      <c r="B20" s="122">
        <v>22057.815762499999</v>
      </c>
      <c r="C20" s="123">
        <v>3702</v>
      </c>
      <c r="D20" s="123">
        <v>902</v>
      </c>
      <c r="E20" s="136">
        <v>6.2266857962697264E-2</v>
      </c>
      <c r="F20" s="127">
        <v>0.2356164383561643</v>
      </c>
      <c r="G20" s="159">
        <v>3.4182926441715555E-2</v>
      </c>
    </row>
    <row r="21" spans="1:7" ht="14.4">
      <c r="A21" s="129" t="s">
        <v>9</v>
      </c>
      <c r="B21" s="122">
        <v>18310.338679600001</v>
      </c>
      <c r="C21" s="123">
        <v>1477</v>
      </c>
      <c r="D21" s="123">
        <v>428</v>
      </c>
      <c r="E21" s="140">
        <v>0.20867430441898538</v>
      </c>
      <c r="F21" s="127">
        <v>0.2441860465116279</v>
      </c>
      <c r="G21" s="160">
        <v>8.2708458225247417E-3</v>
      </c>
    </row>
    <row r="22" spans="1:7" ht="14.4">
      <c r="A22" s="129" t="s">
        <v>10</v>
      </c>
      <c r="B22" s="122">
        <v>15116.881089099999</v>
      </c>
      <c r="C22" s="123">
        <v>840</v>
      </c>
      <c r="D22" s="123">
        <v>353</v>
      </c>
      <c r="E22" s="143">
        <v>0.27080181543116488</v>
      </c>
      <c r="F22" s="127">
        <v>0.21724137931034493</v>
      </c>
      <c r="G22" s="133">
        <v>-1.8491102946473603E-2</v>
      </c>
    </row>
    <row r="23" spans="1:7" ht="14.4">
      <c r="A23" s="129" t="s">
        <v>11</v>
      </c>
      <c r="B23" s="122">
        <v>13186.5055199</v>
      </c>
      <c r="C23" s="123">
        <v>1123</v>
      </c>
      <c r="D23" s="123">
        <v>274</v>
      </c>
      <c r="E23" s="145">
        <v>0.16493775933609967</v>
      </c>
      <c r="F23" s="127">
        <v>0.18614718614718617</v>
      </c>
      <c r="G23" s="161">
        <v>4.3627583200008813E-3</v>
      </c>
    </row>
    <row r="24" spans="1:7" ht="14.4">
      <c r="A24" s="146" t="s">
        <v>12</v>
      </c>
      <c r="B24" s="122">
        <v>10940.17</v>
      </c>
      <c r="C24" s="123">
        <v>4629</v>
      </c>
      <c r="D24" s="123">
        <v>-2433</v>
      </c>
      <c r="E24" s="127">
        <v>0.12163799370002426</v>
      </c>
      <c r="F24" s="120" t="s">
        <v>88</v>
      </c>
      <c r="G24" s="162">
        <v>-0.66952969718250466</v>
      </c>
    </row>
    <row r="25" spans="1:7" ht="14.4">
      <c r="A25" s="129" t="s">
        <v>13</v>
      </c>
      <c r="B25" s="122">
        <v>9641.0085994000001</v>
      </c>
      <c r="C25" s="123">
        <v>1894</v>
      </c>
      <c r="D25" s="123">
        <v>411</v>
      </c>
      <c r="E25" s="127">
        <v>0.11740412979351023</v>
      </c>
      <c r="F25" s="127">
        <v>0.20527859237536661</v>
      </c>
      <c r="G25" s="163">
        <v>1.582111496325922E-2</v>
      </c>
    </row>
    <row r="26" spans="1:7" ht="14.4">
      <c r="A26" s="129" t="s">
        <v>14</v>
      </c>
      <c r="B26" s="122">
        <v>8994.8779219999997</v>
      </c>
      <c r="C26" s="123">
        <v>709</v>
      </c>
      <c r="D26" s="123">
        <v>180</v>
      </c>
      <c r="E26" s="148">
        <v>0.34280303030303028</v>
      </c>
      <c r="F26" s="127">
        <v>0.25874125874125875</v>
      </c>
      <c r="G26" s="133">
        <v>-1.695463093559002E-2</v>
      </c>
    </row>
    <row r="27" spans="1:7" ht="13.8">
      <c r="A27" s="5"/>
      <c r="B27" s="5"/>
      <c r="C27" s="5"/>
      <c r="D27" s="5"/>
    </row>
    <row r="28" spans="1:7" ht="14.4">
      <c r="A28" s="164"/>
      <c r="B28" s="165">
        <v>235261.9956118</v>
      </c>
      <c r="C28" s="166">
        <v>32727</v>
      </c>
      <c r="D28" s="166">
        <v>3783</v>
      </c>
      <c r="E28" s="167">
        <v>9.5207817415166263E-2</v>
      </c>
      <c r="F28" s="168">
        <v>-0.37963266644801574</v>
      </c>
      <c r="G28" s="169">
        <v>-8.8476709463063657E-2</v>
      </c>
    </row>
  </sheetData>
  <autoFilter ref="A2:M11" xr:uid="{00000000-0009-0000-0000-000001000000}">
    <sortState xmlns:xlrd2="http://schemas.microsoft.com/office/spreadsheetml/2017/richdata2" ref="A2:M11">
      <sortCondition descending="1" ref="D2:D11"/>
    </sortState>
  </autoFilter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11"/>
  <sheetViews>
    <sheetView showGridLines="0" tabSelected="1" topLeftCell="A31" workbookViewId="0">
      <selection activeCell="H49" sqref="H49"/>
    </sheetView>
  </sheetViews>
  <sheetFormatPr defaultColWidth="14.44140625" defaultRowHeight="15.75" customHeight="1"/>
  <cols>
    <col min="1" max="1" width="4.88671875" customWidth="1"/>
    <col min="2" max="2" width="16.109375" customWidth="1"/>
    <col min="3" max="3" width="11.6640625" customWidth="1"/>
    <col min="4" max="4" width="8.5546875" customWidth="1"/>
    <col min="5" max="5" width="8.6640625" customWidth="1"/>
    <col min="6" max="6" width="10.44140625" customWidth="1"/>
    <col min="7" max="7" width="14" customWidth="1"/>
    <col min="8" max="8" width="8.6640625" customWidth="1"/>
    <col min="9" max="9" width="10.33203125" customWidth="1"/>
    <col min="10" max="10" width="14.44140625" customWidth="1"/>
    <col min="11" max="11" width="12.44140625" customWidth="1"/>
    <col min="12" max="12" width="11.44140625" customWidth="1"/>
    <col min="13" max="13" width="12" customWidth="1"/>
    <col min="14" max="14" width="10" customWidth="1"/>
    <col min="15" max="15" width="10.33203125" customWidth="1"/>
    <col min="16" max="16" width="11.6640625" customWidth="1"/>
    <col min="17" max="17" width="12.88671875" customWidth="1"/>
    <col min="18" max="18" width="7.88671875" customWidth="1"/>
    <col min="19" max="20" width="8.6640625" customWidth="1"/>
    <col min="21" max="21" width="10.109375" customWidth="1"/>
    <col min="22" max="22" width="11.44140625" customWidth="1"/>
    <col min="23" max="26" width="8.6640625" customWidth="1"/>
  </cols>
  <sheetData>
    <row r="1" spans="1:18" ht="14.25" customHeight="1">
      <c r="A1" s="170"/>
      <c r="B1" s="257" t="s">
        <v>89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171"/>
    </row>
    <row r="2" spans="1:18" ht="14.25" customHeight="1">
      <c r="A2" s="170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171"/>
    </row>
    <row r="3" spans="1:18" ht="14.25" customHeight="1">
      <c r="A3" s="170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171"/>
    </row>
    <row r="4" spans="1:18" ht="14.25" customHeight="1">
      <c r="A4" s="172"/>
      <c r="B4" s="173" t="s">
        <v>90</v>
      </c>
      <c r="C4" s="174"/>
      <c r="D4" s="175"/>
      <c r="E4" s="173" t="s">
        <v>91</v>
      </c>
      <c r="F4" s="175"/>
      <c r="G4" s="173" t="s">
        <v>92</v>
      </c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6"/>
    </row>
    <row r="5" spans="1:18" ht="14.25" customHeight="1">
      <c r="A5" s="177"/>
      <c r="B5" s="173" t="s">
        <v>6</v>
      </c>
      <c r="C5" s="178" t="s">
        <v>2</v>
      </c>
      <c r="D5" s="178" t="s">
        <v>76</v>
      </c>
      <c r="E5" s="178" t="s">
        <v>93</v>
      </c>
      <c r="F5" s="178" t="s">
        <v>94</v>
      </c>
      <c r="G5" s="173" t="s">
        <v>95</v>
      </c>
      <c r="H5" s="178" t="s">
        <v>96</v>
      </c>
      <c r="I5" s="178" t="s">
        <v>97</v>
      </c>
      <c r="J5" s="178" t="s">
        <v>98</v>
      </c>
      <c r="K5" s="178" t="s">
        <v>99</v>
      </c>
      <c r="L5" s="178" t="s">
        <v>100</v>
      </c>
      <c r="M5" s="178" t="s">
        <v>101</v>
      </c>
      <c r="N5" s="178" t="s">
        <v>102</v>
      </c>
      <c r="O5" s="178" t="s">
        <v>103</v>
      </c>
      <c r="R5" s="176"/>
    </row>
    <row r="6" spans="1:18" ht="14.25" customHeight="1">
      <c r="A6" s="177"/>
      <c r="B6" s="179" t="s">
        <v>104</v>
      </c>
      <c r="C6" s="180">
        <f ca="1">IFERROR(__xludf.DUMMYFUNCTION("googlefinance(""nse:""&amp;B5,""MARKETCAP"")/10000000"),95670.7407832)</f>
        <v>95670.740783200003</v>
      </c>
      <c r="D6" s="180">
        <f ca="1">IFERROR(__xludf.DUMMYFUNCTION("googlefinance(""nse:""&amp;B5,""price"")"),114.75)</f>
        <v>114.75</v>
      </c>
      <c r="E6" s="180">
        <v>8328</v>
      </c>
      <c r="F6" s="180">
        <v>10</v>
      </c>
      <c r="G6" s="181">
        <v>11619</v>
      </c>
      <c r="H6" s="181">
        <f t="shared" ref="H6:J6" si="0">C22</f>
        <v>120420</v>
      </c>
      <c r="I6" s="182">
        <f t="shared" si="0"/>
        <v>9983</v>
      </c>
      <c r="J6" s="182">
        <f t="shared" si="0"/>
        <v>2279</v>
      </c>
      <c r="K6" s="183">
        <f>G22</f>
        <v>2.75</v>
      </c>
      <c r="L6" s="181">
        <v>102808</v>
      </c>
      <c r="M6" s="181">
        <v>82862</v>
      </c>
      <c r="N6" s="184">
        <v>2017</v>
      </c>
      <c r="O6" s="185">
        <v>7.6999999999999999E-2</v>
      </c>
      <c r="R6" s="176"/>
    </row>
    <row r="7" spans="1:18" ht="14.25" customHeight="1">
      <c r="A7" s="186"/>
      <c r="B7" s="151" t="s">
        <v>105</v>
      </c>
      <c r="C7" s="180">
        <f ca="1">D7*C6/D6</f>
        <v>102549.02933624052</v>
      </c>
      <c r="D7" s="180">
        <v>123</v>
      </c>
      <c r="E7" s="180">
        <v>6712</v>
      </c>
      <c r="F7" s="180">
        <v>10</v>
      </c>
      <c r="G7" s="181">
        <v>5521</v>
      </c>
      <c r="H7" s="181">
        <v>114684</v>
      </c>
      <c r="I7" s="182">
        <v>9576</v>
      </c>
      <c r="J7" s="182">
        <v>2175</v>
      </c>
      <c r="K7" s="187">
        <v>2.67</v>
      </c>
      <c r="L7" s="181">
        <v>81827</v>
      </c>
      <c r="M7" s="181">
        <v>69593</v>
      </c>
      <c r="N7" s="184">
        <v>2239</v>
      </c>
      <c r="O7" s="185">
        <v>7.9000000000000001E-2</v>
      </c>
      <c r="R7" s="176"/>
    </row>
    <row r="8" spans="1:18" ht="14.25" customHeight="1">
      <c r="A8" s="177"/>
      <c r="B8" s="188"/>
      <c r="C8" s="189">
        <f t="shared" ref="C8:O8" ca="1" si="1">(C6/C7)-1</f>
        <v>-6.7073170731707266E-2</v>
      </c>
      <c r="D8" s="189">
        <f t="shared" ca="1" si="1"/>
        <v>-6.7073170731707266E-2</v>
      </c>
      <c r="E8" s="189">
        <f t="shared" si="1"/>
        <v>0.24076281287246726</v>
      </c>
      <c r="F8" s="189">
        <f t="shared" si="1"/>
        <v>0</v>
      </c>
      <c r="G8" s="189">
        <f t="shared" si="1"/>
        <v>1.1045100525267162</v>
      </c>
      <c r="H8" s="189">
        <f t="shared" si="1"/>
        <v>5.0015695301872887E-2</v>
      </c>
      <c r="I8" s="189">
        <f t="shared" si="1"/>
        <v>4.2502088554720041E-2</v>
      </c>
      <c r="J8" s="189">
        <f t="shared" si="1"/>
        <v>4.7816091954022921E-2</v>
      </c>
      <c r="K8" s="189">
        <f t="shared" si="1"/>
        <v>2.9962546816479474E-2</v>
      </c>
      <c r="L8" s="189">
        <f t="shared" si="1"/>
        <v>0.25640680948831074</v>
      </c>
      <c r="M8" s="189">
        <f t="shared" si="1"/>
        <v>0.19066572787492997</v>
      </c>
      <c r="N8" s="189">
        <f t="shared" si="1"/>
        <v>-9.9151406878070558E-2</v>
      </c>
      <c r="O8" s="189">
        <f t="shared" si="1"/>
        <v>-2.5316455696202556E-2</v>
      </c>
    </row>
    <row r="9" spans="1:18" ht="14.25" customHeight="1">
      <c r="A9" s="177"/>
    </row>
    <row r="10" spans="1:18" ht="14.25" customHeight="1">
      <c r="A10" s="190"/>
      <c r="B10" s="178" t="s">
        <v>106</v>
      </c>
      <c r="C10" s="178" t="s">
        <v>107</v>
      </c>
      <c r="D10" s="178" t="s">
        <v>108</v>
      </c>
      <c r="E10" s="178" t="s">
        <v>109</v>
      </c>
      <c r="F10" s="178" t="s">
        <v>19</v>
      </c>
      <c r="G10" s="173" t="s">
        <v>110</v>
      </c>
      <c r="H10" s="173" t="s">
        <v>111</v>
      </c>
      <c r="I10" s="178" t="s">
        <v>112</v>
      </c>
      <c r="J10" s="178" t="s">
        <v>113</v>
      </c>
      <c r="K10" s="178" t="s">
        <v>114</v>
      </c>
      <c r="L10" s="178" t="s">
        <v>115</v>
      </c>
      <c r="M10" s="173" t="s">
        <v>116</v>
      </c>
      <c r="N10" s="178" t="s">
        <v>117</v>
      </c>
      <c r="O10" s="178" t="s">
        <v>118</v>
      </c>
      <c r="P10" s="178" t="s">
        <v>119</v>
      </c>
    </row>
    <row r="11" spans="1:18" ht="14.25" customHeight="1">
      <c r="B11" s="191">
        <f>F21</f>
        <v>0.22702589807852966</v>
      </c>
      <c r="C11" s="191">
        <f>E35</f>
        <v>0.18424626527840648</v>
      </c>
      <c r="D11" s="192">
        <f>E34</f>
        <v>0.24053527830144938</v>
      </c>
      <c r="E11" s="192" t="e">
        <f>#REF!/H6</f>
        <v>#REF!</v>
      </c>
      <c r="F11" s="193">
        <v>3.0000000000000001E-3</v>
      </c>
      <c r="G11" s="192">
        <v>0.04</v>
      </c>
      <c r="H11" s="194">
        <v>0.26939999999999997</v>
      </c>
      <c r="I11" s="195">
        <f>J6/L6</f>
        <v>2.2167535600342386E-2</v>
      </c>
      <c r="J11" s="191">
        <f>J6/(G6)</f>
        <v>0.19614424649281351</v>
      </c>
      <c r="K11" s="196">
        <f>J6/E6</f>
        <v>0.27365513928914503</v>
      </c>
      <c r="L11" s="180">
        <f ca="1">D6/K6</f>
        <v>41.727272727272727</v>
      </c>
      <c r="M11" s="195">
        <f ca="1">K6/D6</f>
        <v>2.3965141612200435E-2</v>
      </c>
      <c r="N11" s="180">
        <f>G6/(E6/F6)</f>
        <v>13.951729106628243</v>
      </c>
      <c r="O11" s="180">
        <f ca="1">D6/N11</f>
        <v>8.2247869868319121</v>
      </c>
      <c r="P11" s="183">
        <f ca="1">S29</f>
        <v>1.6913627741002615</v>
      </c>
    </row>
    <row r="12" spans="1:18" ht="14.25" customHeight="1"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76"/>
    </row>
    <row r="13" spans="1:18" ht="14.25" customHeight="1">
      <c r="B13" s="198" t="s">
        <v>120</v>
      </c>
      <c r="C13" s="198" t="s">
        <v>121</v>
      </c>
      <c r="D13" s="198" t="s">
        <v>91</v>
      </c>
      <c r="E13" s="198" t="s">
        <v>98</v>
      </c>
      <c r="F13" s="198" t="s">
        <v>17</v>
      </c>
      <c r="G13" s="198" t="s">
        <v>122</v>
      </c>
      <c r="H13" s="199" t="s">
        <v>19</v>
      </c>
      <c r="I13" s="199" t="s">
        <v>123</v>
      </c>
      <c r="J13" s="199" t="s">
        <v>124</v>
      </c>
      <c r="K13" s="199" t="s">
        <v>125</v>
      </c>
      <c r="L13" s="199" t="s">
        <v>126</v>
      </c>
      <c r="M13" s="199" t="s">
        <v>93</v>
      </c>
      <c r="N13" s="199" t="s">
        <v>127</v>
      </c>
      <c r="O13" s="199" t="s">
        <v>128</v>
      </c>
      <c r="P13" s="199" t="s">
        <v>129</v>
      </c>
      <c r="Q13" s="199" t="s">
        <v>130</v>
      </c>
    </row>
    <row r="14" spans="1:18" ht="14.25" customHeight="1">
      <c r="B14" s="188" t="s">
        <v>131</v>
      </c>
      <c r="C14" s="188">
        <v>3570</v>
      </c>
      <c r="D14" s="188">
        <v>106</v>
      </c>
      <c r="E14" s="188">
        <v>10</v>
      </c>
      <c r="F14" s="200">
        <f t="shared" ref="F14:F22" si="2">E14/D14</f>
        <v>9.4339622641509441E-2</v>
      </c>
      <c r="G14" s="188"/>
      <c r="H14" s="189"/>
      <c r="I14" s="188"/>
      <c r="J14" s="188"/>
      <c r="K14" s="188"/>
      <c r="L14" s="188"/>
      <c r="M14" s="188"/>
      <c r="N14" s="188"/>
      <c r="O14" s="188"/>
      <c r="P14" s="188"/>
      <c r="Q14" s="188"/>
    </row>
    <row r="15" spans="1:18" ht="14.25" customHeight="1">
      <c r="B15" s="188" t="s">
        <v>132</v>
      </c>
      <c r="C15" s="188">
        <v>17562</v>
      </c>
      <c r="D15" s="188">
        <v>1526</v>
      </c>
      <c r="E15" s="188">
        <v>110</v>
      </c>
      <c r="F15" s="200">
        <f t="shared" si="2"/>
        <v>7.2083879423328959E-2</v>
      </c>
      <c r="G15" s="188"/>
      <c r="H15" s="189">
        <v>5.0000000000000001E-4</v>
      </c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8" ht="14.25" customHeight="1">
      <c r="B16" s="188" t="s">
        <v>133</v>
      </c>
      <c r="C16" s="188">
        <v>32705</v>
      </c>
      <c r="D16" s="188">
        <v>2646</v>
      </c>
      <c r="E16" s="188">
        <v>421</v>
      </c>
      <c r="F16" s="200">
        <f t="shared" si="2"/>
        <v>0.15910808767951626</v>
      </c>
      <c r="G16" s="201">
        <v>0.86</v>
      </c>
      <c r="H16" s="189">
        <v>8.0000000000000004E-4</v>
      </c>
      <c r="I16" s="188"/>
      <c r="J16" s="188"/>
      <c r="K16" s="188"/>
      <c r="L16" s="188"/>
      <c r="M16" s="188">
        <v>4883</v>
      </c>
      <c r="N16" s="188">
        <f>702+M16</f>
        <v>5585</v>
      </c>
      <c r="O16" s="202">
        <f t="shared" ref="O16:O21" si="3">N16/(M16/10)</f>
        <v>11.437640794593488</v>
      </c>
      <c r="P16" s="188"/>
      <c r="Q16" s="188"/>
    </row>
    <row r="17" spans="2:19" ht="14.25" customHeight="1">
      <c r="B17" s="188" t="s">
        <v>134</v>
      </c>
      <c r="C17" s="188">
        <v>38871</v>
      </c>
      <c r="D17" s="188">
        <v>3155</v>
      </c>
      <c r="E17" s="188">
        <v>453</v>
      </c>
      <c r="F17" s="200">
        <f t="shared" si="2"/>
        <v>0.14358161648177495</v>
      </c>
      <c r="G17" s="201">
        <v>0.93</v>
      </c>
      <c r="H17" s="189">
        <v>3.5000000000000001E-3</v>
      </c>
      <c r="I17" s="188"/>
      <c r="J17" s="188"/>
      <c r="K17" s="188"/>
      <c r="L17" s="188"/>
      <c r="M17" s="188">
        <v>4883</v>
      </c>
      <c r="N17" s="188">
        <f>1149+M17</f>
        <v>6032</v>
      </c>
      <c r="O17" s="202">
        <f t="shared" si="3"/>
        <v>12.35306164243293</v>
      </c>
      <c r="P17" s="188"/>
      <c r="Q17" s="188"/>
    </row>
    <row r="18" spans="2:19" ht="14.25" customHeight="1">
      <c r="B18" s="188" t="s">
        <v>135</v>
      </c>
      <c r="C18" s="188">
        <v>53320</v>
      </c>
      <c r="D18" s="188">
        <v>3767</v>
      </c>
      <c r="E18" s="188">
        <v>710</v>
      </c>
      <c r="F18" s="200">
        <f t="shared" si="2"/>
        <v>0.18847889567294929</v>
      </c>
      <c r="G18" s="201">
        <v>1.5</v>
      </c>
      <c r="H18" s="189">
        <v>3.0999999999999999E-3</v>
      </c>
      <c r="I18" s="188"/>
      <c r="J18" s="188"/>
      <c r="K18" s="188"/>
      <c r="L18" s="188"/>
      <c r="M18" s="188">
        <v>4883</v>
      </c>
      <c r="N18" s="188">
        <f>1858+M18</f>
        <v>6741</v>
      </c>
      <c r="O18" s="202">
        <f t="shared" si="3"/>
        <v>13.805037886545156</v>
      </c>
      <c r="P18" s="188"/>
      <c r="Q18" s="188"/>
    </row>
    <row r="19" spans="2:19" ht="14.25" customHeight="1">
      <c r="B19" s="188" t="s">
        <v>136</v>
      </c>
      <c r="C19" s="188">
        <v>69230</v>
      </c>
      <c r="D19" s="188">
        <v>5665</v>
      </c>
      <c r="E19" s="188">
        <v>1258</v>
      </c>
      <c r="F19" s="200">
        <f t="shared" si="2"/>
        <v>0.22206531332744925</v>
      </c>
      <c r="G19" s="201">
        <v>1.9</v>
      </c>
      <c r="H19" s="189">
        <v>2.2000000000000001E-3</v>
      </c>
      <c r="I19" s="188"/>
      <c r="J19" s="188"/>
      <c r="K19" s="188"/>
      <c r="L19" s="188"/>
      <c r="M19" s="188">
        <v>6712</v>
      </c>
      <c r="N19" s="188">
        <f>3791+M19</f>
        <v>10503</v>
      </c>
      <c r="O19" s="202">
        <f t="shared" si="3"/>
        <v>15.648092967818831</v>
      </c>
      <c r="P19" s="188"/>
      <c r="Q19" s="188"/>
    </row>
    <row r="20" spans="2:19" ht="14.25" customHeight="1">
      <c r="B20" s="188" t="s">
        <v>137</v>
      </c>
      <c r="C20" s="188">
        <v>91370</v>
      </c>
      <c r="D20" s="188">
        <v>7647</v>
      </c>
      <c r="E20" s="188">
        <v>1731</v>
      </c>
      <c r="F20" s="200">
        <f t="shared" si="2"/>
        <v>0.22636327971753628</v>
      </c>
      <c r="G20" s="201">
        <v>2.6</v>
      </c>
      <c r="H20" s="189">
        <v>2.7000000000000001E-3</v>
      </c>
      <c r="I20" s="188"/>
      <c r="J20" s="188"/>
      <c r="K20" s="188"/>
      <c r="L20" s="188"/>
      <c r="M20" s="188">
        <v>6712</v>
      </c>
      <c r="N20" s="188">
        <f>5521+M20</f>
        <v>12233</v>
      </c>
      <c r="O20" s="202">
        <f t="shared" si="3"/>
        <v>18.225566150178782</v>
      </c>
      <c r="P20" s="188"/>
      <c r="Q20" s="188"/>
    </row>
    <row r="21" spans="2:19" ht="14.25" customHeight="1">
      <c r="B21" s="188" t="s">
        <v>138</v>
      </c>
      <c r="C21" s="188">
        <f>C20+C34-D34</f>
        <v>114719</v>
      </c>
      <c r="D21" s="188">
        <v>9576</v>
      </c>
      <c r="E21" s="188">
        <v>2174</v>
      </c>
      <c r="F21" s="200">
        <f t="shared" si="2"/>
        <v>0.22702589807852966</v>
      </c>
      <c r="G21" s="201">
        <v>2.67</v>
      </c>
      <c r="H21" s="203">
        <v>2.8E-3</v>
      </c>
      <c r="I21" s="188">
        <v>146</v>
      </c>
      <c r="J21" s="188">
        <v>189</v>
      </c>
      <c r="K21" s="202">
        <f t="shared" ref="K21:K22" si="4">I21/G21</f>
        <v>54.68164794007491</v>
      </c>
      <c r="L21" s="202">
        <f t="shared" ref="L21:L22" si="5">J21/G21</f>
        <v>70.786516853932582</v>
      </c>
      <c r="M21" s="188">
        <v>8328</v>
      </c>
      <c r="N21" s="188">
        <f t="shared" ref="N21:N22" si="6">11619+M21</f>
        <v>19947</v>
      </c>
      <c r="O21" s="202">
        <f t="shared" si="3"/>
        <v>23.951729106628243</v>
      </c>
      <c r="P21" s="202">
        <f t="shared" ref="P21:P22" si="7">I21/O21</f>
        <v>6.0955933223041061</v>
      </c>
      <c r="Q21" s="202">
        <f t="shared" ref="Q21:Q22" si="8">J21/O21</f>
        <v>7.8908708076402467</v>
      </c>
    </row>
    <row r="22" spans="2:19" ht="14.25" customHeight="1">
      <c r="B22" s="188" t="s">
        <v>139</v>
      </c>
      <c r="C22" s="188">
        <v>120420</v>
      </c>
      <c r="D22" s="188">
        <f>D21+C35-D35</f>
        <v>9983</v>
      </c>
      <c r="E22" s="188">
        <f>E21+C38-D38</f>
        <v>2279</v>
      </c>
      <c r="F22" s="200">
        <f t="shared" si="2"/>
        <v>0.22828808975257939</v>
      </c>
      <c r="G22" s="201">
        <f>N29</f>
        <v>2.75</v>
      </c>
      <c r="H22" s="203">
        <v>2.8E-3</v>
      </c>
      <c r="I22" s="188">
        <v>111</v>
      </c>
      <c r="J22" s="188">
        <v>137</v>
      </c>
      <c r="K22" s="202">
        <f t="shared" si="4"/>
        <v>40.363636363636367</v>
      </c>
      <c r="L22" s="202">
        <f t="shared" si="5"/>
        <v>49.81818181818182</v>
      </c>
      <c r="M22" s="188">
        <v>8328</v>
      </c>
      <c r="N22" s="188">
        <f t="shared" si="6"/>
        <v>19947</v>
      </c>
      <c r="O22" s="202">
        <f>O21+C39-D39</f>
        <v>24.031729106628241</v>
      </c>
      <c r="P22" s="202">
        <f t="shared" si="7"/>
        <v>4.6188936096730906</v>
      </c>
      <c r="Q22" s="202">
        <f t="shared" si="8"/>
        <v>5.700796617344265</v>
      </c>
    </row>
    <row r="23" spans="2:19" ht="14.25" customHeight="1"/>
    <row r="24" spans="2:19" ht="14.25" customHeight="1">
      <c r="B24" s="198" t="s">
        <v>120</v>
      </c>
      <c r="C24" s="198" t="s">
        <v>121</v>
      </c>
      <c r="D24" s="198" t="s">
        <v>91</v>
      </c>
      <c r="E24" s="198" t="s">
        <v>98</v>
      </c>
      <c r="F24" s="198" t="s">
        <v>17</v>
      </c>
      <c r="G24" s="198" t="s">
        <v>122</v>
      </c>
      <c r="H24" s="199" t="s">
        <v>19</v>
      </c>
      <c r="I24" s="199" t="s">
        <v>123</v>
      </c>
      <c r="J24" s="199" t="s">
        <v>124</v>
      </c>
      <c r="K24" s="199" t="s">
        <v>125</v>
      </c>
      <c r="L24" s="199" t="s">
        <v>126</v>
      </c>
      <c r="M24" s="199" t="s">
        <v>93</v>
      </c>
      <c r="N24" s="199" t="s">
        <v>127</v>
      </c>
      <c r="O24" s="199" t="s">
        <v>128</v>
      </c>
      <c r="P24" s="199" t="s">
        <v>129</v>
      </c>
      <c r="Q24" s="199" t="s">
        <v>130</v>
      </c>
    </row>
    <row r="25" spans="2:19" ht="14.25" customHeight="1">
      <c r="B25" s="188" t="s">
        <v>140</v>
      </c>
      <c r="C25" s="204">
        <f t="shared" ref="C25:E25" si="9">(C21/C16)^(1/5)-1</f>
        <v>0.28529920770392825</v>
      </c>
      <c r="D25" s="204">
        <f t="shared" si="9"/>
        <v>0.29335831501345866</v>
      </c>
      <c r="E25" s="204">
        <f t="shared" si="9"/>
        <v>0.38865860218767145</v>
      </c>
      <c r="F25" s="204">
        <f>MEDIAN(F16:F21)</f>
        <v>0.20527210450019928</v>
      </c>
      <c r="G25" s="204">
        <f>(G21/G17)^(1/5)-1</f>
        <v>0.23482570806709302</v>
      </c>
      <c r="H25" s="189">
        <f>MEDIAN(H16:H21)</f>
        <v>2.7499999999999998E-3</v>
      </c>
      <c r="I25" s="188"/>
      <c r="J25" s="188"/>
      <c r="K25" s="188"/>
      <c r="L25" s="188"/>
      <c r="M25" s="204">
        <f t="shared" ref="M25:O25" si="10">(M21/M17)^(1/5)-1</f>
        <v>0.11268132355969107</v>
      </c>
      <c r="N25" s="204">
        <f t="shared" si="10"/>
        <v>0.2702325895454738</v>
      </c>
      <c r="O25" s="204">
        <f t="shared" si="10"/>
        <v>0.14159603711307445</v>
      </c>
      <c r="P25" s="188"/>
      <c r="Q25" s="188"/>
    </row>
    <row r="26" spans="2:19" ht="14.25" customHeight="1">
      <c r="B26" s="188" t="s">
        <v>141</v>
      </c>
      <c r="C26" s="204">
        <f t="shared" ref="C26:E26" si="11">(C21/C20)-1</f>
        <v>0.25554339498741374</v>
      </c>
      <c r="D26" s="204">
        <f t="shared" si="11"/>
        <v>0.25225578658297376</v>
      </c>
      <c r="E26" s="204">
        <f t="shared" si="11"/>
        <v>0.25592143269786249</v>
      </c>
      <c r="F26" s="204">
        <f>F21</f>
        <v>0.22702589807852966</v>
      </c>
      <c r="G26" s="205">
        <f>(G21/G20)-1</f>
        <v>2.6923076923076827E-2</v>
      </c>
      <c r="H26" s="189">
        <f>H21</f>
        <v>2.8E-3</v>
      </c>
      <c r="I26" s="188"/>
      <c r="J26" s="188"/>
      <c r="K26" s="202">
        <f t="shared" ref="K26:L26" si="12">K21</f>
        <v>54.68164794007491</v>
      </c>
      <c r="L26" s="202">
        <f t="shared" si="12"/>
        <v>70.786516853932582</v>
      </c>
      <c r="M26" s="205">
        <f t="shared" ref="M26:O26" si="13">(M21/M20)-1</f>
        <v>0.24076281287246726</v>
      </c>
      <c r="N26" s="205">
        <f t="shared" si="13"/>
        <v>0.63058938935665831</v>
      </c>
      <c r="O26" s="205">
        <f t="shared" si="13"/>
        <v>0.31418299488015022</v>
      </c>
      <c r="P26" s="202">
        <f t="shared" ref="P26:Q26" si="14">P21</f>
        <v>6.0955933223041061</v>
      </c>
      <c r="Q26" s="202">
        <f t="shared" si="14"/>
        <v>7.8908708076402467</v>
      </c>
    </row>
    <row r="27" spans="2:19" ht="14.25" customHeight="1"/>
    <row r="28" spans="2:19" ht="14.25" customHeight="1">
      <c r="B28" s="206" t="s">
        <v>120</v>
      </c>
      <c r="C28" s="206" t="s">
        <v>142</v>
      </c>
      <c r="D28" s="206" t="s">
        <v>143</v>
      </c>
      <c r="E28" s="206" t="s">
        <v>144</v>
      </c>
      <c r="F28" s="206" t="s">
        <v>145</v>
      </c>
      <c r="G28" s="206" t="s">
        <v>146</v>
      </c>
      <c r="I28" s="206" t="s">
        <v>147</v>
      </c>
      <c r="J28" s="206" t="s">
        <v>148</v>
      </c>
      <c r="K28" s="206" t="s">
        <v>149</v>
      </c>
      <c r="L28" s="206" t="s">
        <v>150</v>
      </c>
      <c r="M28" s="206" t="s">
        <v>151</v>
      </c>
      <c r="N28" s="206" t="s">
        <v>99</v>
      </c>
      <c r="P28" s="207" t="s">
        <v>152</v>
      </c>
      <c r="Q28" s="208" t="s">
        <v>99</v>
      </c>
      <c r="R28" s="208" t="s">
        <v>153</v>
      </c>
      <c r="S28" s="209" t="s">
        <v>154</v>
      </c>
    </row>
    <row r="29" spans="2:19" ht="14.25" customHeight="1">
      <c r="B29" s="210" t="s">
        <v>97</v>
      </c>
      <c r="C29" s="211">
        <v>0.24</v>
      </c>
      <c r="D29" s="211">
        <v>0.26</v>
      </c>
      <c r="E29" s="211">
        <v>0.26</v>
      </c>
      <c r="F29" s="211">
        <v>0.18</v>
      </c>
      <c r="G29" s="212">
        <v>0.22</v>
      </c>
      <c r="I29" s="206" t="s">
        <v>122</v>
      </c>
      <c r="J29" s="213">
        <v>0.69</v>
      </c>
      <c r="K29" s="213">
        <v>0.66</v>
      </c>
      <c r="L29" s="213">
        <v>0.7</v>
      </c>
      <c r="M29" s="213">
        <v>0.7</v>
      </c>
      <c r="N29" s="214">
        <f>SUM(J29:M29)</f>
        <v>2.75</v>
      </c>
      <c r="P29" s="215">
        <v>2.67</v>
      </c>
      <c r="Q29" s="216">
        <v>2.75</v>
      </c>
      <c r="R29" s="217">
        <f>F49</f>
        <v>3.2306999999999997</v>
      </c>
      <c r="S29" s="259">
        <f ca="1">R31/21</f>
        <v>1.6913627741002615</v>
      </c>
    </row>
    <row r="30" spans="2:19" ht="14.25" customHeight="1">
      <c r="B30" s="210" t="s">
        <v>98</v>
      </c>
      <c r="C30" s="218">
        <v>0.13</v>
      </c>
      <c r="D30" s="218">
        <v>0.17</v>
      </c>
      <c r="E30" s="218">
        <v>0.26</v>
      </c>
      <c r="F30" s="218">
        <v>0.22</v>
      </c>
      <c r="G30" s="212">
        <v>0.21</v>
      </c>
      <c r="P30" s="208" t="s">
        <v>155</v>
      </c>
      <c r="Q30" s="208" t="s">
        <v>156</v>
      </c>
      <c r="R30" s="219" t="s">
        <v>157</v>
      </c>
      <c r="S30" s="260"/>
    </row>
    <row r="31" spans="2:19" ht="14.25" customHeight="1">
      <c r="B31" s="220" t="s">
        <v>106</v>
      </c>
      <c r="C31" s="221">
        <v>0.24099999999999999</v>
      </c>
      <c r="D31" s="221">
        <v>0.224</v>
      </c>
      <c r="E31" s="221">
        <v>0.22700000000000001</v>
      </c>
      <c r="F31" s="221">
        <v>0.22500000000000001</v>
      </c>
      <c r="G31" s="222">
        <v>0.22500000000000001</v>
      </c>
      <c r="P31" s="223">
        <f>150/P29</f>
        <v>56.17977528089888</v>
      </c>
      <c r="Q31" s="224">
        <f t="shared" ref="Q31:R31" ca="1" si="15">$D$6/Q29</f>
        <v>41.727272727272727</v>
      </c>
      <c r="R31" s="224">
        <f t="shared" ca="1" si="15"/>
        <v>35.518618256105491</v>
      </c>
      <c r="S31" s="261"/>
    </row>
    <row r="32" spans="2:19" ht="14.25" customHeight="1"/>
    <row r="33" spans="2:21" ht="14.25" customHeight="1">
      <c r="B33" s="178" t="s">
        <v>158</v>
      </c>
      <c r="C33" s="173" t="s">
        <v>145</v>
      </c>
      <c r="D33" s="173" t="s">
        <v>159</v>
      </c>
      <c r="E33" s="178" t="s">
        <v>160</v>
      </c>
      <c r="G33" s="178" t="s">
        <v>158</v>
      </c>
      <c r="H33" s="173" t="s">
        <v>161</v>
      </c>
      <c r="I33" s="173" t="s">
        <v>162</v>
      </c>
      <c r="J33" s="178" t="s">
        <v>160</v>
      </c>
      <c r="L33" s="178" t="s">
        <v>158</v>
      </c>
      <c r="M33" s="173" t="s">
        <v>144</v>
      </c>
      <c r="N33" s="173" t="s">
        <v>137</v>
      </c>
      <c r="O33" s="178" t="s">
        <v>160</v>
      </c>
      <c r="Q33" s="173" t="s">
        <v>163</v>
      </c>
      <c r="R33" s="173" t="s">
        <v>145</v>
      </c>
      <c r="S33" s="173" t="s">
        <v>159</v>
      </c>
      <c r="T33" s="178" t="s">
        <v>160</v>
      </c>
      <c r="U33" s="225" t="s">
        <v>164</v>
      </c>
    </row>
    <row r="34" spans="2:21" ht="14.25" customHeight="1">
      <c r="B34" s="179" t="s">
        <v>96</v>
      </c>
      <c r="C34" s="181">
        <v>120420</v>
      </c>
      <c r="D34" s="181">
        <v>97071</v>
      </c>
      <c r="E34" s="226">
        <f t="shared" ref="E34:E39" si="16">(C34/D34)^(1/1)-1</f>
        <v>0.24053527830144938</v>
      </c>
      <c r="F34" s="227"/>
      <c r="G34" s="179" t="s">
        <v>96</v>
      </c>
      <c r="H34" s="181">
        <v>114684</v>
      </c>
      <c r="I34" s="181">
        <v>91370</v>
      </c>
      <c r="J34" s="226">
        <f t="shared" ref="J34:J39" si="17">(H34/I34)^(1/1)-1</f>
        <v>0.25516033709094899</v>
      </c>
      <c r="L34" s="179" t="s">
        <v>96</v>
      </c>
      <c r="M34" s="181">
        <v>114684</v>
      </c>
      <c r="N34" s="181">
        <v>91370</v>
      </c>
      <c r="O34" s="226">
        <f t="shared" ref="O34:O39" si="18">(M34/N34)^(1/1)-1</f>
        <v>0.25516033709094899</v>
      </c>
      <c r="Q34" s="179" t="s">
        <v>165</v>
      </c>
      <c r="R34" s="181">
        <v>1606</v>
      </c>
      <c r="S34" s="181">
        <v>1399</v>
      </c>
      <c r="T34" s="226">
        <f t="shared" ref="T34:T39" si="19">(R34/S34)^(1/1)-1</f>
        <v>0.14796283059328097</v>
      </c>
      <c r="U34" s="204">
        <f t="shared" ref="U34:U39" si="20">R34/$R$41</f>
        <v>0.86287952461033413</v>
      </c>
    </row>
    <row r="35" spans="2:21" ht="14.25" customHeight="1">
      <c r="B35" s="179" t="s">
        <v>97</v>
      </c>
      <c r="C35" s="181">
        <v>2616</v>
      </c>
      <c r="D35" s="181">
        <v>2209</v>
      </c>
      <c r="E35" s="228">
        <f t="shared" si="16"/>
        <v>0.18424626527840648</v>
      </c>
      <c r="F35" s="227"/>
      <c r="G35" s="179" t="s">
        <v>97</v>
      </c>
      <c r="H35" s="181">
        <v>2508</v>
      </c>
      <c r="I35" s="181">
        <v>1996</v>
      </c>
      <c r="J35" s="228">
        <f t="shared" si="17"/>
        <v>0.25651302605210424</v>
      </c>
      <c r="L35" s="179" t="s">
        <v>97</v>
      </c>
      <c r="M35" s="181">
        <v>9576</v>
      </c>
      <c r="N35" s="181">
        <v>7647</v>
      </c>
      <c r="O35" s="228">
        <f t="shared" si="18"/>
        <v>0.25225578658297376</v>
      </c>
      <c r="Q35" s="179" t="s">
        <v>166</v>
      </c>
      <c r="R35" s="181">
        <v>3.21</v>
      </c>
      <c r="S35" s="181">
        <v>2.97</v>
      </c>
      <c r="T35" s="228">
        <f t="shared" si="19"/>
        <v>8.0808080808080662E-2</v>
      </c>
      <c r="U35" s="204">
        <f t="shared" si="20"/>
        <v>1.7246844794515394E-3</v>
      </c>
    </row>
    <row r="36" spans="2:21" ht="14.25" customHeight="1">
      <c r="B36" s="179" t="s">
        <v>167</v>
      </c>
      <c r="C36" s="181">
        <v>1861</v>
      </c>
      <c r="D36" s="181">
        <v>1579</v>
      </c>
      <c r="E36" s="229">
        <f t="shared" si="16"/>
        <v>0.17859404686510461</v>
      </c>
      <c r="G36" s="179" t="s">
        <v>167</v>
      </c>
      <c r="H36" s="181">
        <v>1788</v>
      </c>
      <c r="I36" s="181">
        <v>1508</v>
      </c>
      <c r="J36" s="229">
        <f t="shared" si="17"/>
        <v>0.18567639257294433</v>
      </c>
      <c r="L36" s="179" t="s">
        <v>167</v>
      </c>
      <c r="M36" s="181">
        <v>6806</v>
      </c>
      <c r="N36" s="181">
        <v>5456</v>
      </c>
      <c r="O36" s="229">
        <f t="shared" si="18"/>
        <v>0.24743401759530781</v>
      </c>
      <c r="Q36" s="179" t="s">
        <v>168</v>
      </c>
      <c r="R36" s="181">
        <v>41</v>
      </c>
      <c r="S36" s="181">
        <v>10</v>
      </c>
      <c r="T36" s="229">
        <f t="shared" si="19"/>
        <v>3.0999999999999996</v>
      </c>
      <c r="U36" s="204">
        <f t="shared" si="20"/>
        <v>2.2028680267138043E-2</v>
      </c>
    </row>
    <row r="37" spans="2:21" ht="14.25" customHeight="1">
      <c r="B37" s="179" t="s">
        <v>104</v>
      </c>
      <c r="C37" s="181">
        <v>1606</v>
      </c>
      <c r="D37" s="181">
        <v>1399</v>
      </c>
      <c r="E37" s="230">
        <f t="shared" si="16"/>
        <v>0.14796283059328097</v>
      </c>
      <c r="G37" s="179" t="s">
        <v>104</v>
      </c>
      <c r="H37" s="181">
        <v>1551</v>
      </c>
      <c r="I37" s="181">
        <v>1279</v>
      </c>
      <c r="J37" s="230">
        <f t="shared" si="17"/>
        <v>0.21266614542611406</v>
      </c>
      <c r="L37" s="179" t="s">
        <v>104</v>
      </c>
      <c r="M37" s="181">
        <v>5979</v>
      </c>
      <c r="N37" s="181">
        <v>4693</v>
      </c>
      <c r="O37" s="230">
        <f t="shared" si="18"/>
        <v>0.27402514383123799</v>
      </c>
      <c r="Q37" s="179" t="s">
        <v>169</v>
      </c>
      <c r="R37" s="181">
        <v>136</v>
      </c>
      <c r="S37" s="181">
        <v>113</v>
      </c>
      <c r="T37" s="230">
        <f t="shared" si="19"/>
        <v>0.20353982300884965</v>
      </c>
      <c r="U37" s="204">
        <f t="shared" si="20"/>
        <v>7.3070744300750584E-2</v>
      </c>
    </row>
    <row r="38" spans="2:21" ht="14.25" customHeight="1">
      <c r="B38" s="231" t="s">
        <v>98</v>
      </c>
      <c r="C38" s="232">
        <v>588</v>
      </c>
      <c r="D38" s="232">
        <v>483</v>
      </c>
      <c r="E38" s="233">
        <f t="shared" si="16"/>
        <v>0.21739130434782616</v>
      </c>
      <c r="G38" s="231" t="s">
        <v>98</v>
      </c>
      <c r="H38" s="232">
        <v>594</v>
      </c>
      <c r="I38" s="232">
        <v>380</v>
      </c>
      <c r="J38" s="233">
        <f t="shared" si="17"/>
        <v>0.56315789473684208</v>
      </c>
      <c r="L38" s="231" t="s">
        <v>98</v>
      </c>
      <c r="M38" s="232">
        <v>2174</v>
      </c>
      <c r="N38" s="232">
        <v>1730</v>
      </c>
      <c r="O38" s="233">
        <f t="shared" si="18"/>
        <v>0.25664739884393062</v>
      </c>
      <c r="Q38" s="231" t="s">
        <v>170</v>
      </c>
      <c r="R38" s="234">
        <v>11</v>
      </c>
      <c r="S38" s="232">
        <v>10</v>
      </c>
      <c r="T38" s="233">
        <f t="shared" si="19"/>
        <v>0.10000000000000009</v>
      </c>
      <c r="U38" s="204">
        <f t="shared" si="20"/>
        <v>5.9101337302077681E-3</v>
      </c>
    </row>
    <row r="39" spans="2:21" ht="14.25" customHeight="1">
      <c r="B39" s="235" t="s">
        <v>122</v>
      </c>
      <c r="C39" s="234">
        <v>0.7</v>
      </c>
      <c r="D39" s="234">
        <v>0.62</v>
      </c>
      <c r="E39" s="236">
        <f t="shared" si="16"/>
        <v>0.12903225806451601</v>
      </c>
      <c r="F39" s="35"/>
      <c r="G39" s="235" t="s">
        <v>122</v>
      </c>
      <c r="H39" s="234">
        <v>0.7</v>
      </c>
      <c r="I39" s="234">
        <v>0.56999999999999995</v>
      </c>
      <c r="J39" s="236">
        <f t="shared" si="17"/>
        <v>0.22807017543859653</v>
      </c>
      <c r="L39" s="235" t="s">
        <v>122</v>
      </c>
      <c r="M39" s="234">
        <v>2.67</v>
      </c>
      <c r="N39" s="234">
        <v>2.58</v>
      </c>
      <c r="O39" s="236">
        <f t="shared" si="18"/>
        <v>3.4883720930232398E-2</v>
      </c>
      <c r="Q39" s="235" t="s">
        <v>171</v>
      </c>
      <c r="R39" s="234">
        <v>64</v>
      </c>
      <c r="S39" s="234">
        <v>44</v>
      </c>
      <c r="T39" s="236">
        <f t="shared" si="19"/>
        <v>0.45454545454545459</v>
      </c>
      <c r="U39" s="204">
        <f t="shared" si="20"/>
        <v>3.4386232612117922E-2</v>
      </c>
    </row>
    <row r="40" spans="2:21" ht="14.25" customHeight="1">
      <c r="B40" s="235" t="s">
        <v>106</v>
      </c>
      <c r="C40" s="237">
        <f t="shared" ref="C40:D40" si="21">C38/C35</f>
        <v>0.22477064220183487</v>
      </c>
      <c r="D40" s="237">
        <f t="shared" si="21"/>
        <v>0.21865097329108193</v>
      </c>
      <c r="E40" s="195">
        <f t="shared" ref="E40:E41" si="22">C40-D40</f>
        <v>6.1196689107529401E-3</v>
      </c>
      <c r="F40" s="35"/>
      <c r="G40" s="235" t="s">
        <v>106</v>
      </c>
      <c r="H40" s="237">
        <f t="shared" ref="H40:I40" si="23">H38/H35</f>
        <v>0.23684210526315788</v>
      </c>
      <c r="I40" s="237">
        <f t="shared" si="23"/>
        <v>0.19038076152304609</v>
      </c>
      <c r="J40" s="195">
        <f t="shared" ref="J40:J41" si="24">H40-I40</f>
        <v>4.6461343740111793E-2</v>
      </c>
      <c r="L40" s="235" t="s">
        <v>106</v>
      </c>
      <c r="M40" s="237">
        <f t="shared" ref="M40:N40" si="25">M38/M35</f>
        <v>0.22702589807852966</v>
      </c>
      <c r="N40" s="237">
        <f t="shared" si="25"/>
        <v>0.22623250948084217</v>
      </c>
      <c r="O40" s="195">
        <f t="shared" ref="O40:O41" si="26">M40-N40</f>
        <v>7.9338859768748882E-4</v>
      </c>
    </row>
    <row r="41" spans="2:21" ht="14.25" customHeight="1">
      <c r="B41" s="231" t="s">
        <v>172</v>
      </c>
      <c r="C41" s="238">
        <v>2.8E-3</v>
      </c>
      <c r="D41" s="238">
        <v>2.3E-3</v>
      </c>
      <c r="E41" s="195">
        <f t="shared" si="22"/>
        <v>5.0000000000000001E-4</v>
      </c>
      <c r="G41" s="231" t="s">
        <v>172</v>
      </c>
      <c r="H41" s="238">
        <v>2.8E-3</v>
      </c>
      <c r="I41" s="238">
        <v>2.3E-3</v>
      </c>
      <c r="J41" s="195">
        <f t="shared" si="24"/>
        <v>5.0000000000000001E-4</v>
      </c>
      <c r="L41" s="231" t="s">
        <v>172</v>
      </c>
      <c r="M41" s="238">
        <v>2.8E-3</v>
      </c>
      <c r="N41" s="238">
        <v>2.3E-3</v>
      </c>
      <c r="O41" s="195">
        <f t="shared" si="26"/>
        <v>5.0000000000000001E-4</v>
      </c>
      <c r="Q41" s="231" t="s">
        <v>173</v>
      </c>
      <c r="R41" s="239">
        <f t="shared" ref="R41:S41" si="27">SUM(R34:R39)</f>
        <v>1861.21</v>
      </c>
      <c r="S41" s="239">
        <f t="shared" si="27"/>
        <v>1578.97</v>
      </c>
      <c r="T41" s="236">
        <f>(R41/S41)^(1/1)-1</f>
        <v>0.17874943792472298</v>
      </c>
      <c r="U41" s="238">
        <f>SUM(U34:U39)</f>
        <v>0.99999999999999989</v>
      </c>
    </row>
    <row r="42" spans="2:21" ht="14.25" customHeight="1"/>
    <row r="43" spans="2:21" ht="14.25" customHeight="1">
      <c r="B43" s="198" t="s">
        <v>120</v>
      </c>
      <c r="C43" s="198" t="s">
        <v>121</v>
      </c>
      <c r="D43" s="198" t="s">
        <v>91</v>
      </c>
      <c r="E43" s="198" t="s">
        <v>98</v>
      </c>
      <c r="F43" s="198" t="s">
        <v>122</v>
      </c>
      <c r="G43" s="198" t="s">
        <v>17</v>
      </c>
    </row>
    <row r="44" spans="2:21" ht="14.25" customHeight="1">
      <c r="B44" s="188" t="s">
        <v>174</v>
      </c>
      <c r="C44" s="204">
        <v>0.2</v>
      </c>
      <c r="D44" s="204">
        <v>0.2</v>
      </c>
      <c r="E44" s="204">
        <v>0.2</v>
      </c>
      <c r="F44" s="204">
        <v>0.2</v>
      </c>
      <c r="G44" s="205">
        <v>0.21</v>
      </c>
    </row>
    <row r="45" spans="2:21" ht="14.25" customHeight="1">
      <c r="B45" s="188" t="s">
        <v>175</v>
      </c>
      <c r="C45" s="204">
        <v>0.25</v>
      </c>
      <c r="D45" s="204">
        <v>0.25</v>
      </c>
      <c r="E45" s="204">
        <v>0.25</v>
      </c>
      <c r="F45" s="204">
        <v>0.25</v>
      </c>
      <c r="G45" s="205">
        <v>0.21</v>
      </c>
    </row>
    <row r="46" spans="2:21" ht="14.25" customHeight="1">
      <c r="B46" s="188" t="s">
        <v>176</v>
      </c>
      <c r="C46" s="204">
        <v>0.22</v>
      </c>
      <c r="D46" s="204">
        <v>0.22</v>
      </c>
      <c r="E46" s="204">
        <f>(E49/E21)-1</f>
        <v>0.20911315547378106</v>
      </c>
      <c r="F46" s="204">
        <v>0.21</v>
      </c>
      <c r="G46" s="205">
        <v>0.22500000000000001</v>
      </c>
    </row>
    <row r="47" spans="2:21" ht="14.25" customHeight="1">
      <c r="H47" s="262" t="s">
        <v>177</v>
      </c>
      <c r="I47" s="258"/>
      <c r="J47" s="258"/>
      <c r="K47" s="262" t="s">
        <v>178</v>
      </c>
      <c r="L47" s="258"/>
      <c r="M47" s="258"/>
      <c r="N47" s="240" t="s">
        <v>179</v>
      </c>
    </row>
    <row r="48" spans="2:21" ht="14.25" customHeight="1">
      <c r="B48" s="178" t="s">
        <v>120</v>
      </c>
      <c r="C48" s="178" t="s">
        <v>121</v>
      </c>
      <c r="D48" s="178" t="s">
        <v>91</v>
      </c>
      <c r="E48" s="178" t="s">
        <v>98</v>
      </c>
      <c r="F48" s="178" t="s">
        <v>122</v>
      </c>
      <c r="G48" s="173" t="s">
        <v>180</v>
      </c>
      <c r="H48" s="241" t="s">
        <v>181</v>
      </c>
      <c r="I48" s="241" t="s">
        <v>182</v>
      </c>
      <c r="J48" s="241" t="s">
        <v>183</v>
      </c>
      <c r="K48" s="241" t="s">
        <v>181</v>
      </c>
      <c r="L48" s="241" t="s">
        <v>184</v>
      </c>
      <c r="M48" s="241" t="s">
        <v>183</v>
      </c>
      <c r="N48" s="241" t="s">
        <v>185</v>
      </c>
      <c r="Q48" s="173" t="s">
        <v>186</v>
      </c>
      <c r="R48" s="173" t="s">
        <v>142</v>
      </c>
      <c r="S48" s="173" t="s">
        <v>187</v>
      </c>
    </row>
    <row r="49" spans="2:19" ht="14.25" customHeight="1">
      <c r="B49" s="3" t="s">
        <v>188</v>
      </c>
      <c r="C49" s="242">
        <f t="shared" ref="C49:D49" si="28">FV(C46,1,0,-C21,0)</f>
        <v>139957.18</v>
      </c>
      <c r="D49" s="242">
        <f t="shared" si="28"/>
        <v>11682.72</v>
      </c>
      <c r="E49" s="242">
        <f>D49*G46</f>
        <v>2628.6120000000001</v>
      </c>
      <c r="F49" s="243">
        <f>FV(F46,1,0,-G21,0)</f>
        <v>3.2306999999999997</v>
      </c>
      <c r="G49" s="244">
        <f>O21+F49</f>
        <v>27.182429106628241</v>
      </c>
      <c r="H49" s="245">
        <f>F49*30</f>
        <v>96.920999999999992</v>
      </c>
      <c r="I49" s="246">
        <f t="shared" ref="I49:I51" si="29">AVERAGE(H49,J49)</f>
        <v>129.22800000000001</v>
      </c>
      <c r="J49" s="245">
        <f>F49*50</f>
        <v>161.535</v>
      </c>
      <c r="K49" s="245">
        <f t="shared" ref="K49:K51" si="30">G49*3</f>
        <v>81.547287319884731</v>
      </c>
      <c r="L49" s="246">
        <f t="shared" ref="L49:L51" si="31">AVERAGE(K49,M49)</f>
        <v>122.3209309798271</v>
      </c>
      <c r="M49" s="245">
        <f t="shared" ref="M49:M51" si="32">G49*6</f>
        <v>163.09457463976946</v>
      </c>
      <c r="N49" s="245">
        <f t="shared" ref="N49:N51" si="33">0.6*I49+0.4*L49</f>
        <v>126.46517239193085</v>
      </c>
      <c r="Q49" s="179" t="s">
        <v>189</v>
      </c>
      <c r="R49" s="191">
        <v>0.89</v>
      </c>
      <c r="S49" s="191">
        <v>0.88700000000000001</v>
      </c>
    </row>
    <row r="50" spans="2:19" ht="14.25" customHeight="1">
      <c r="B50" s="3" t="s">
        <v>190</v>
      </c>
      <c r="C50" s="242">
        <f t="shared" ref="C50:D50" si="34">FV(C45,4,0,-C49,0)</f>
        <v>341692.333984375</v>
      </c>
      <c r="D50" s="242">
        <f t="shared" si="34"/>
        <v>28522.265625</v>
      </c>
      <c r="E50" s="242">
        <f>D50*G45</f>
        <v>5989.67578125</v>
      </c>
      <c r="F50" s="243">
        <f>(E50*F49)/E49</f>
        <v>7.3616210937499984</v>
      </c>
      <c r="G50" s="242">
        <f>FV(25%,4,0,-G49,0)</f>
        <v>66.363352311104109</v>
      </c>
      <c r="H50" s="245">
        <f>F50*30</f>
        <v>220.84863281249994</v>
      </c>
      <c r="I50" s="246">
        <f t="shared" ref="I50:I51" si="35">AVERAGE(H50,J50)</f>
        <v>294.46484374999994</v>
      </c>
      <c r="J50" s="245">
        <f>F50*50</f>
        <v>368.08105468749994</v>
      </c>
      <c r="K50" s="245">
        <f t="shared" si="30"/>
        <v>199.09005693331233</v>
      </c>
      <c r="L50" s="246">
        <f t="shared" si="31"/>
        <v>298.63508539996849</v>
      </c>
      <c r="M50" s="245">
        <f t="shared" si="32"/>
        <v>398.18011386662465</v>
      </c>
      <c r="N50" s="245">
        <f t="shared" si="33"/>
        <v>296.13294040998733</v>
      </c>
      <c r="Q50" s="179" t="s">
        <v>191</v>
      </c>
      <c r="R50" s="191">
        <v>1.9400000000000001E-2</v>
      </c>
      <c r="S50" s="191">
        <v>6.0000000000000001E-3</v>
      </c>
    </row>
    <row r="51" spans="2:19" ht="14.25" customHeight="1">
      <c r="B51" s="28" t="s">
        <v>192</v>
      </c>
      <c r="C51" s="247">
        <f t="shared" ref="C51:G51" si="36">FV(20%,5,0,-C50,0)</f>
        <v>850239.86849999998</v>
      </c>
      <c r="D51" s="247">
        <f t="shared" si="36"/>
        <v>70972.52399999999</v>
      </c>
      <c r="E51" s="247">
        <f t="shared" si="36"/>
        <v>14904.230039999999</v>
      </c>
      <c r="F51" s="247">
        <f t="shared" si="36"/>
        <v>18.318068999999994</v>
      </c>
      <c r="G51" s="247">
        <f t="shared" si="36"/>
        <v>165.13325682276655</v>
      </c>
      <c r="H51" s="245">
        <f>F51*30</f>
        <v>549.54206999999985</v>
      </c>
      <c r="I51" s="246">
        <f t="shared" si="35"/>
        <v>732.72275999999977</v>
      </c>
      <c r="J51" s="245">
        <f>F51*50</f>
        <v>915.90344999999968</v>
      </c>
      <c r="K51" s="245">
        <f t="shared" si="30"/>
        <v>495.39977046829966</v>
      </c>
      <c r="L51" s="246">
        <f t="shared" si="31"/>
        <v>743.09965570244947</v>
      </c>
      <c r="M51" s="245">
        <f t="shared" si="32"/>
        <v>990.79954093659933</v>
      </c>
      <c r="N51" s="245">
        <f t="shared" si="33"/>
        <v>736.87351828097962</v>
      </c>
      <c r="Q51" s="179" t="s">
        <v>193</v>
      </c>
      <c r="R51" s="191">
        <v>1.6799999999999999E-2</v>
      </c>
      <c r="S51" s="191">
        <v>1.04E-2</v>
      </c>
    </row>
    <row r="52" spans="2:19" ht="14.25" customHeight="1">
      <c r="Q52" s="179" t="s">
        <v>194</v>
      </c>
      <c r="R52" s="191">
        <v>7.6399999999999996E-2</v>
      </c>
      <c r="S52" s="191">
        <v>9.6100000000000005E-2</v>
      </c>
    </row>
    <row r="53" spans="2:19" ht="14.25" customHeight="1">
      <c r="B53" s="248" t="s">
        <v>195</v>
      </c>
      <c r="C53" s="249" t="s">
        <v>76</v>
      </c>
      <c r="D53" s="248" t="s">
        <v>196</v>
      </c>
      <c r="E53" s="248" t="s">
        <v>197</v>
      </c>
      <c r="F53" s="248" t="s">
        <v>198</v>
      </c>
      <c r="G53" s="3"/>
    </row>
    <row r="54" spans="2:19" ht="14.25" customHeight="1">
      <c r="B54" s="173" t="s">
        <v>6</v>
      </c>
      <c r="C54" s="180">
        <f ca="1">IFERROR(__xludf.DUMMYFUNCTION("googlefinance(""nse:""&amp;B54,""price"")"),114.75)</f>
        <v>114.75</v>
      </c>
      <c r="D54" s="250">
        <v>2.4E-2</v>
      </c>
      <c r="E54" s="251">
        <f ca="1">IFERROR(MAX(0.25, MIN(1,1.25 - 0.5*(C54/N49))),"")</f>
        <v>0.79631778129248154</v>
      </c>
      <c r="F54" s="222">
        <f ca="1">D54*E54</f>
        <v>1.9111626751019559E-2</v>
      </c>
      <c r="G54" s="252"/>
      <c r="Q54" s="231" t="s">
        <v>173</v>
      </c>
      <c r="R54" s="253">
        <v>1</v>
      </c>
      <c r="S54" s="253">
        <v>1</v>
      </c>
    </row>
    <row r="55" spans="2:19" ht="14.25" customHeight="1"/>
    <row r="56" spans="2:19" ht="14.25" customHeight="1"/>
    <row r="57" spans="2:19" ht="14.25" customHeight="1"/>
    <row r="58" spans="2:19" ht="14.25" customHeight="1"/>
    <row r="59" spans="2:19" ht="14.25" customHeight="1"/>
    <row r="60" spans="2:19" ht="14.25" customHeight="1"/>
    <row r="61" spans="2:19" ht="14.25" customHeight="1"/>
    <row r="62" spans="2:19" ht="14.25" customHeight="1">
      <c r="J62" s="254"/>
      <c r="K62" s="255"/>
      <c r="L62" s="255"/>
      <c r="M62" s="256"/>
    </row>
    <row r="63" spans="2:19" ht="14.25" customHeight="1"/>
    <row r="64" spans="2:1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mergeCells count="4">
    <mergeCell ref="B1:Q3"/>
    <mergeCell ref="S29:S31"/>
    <mergeCell ref="H47:J47"/>
    <mergeCell ref="K47:M47"/>
  </mergeCells>
  <conditionalFormatting sqref="C12:C22">
    <cfRule type="colorScale" priority="8">
      <colorScale>
        <cfvo type="min"/>
        <cfvo type="max"/>
        <color rgb="FFFFFFFF"/>
        <color rgb="FF57BB8A"/>
      </colorScale>
    </cfRule>
  </conditionalFormatting>
  <conditionalFormatting sqref="C22:E26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4:F46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9:G30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1:G31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22">
    <cfRule type="colorScale" priority="9">
      <colorScale>
        <cfvo type="min"/>
        <cfvo type="max"/>
        <color rgb="FFFFFFFF"/>
        <color rgb="FF57BB8A"/>
      </colorScale>
    </cfRule>
  </conditionalFormatting>
  <conditionalFormatting sqref="E12:E22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22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4:G22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2:G26 M25:M26 N26:O26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4:G46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5:H22">
    <cfRule type="colorScale" priority="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J29:M29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6:M22">
    <cfRule type="colorScale" priority="13">
      <colorScale>
        <cfvo type="min"/>
        <cfvo type="max"/>
        <color rgb="FFFFFFFF"/>
        <color rgb="FF57BB8A"/>
      </colorScale>
    </cfRule>
  </conditionalFormatting>
  <conditionalFormatting sqref="N16:N22">
    <cfRule type="colorScale" priority="14">
      <colorScale>
        <cfvo type="min"/>
        <cfvo type="max"/>
        <color rgb="FFFFFFFF"/>
        <color rgb="FF57BB8A"/>
      </colorScale>
    </cfRule>
  </conditionalFormatting>
  <conditionalFormatting sqref="P29:R2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31:R31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R48:S55">
    <cfRule type="colorScale" priority="12">
      <colorScale>
        <cfvo type="min"/>
        <cfvo type="max"/>
        <color rgb="FFFFFFFF"/>
        <color rgb="FF57BB8A"/>
      </colorScale>
    </cfRule>
  </conditionalFormatting>
  <conditionalFormatting sqref="T33:T35 U33:U41 F34:F41 T41 O49:O50 N60:N61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Housing Finance Companies</vt:lpstr>
      <vt:lpstr>Sheet2</vt:lpstr>
      <vt:lpstr>BAJAJHFL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2025-08-18T10:57:24Z</dcterms:created>
  <dcterms:modified xsi:type="dcterms:W3CDTF">2025-08-18T11:03:01Z</dcterms:modified>
</cp:coreProperties>
</file>