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5\"/>
    </mc:Choice>
  </mc:AlternateContent>
  <xr:revisionPtr revIDLastSave="0" documentId="8_{857371E9-3DE0-4DE3-8962-85921C5CF55D}" xr6:coauthVersionLast="47" xr6:coauthVersionMax="47" xr10:uidLastSave="{00000000-0000-0000-0000-000000000000}"/>
  <bookViews>
    <workbookView xWindow="-108" yWindow="-108" windowWidth="23256" windowHeight="12456" xr2:uid="{D848CFBC-C249-4C55-B203-F819DD9DB782}"/>
  </bookViews>
  <sheets>
    <sheet name="BAJAJHFL" sheetId="2" r:id="rId1"/>
    <sheet name="Housing Finance Companies" sheetId="1" r:id="rId2"/>
  </sheets>
  <externalReferences>
    <externalReference r:id="rId3"/>
  </externalReferences>
  <definedNames>
    <definedName name="_xlnm._FilterDatabase" localSheetId="1" hidden="1">'Housing Finance Companies'!$A$60:$D$80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2" l="1"/>
  <c r="K48" i="2"/>
  <c r="M48" i="2" s="1"/>
  <c r="M46" i="2"/>
  <c r="M45" i="2"/>
  <c r="N44" i="2"/>
  <c r="M44" i="2"/>
  <c r="N43" i="2"/>
  <c r="M43" i="2"/>
  <c r="M42" i="2"/>
  <c r="M41" i="2"/>
  <c r="W37" i="2"/>
  <c r="R37" i="2"/>
  <c r="M37" i="2"/>
  <c r="W36" i="2"/>
  <c r="V36" i="2"/>
  <c r="U36" i="2"/>
  <c r="Q36" i="2"/>
  <c r="P36" i="2"/>
  <c r="R36" i="2" s="1"/>
  <c r="M36" i="2"/>
  <c r="L36" i="2"/>
  <c r="K36" i="2"/>
  <c r="W35" i="2"/>
  <c r="R35" i="2"/>
  <c r="M35" i="2"/>
  <c r="W34" i="2"/>
  <c r="R34" i="2"/>
  <c r="M34" i="2"/>
  <c r="W33" i="2"/>
  <c r="R33" i="2"/>
  <c r="M33" i="2"/>
  <c r="W32" i="2"/>
  <c r="R32" i="2"/>
  <c r="M32" i="2"/>
  <c r="W31" i="2"/>
  <c r="R31" i="2"/>
  <c r="M31" i="2"/>
  <c r="C9" i="2" s="1"/>
  <c r="W30" i="2"/>
  <c r="R30" i="2"/>
  <c r="M30" i="2"/>
  <c r="G30" i="2"/>
  <c r="H30" i="2" s="1"/>
  <c r="D30" i="2"/>
  <c r="E30" i="2" s="1"/>
  <c r="E27" i="2" s="1"/>
  <c r="C30" i="2"/>
  <c r="C31" i="2" s="1"/>
  <c r="C32" i="2" s="1"/>
  <c r="N27" i="2"/>
  <c r="P24" i="2"/>
  <c r="J24" i="2"/>
  <c r="J23" i="2"/>
  <c r="G23" i="2"/>
  <c r="E23" i="2"/>
  <c r="D23" i="2"/>
  <c r="C23" i="2"/>
  <c r="Q22" i="2"/>
  <c r="J22" i="2"/>
  <c r="G22" i="2"/>
  <c r="E22" i="2"/>
  <c r="D22" i="2"/>
  <c r="G19" i="2"/>
  <c r="M19" i="2" s="1"/>
  <c r="E19" i="2"/>
  <c r="F19" i="2" s="1"/>
  <c r="B9" i="2" s="1"/>
  <c r="D19" i="2"/>
  <c r="C19" i="2"/>
  <c r="K6" i="2" s="1"/>
  <c r="J18" i="2"/>
  <c r="F18" i="2"/>
  <c r="F23" i="2" s="1"/>
  <c r="J17" i="2"/>
  <c r="F17" i="2"/>
  <c r="J16" i="2"/>
  <c r="F16" i="2"/>
  <c r="J15" i="2"/>
  <c r="F15" i="2"/>
  <c r="J14" i="2"/>
  <c r="F14" i="2"/>
  <c r="F22" i="2" s="1"/>
  <c r="F13" i="2"/>
  <c r="F12" i="2"/>
  <c r="P9" i="2"/>
  <c r="J9" i="2"/>
  <c r="E9" i="2"/>
  <c r="D9" i="2"/>
  <c r="O6" i="2"/>
  <c r="L6" i="2"/>
  <c r="M9" i="2" s="1"/>
  <c r="D6" i="2"/>
  <c r="Q9" i="2" s="1"/>
  <c r="C6" i="2"/>
  <c r="L82" i="1"/>
  <c r="K82" i="1"/>
  <c r="I82" i="1"/>
  <c r="H82" i="1"/>
  <c r="G82" i="1"/>
  <c r="J82" i="1" s="1"/>
  <c r="F82" i="1"/>
  <c r="E82" i="1"/>
  <c r="C80" i="1"/>
  <c r="D79" i="1"/>
  <c r="C79" i="1"/>
  <c r="D78" i="1"/>
  <c r="C78" i="1"/>
  <c r="D77" i="1"/>
  <c r="C77" i="1"/>
  <c r="D76" i="1"/>
  <c r="C76" i="1"/>
  <c r="D75" i="1"/>
  <c r="C75" i="1"/>
  <c r="J74" i="1"/>
  <c r="D74" i="1"/>
  <c r="C74" i="1"/>
  <c r="J73" i="1"/>
  <c r="D73" i="1"/>
  <c r="C73" i="1"/>
  <c r="J72" i="1"/>
  <c r="D72" i="1"/>
  <c r="C72" i="1"/>
  <c r="J71" i="1"/>
  <c r="D71" i="1"/>
  <c r="C71" i="1"/>
  <c r="J70" i="1"/>
  <c r="D70" i="1"/>
  <c r="C70" i="1"/>
  <c r="J69" i="1"/>
  <c r="D69" i="1"/>
  <c r="C69" i="1"/>
  <c r="J68" i="1"/>
  <c r="D68" i="1"/>
  <c r="C68" i="1"/>
  <c r="J67" i="1"/>
  <c r="D67" i="1"/>
  <c r="C67" i="1"/>
  <c r="J66" i="1"/>
  <c r="D66" i="1"/>
  <c r="C66" i="1"/>
  <c r="J65" i="1"/>
  <c r="D65" i="1"/>
  <c r="C65" i="1"/>
  <c r="J64" i="1"/>
  <c r="D64" i="1"/>
  <c r="C64" i="1"/>
  <c r="J63" i="1"/>
  <c r="D63" i="1"/>
  <c r="C63" i="1"/>
  <c r="J62" i="1"/>
  <c r="D62" i="1"/>
  <c r="C62" i="1"/>
  <c r="J61" i="1"/>
  <c r="D61" i="1"/>
  <c r="C61" i="1"/>
  <c r="C14" i="1"/>
  <c r="C13" i="1"/>
  <c r="C12" i="1"/>
  <c r="C11" i="1"/>
  <c r="C10" i="1"/>
  <c r="C9" i="1"/>
  <c r="C8" i="1"/>
  <c r="C7" i="1"/>
  <c r="C6" i="1"/>
  <c r="Q24" i="2" l="1"/>
  <c r="K9" i="2"/>
  <c r="N41" i="2"/>
  <c r="N45" i="2"/>
  <c r="D82" i="1"/>
  <c r="N42" i="2"/>
  <c r="N46" i="2"/>
  <c r="D31" i="2"/>
  <c r="M6" i="2"/>
  <c r="L9" i="2"/>
  <c r="J19" i="2"/>
  <c r="L19" i="2"/>
  <c r="R22" i="2"/>
  <c r="R24" i="2" s="1"/>
  <c r="S22" i="2" s="1"/>
  <c r="R9" i="2" s="1"/>
  <c r="C17" i="1"/>
  <c r="E31" i="2" l="1"/>
  <c r="D32" i="2"/>
  <c r="O9" i="2"/>
  <c r="N9" i="2"/>
  <c r="N48" i="2"/>
  <c r="G31" i="2" l="1"/>
  <c r="E32" i="2"/>
  <c r="H31" i="2" l="1"/>
  <c r="G32" i="2"/>
  <c r="H32" i="2" s="1"/>
</calcChain>
</file>

<file path=xl/sharedStrings.xml><?xml version="1.0" encoding="utf-8"?>
<sst xmlns="http://schemas.openxmlformats.org/spreadsheetml/2006/main" count="320" uniqueCount="169">
  <si>
    <t>HOUSING FINANCE COMPANIES</t>
  </si>
  <si>
    <t>Security Name</t>
  </si>
  <si>
    <t>MARKETCAP</t>
  </si>
  <si>
    <t>AUM_FY24</t>
  </si>
  <si>
    <t>Sales_fy24</t>
  </si>
  <si>
    <t>PROFIT 2024</t>
  </si>
  <si>
    <t>BAJAJHFL</t>
  </si>
  <si>
    <t>LICHSGFIN</t>
  </si>
  <si>
    <t>PNBHOUSING</t>
  </si>
  <si>
    <t>AADHARHFC</t>
  </si>
  <si>
    <t>APTUS</t>
  </si>
  <si>
    <t>AAVAS</t>
  </si>
  <si>
    <t>SAMMAANCAP</t>
  </si>
  <si>
    <t>CANFINHOME</t>
  </si>
  <si>
    <t>HOMEFIRST</t>
  </si>
  <si>
    <t>OTHER_11</t>
  </si>
  <si>
    <t>Industrry</t>
  </si>
  <si>
    <t>MARGIN %</t>
  </si>
  <si>
    <t>GROWTH 4Y</t>
  </si>
  <si>
    <t>GNPA%</t>
  </si>
  <si>
    <t>Security Code</t>
  </si>
  <si>
    <t>CMP</t>
  </si>
  <si>
    <t>SALES 2023</t>
  </si>
  <si>
    <t>PROFIT 2023</t>
  </si>
  <si>
    <t>INDIASHLTR</t>
  </si>
  <si>
    <t>REPCOHOME</t>
  </si>
  <si>
    <t>GICHSGFIN</t>
  </si>
  <si>
    <t>SRGHFL</t>
  </si>
  <si>
    <t>STARHFL</t>
  </si>
  <si>
    <t>RHFL</t>
  </si>
  <si>
    <t>MEHTAHG</t>
  </si>
  <si>
    <t>INDIAHOME</t>
  </si>
  <si>
    <t>INDBNK</t>
  </si>
  <si>
    <t>SAHARAHOUS</t>
  </si>
  <si>
    <t>ZHINDHSG</t>
  </si>
  <si>
    <t>MARKETC (₹ Cr)</t>
  </si>
  <si>
    <t>AUM_FY24 (₹ Cr)</t>
  </si>
  <si>
    <t>Sales_FY24 (₹ Cr)</t>
  </si>
  <si>
    <t>PROFIT 2024 (₹ Cr)</t>
  </si>
  <si>
    <t>GROWTH 4Y (%)</t>
  </si>
  <si>
    <t>GNPA %</t>
  </si>
  <si>
    <t>Bajaj Housing Finance (BAJAJHFL)</t>
  </si>
  <si>
    <t>LIC Housing Finance (LICHSGFIN)</t>
  </si>
  <si>
    <t>Aadhar Housing Finance (AADHARHFC)</t>
  </si>
  <si>
    <t>Aptus Value Housing (APTUS)</t>
  </si>
  <si>
    <t>Aavas Financiers (AAVAS)</t>
  </si>
  <si>
    <t>Home First Finance (HOMEFIRST)</t>
  </si>
  <si>
    <t>Market Cap ($ Billion)</t>
  </si>
  <si>
    <t>AUM ($ Billion)</t>
  </si>
  <si>
    <t>Sales FY24 ($ Billion)</t>
  </si>
  <si>
    <t>💸 Profit FY24 ($ Billion)</t>
  </si>
  <si>
    <t>HDFC (India) PremM</t>
  </si>
  <si>
    <t>Fannie Mae (US)</t>
  </si>
  <si>
    <t>Freddie Mac (US)</t>
  </si>
  <si>
    <t>Nationwide (UK)</t>
  </si>
  <si>
    <t>Tata Capital Housing Finance</t>
  </si>
  <si>
    <t>Piramal Capital &amp; Housing Finance</t>
  </si>
  <si>
    <t>India Shelter Finance</t>
  </si>
  <si>
    <t>IIFL Home Finance</t>
  </si>
  <si>
    <t>Aditya Birla Housing Finance</t>
  </si>
  <si>
    <t>Metric</t>
  </si>
  <si>
    <t>Projected 2035</t>
  </si>
  <si>
    <t>Housing Finance Industry Size (₹ Cr)</t>
  </si>
  <si>
    <t>₹50 lakh crore</t>
  </si>
  <si>
    <t>₹200 lakh crore</t>
  </si>
  <si>
    <t>Mortgage-to-GDP Ratio</t>
  </si>
  <si>
    <t>~11%</t>
  </si>
  <si>
    <t>25-30%</t>
  </si>
  <si>
    <t>Loan Growth (CAGR)</t>
  </si>
  <si>
    <t>~12%</t>
  </si>
  <si>
    <t>15-17%</t>
  </si>
  <si>
    <t>Top Players (Market Cap ₹ Cr)</t>
  </si>
  <si>
    <t>₹95,000 Cr (Bajaj HFL)</t>
  </si>
  <si>
    <t>₹3-5 lakh crore</t>
  </si>
  <si>
    <t>BAJAJ HOUSING FINANCE</t>
  </si>
  <si>
    <t>MARKET</t>
  </si>
  <si>
    <t>INCOME</t>
  </si>
  <si>
    <t>BALANCESHEET</t>
  </si>
  <si>
    <t>Price</t>
  </si>
  <si>
    <t>Equity</t>
  </si>
  <si>
    <t>FV</t>
  </si>
  <si>
    <t>TOTAL EQ</t>
  </si>
  <si>
    <t>AUM</t>
  </si>
  <si>
    <t>DEPOSITS</t>
  </si>
  <si>
    <t>BORROWING</t>
  </si>
  <si>
    <t>SALES</t>
  </si>
  <si>
    <t>PROFIT</t>
  </si>
  <si>
    <t>TRAIL_EPS</t>
  </si>
  <si>
    <t>ASSETS</t>
  </si>
  <si>
    <t>LIABILITIES</t>
  </si>
  <si>
    <t>EMPLOYEE</t>
  </si>
  <si>
    <t>COSTOFFUND</t>
  </si>
  <si>
    <t>FINANCE</t>
  </si>
  <si>
    <t>MARGIN</t>
  </si>
  <si>
    <t>SALES GRO</t>
  </si>
  <si>
    <t>AUM GR</t>
  </si>
  <si>
    <t>DEP %</t>
  </si>
  <si>
    <t>PCR</t>
  </si>
  <si>
    <t>CAR</t>
  </si>
  <si>
    <t>LCR</t>
  </si>
  <si>
    <t>DEBTRATIO</t>
  </si>
  <si>
    <t>ROA</t>
  </si>
  <si>
    <t>ROE</t>
  </si>
  <si>
    <t>ROPE</t>
  </si>
  <si>
    <t>Trail_PE</t>
  </si>
  <si>
    <t>Yield</t>
  </si>
  <si>
    <t>BOOKVALUE</t>
  </si>
  <si>
    <t>P/BV X</t>
  </si>
  <si>
    <t>PEG</t>
  </si>
  <si>
    <t>YEAR</t>
  </si>
  <si>
    <t>AUM IN CR</t>
  </si>
  <si>
    <t>EPS</t>
  </si>
  <si>
    <t>HIGH PRICE</t>
  </si>
  <si>
    <t>LOW PRICE</t>
  </si>
  <si>
    <t>FAIRVALUE</t>
  </si>
  <si>
    <t>HIGH PE</t>
  </si>
  <si>
    <t>LOW PE</t>
  </si>
  <si>
    <t>FY_18</t>
  </si>
  <si>
    <t>FY_19</t>
  </si>
  <si>
    <t>FY_20</t>
  </si>
  <si>
    <t>FY_21</t>
  </si>
  <si>
    <t>FY_22</t>
  </si>
  <si>
    <t>FY_23</t>
  </si>
  <si>
    <t>FY_24</t>
  </si>
  <si>
    <t>TRAIL_FY25</t>
  </si>
  <si>
    <t>Q1_FY_25</t>
  </si>
  <si>
    <t>H1_FY_25</t>
  </si>
  <si>
    <t>9M_FY_25</t>
  </si>
  <si>
    <t>F-2025</t>
  </si>
  <si>
    <t>EPS_24</t>
  </si>
  <si>
    <t>F_EPS</t>
  </si>
  <si>
    <t>F_PEG.</t>
  </si>
  <si>
    <t>4 YEAR</t>
  </si>
  <si>
    <t>LAST YEAR</t>
  </si>
  <si>
    <t>PE_24</t>
  </si>
  <si>
    <t>T_PE</t>
  </si>
  <si>
    <t>R_PE_25</t>
  </si>
  <si>
    <t>LONG TERM</t>
  </si>
  <si>
    <t>Current Trend</t>
  </si>
  <si>
    <t>Q4_FY24</t>
  </si>
  <si>
    <t>Q1_FY25</t>
  </si>
  <si>
    <t>Q2_FY25</t>
  </si>
  <si>
    <t>Q3_FY25</t>
  </si>
  <si>
    <t>FY_25</t>
  </si>
  <si>
    <t>RESULT</t>
  </si>
  <si>
    <t>9M_FY_24</t>
  </si>
  <si>
    <t>GROWTH</t>
  </si>
  <si>
    <t>Q3_FY_25</t>
  </si>
  <si>
    <t>Q3_FY_24</t>
  </si>
  <si>
    <t>H1_FY_24</t>
  </si>
  <si>
    <t>EST_FY25</t>
  </si>
  <si>
    <t>EST_FY30</t>
  </si>
  <si>
    <t>EST_FY35</t>
  </si>
  <si>
    <t>COST</t>
  </si>
  <si>
    <t>GROSS NPA</t>
  </si>
  <si>
    <t>MAJOR COST</t>
  </si>
  <si>
    <t>SHARE</t>
  </si>
  <si>
    <t>SHP</t>
  </si>
  <si>
    <t>Finance</t>
  </si>
  <si>
    <t>Promoter</t>
  </si>
  <si>
    <t>Fees &amp; Comm</t>
  </si>
  <si>
    <t>Domesti_I</t>
  </si>
  <si>
    <t>Impairment</t>
  </si>
  <si>
    <t>Foregin_I</t>
  </si>
  <si>
    <t>Employee</t>
  </si>
  <si>
    <t>Non_inst</t>
  </si>
  <si>
    <t>D&amp;A</t>
  </si>
  <si>
    <t>Other Exp.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</si>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</sst>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₹&quot;\ #,##0;[Red]&quot;₹&quot;\ \-#,##0"/>
    <numFmt numFmtId="164" formatCode="0.0%"/>
    <numFmt numFmtId="165" formatCode="0.0"/>
    <numFmt numFmtId="166" formatCode="&quot;₹&quot;\ #,##0.0;[Red]&quot;₹&quot;\ \-#,##0.0"/>
  </numFmts>
  <fonts count="17" x14ac:knownFonts="1">
    <font>
      <sz val="10"/>
      <color rgb="FF000000"/>
      <name val="Calibri"/>
      <scheme val="minor"/>
    </font>
    <font>
      <sz val="36"/>
      <color rgb="FFFFFFFF"/>
      <name val="Arial"/>
    </font>
    <font>
      <b/>
      <sz val="11"/>
      <color rgb="FFFFFFFF"/>
      <name val="Arial"/>
    </font>
    <font>
      <sz val="10"/>
      <color theme="1"/>
      <name val="Calibri"/>
      <scheme val="minor"/>
    </font>
    <font>
      <b/>
      <sz val="11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FFFFFF"/>
      <name val="Calibri"/>
    </font>
    <font>
      <sz val="11"/>
      <color theme="0"/>
      <name val="Calibri"/>
    </font>
    <font>
      <sz val="11"/>
      <color theme="1"/>
      <name val="Source Code Pro"/>
    </font>
    <font>
      <sz val="11"/>
      <color rgb="FF0000FF"/>
      <name val="Source Code Pro"/>
    </font>
    <font>
      <sz val="11"/>
      <color theme="1"/>
      <name val="Calibri"/>
    </font>
    <font>
      <sz val="25"/>
      <color theme="1"/>
      <name val="Arial"/>
    </font>
    <font>
      <sz val="10"/>
      <name val="Calibri"/>
    </font>
  </fonts>
  <fills count="10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2EDE0"/>
        <bgColor rgb="FFD2EDE0"/>
      </patternFill>
    </fill>
    <fill>
      <patternFill patternType="solid">
        <fgColor rgb="FFD9F0E4"/>
        <bgColor rgb="FFD9F0E4"/>
      </patternFill>
    </fill>
    <fill>
      <patternFill patternType="solid">
        <fgColor rgb="FFCFECDD"/>
        <bgColor rgb="FFCFECDD"/>
      </patternFill>
    </fill>
    <fill>
      <patternFill patternType="solid">
        <fgColor rgb="FF57BB8A"/>
        <bgColor rgb="FF57BB8A"/>
      </patternFill>
    </fill>
    <fill>
      <patternFill patternType="solid">
        <fgColor rgb="FFDFF2E9"/>
        <bgColor rgb="FFDFF2E9"/>
      </patternFill>
    </fill>
    <fill>
      <patternFill patternType="solid">
        <fgColor rgb="FFDCF1E7"/>
        <bgColor rgb="FFDCF1E7"/>
      </patternFill>
    </fill>
    <fill>
      <patternFill patternType="solid">
        <fgColor rgb="FFD7EFE4"/>
        <bgColor rgb="FFD7EFE4"/>
      </patternFill>
    </fill>
    <fill>
      <patternFill patternType="solid">
        <fgColor rgb="FFFEFFFF"/>
        <bgColor rgb="FFFEFFFF"/>
      </patternFill>
    </fill>
    <fill>
      <patternFill patternType="solid">
        <fgColor rgb="FFFAFDFC"/>
        <bgColor rgb="FFFAFDFC"/>
      </patternFill>
    </fill>
    <fill>
      <patternFill patternType="solid">
        <fgColor rgb="FFF5FBF8"/>
        <bgColor rgb="FFF5FBF8"/>
      </patternFill>
    </fill>
    <fill>
      <patternFill patternType="solid">
        <fgColor rgb="FFEB9790"/>
        <bgColor rgb="FFEB9790"/>
      </patternFill>
    </fill>
    <fill>
      <patternFill patternType="solid">
        <fgColor rgb="FFF4C6C2"/>
        <bgColor rgb="FFF4C6C2"/>
      </patternFill>
    </fill>
    <fill>
      <patternFill patternType="solid">
        <fgColor rgb="FFFEFDFD"/>
        <bgColor rgb="FFFEFDFD"/>
      </patternFill>
    </fill>
    <fill>
      <patternFill patternType="solid">
        <fgColor rgb="FFFBEFEE"/>
        <bgColor rgb="FFFBEFEE"/>
      </patternFill>
    </fill>
    <fill>
      <patternFill patternType="solid">
        <fgColor rgb="FFFEFFFE"/>
        <bgColor rgb="FFFEFFFE"/>
      </patternFill>
    </fill>
    <fill>
      <patternFill patternType="solid">
        <fgColor rgb="FFFFFFFF"/>
        <bgColor rgb="FFFFFFFF"/>
      </patternFill>
    </fill>
    <fill>
      <patternFill patternType="solid">
        <fgColor rgb="FFE3F4EC"/>
        <bgColor rgb="FFE3F4EC"/>
      </patternFill>
    </fill>
    <fill>
      <patternFill patternType="solid">
        <fgColor rgb="FFF4FBF7"/>
        <bgColor rgb="FFF4FBF7"/>
      </patternFill>
    </fill>
    <fill>
      <patternFill patternType="solid">
        <fgColor rgb="FFF5CECB"/>
        <bgColor rgb="FFF5CECB"/>
      </patternFill>
    </fill>
    <fill>
      <patternFill patternType="solid">
        <fgColor rgb="FFF5CDC9"/>
        <bgColor rgb="FFF5CDC9"/>
      </patternFill>
    </fill>
    <fill>
      <patternFill patternType="solid">
        <fgColor rgb="FFF6FCF9"/>
        <bgColor rgb="FFF6FCF9"/>
      </patternFill>
    </fill>
    <fill>
      <patternFill patternType="solid">
        <fgColor rgb="FFF1BAB5"/>
        <bgColor rgb="FFF1BAB5"/>
      </patternFill>
    </fill>
    <fill>
      <patternFill patternType="solid">
        <fgColor rgb="FFCCEBDC"/>
        <bgColor rgb="FFCCEBDC"/>
      </patternFill>
    </fill>
    <fill>
      <patternFill patternType="solid">
        <fgColor rgb="FFECF7F2"/>
        <bgColor rgb="FFECF7F2"/>
      </patternFill>
    </fill>
    <fill>
      <patternFill patternType="solid">
        <fgColor rgb="FFE67C73"/>
        <bgColor rgb="FFE67C73"/>
      </patternFill>
    </fill>
    <fill>
      <patternFill patternType="solid">
        <fgColor rgb="FFDBF1E6"/>
        <bgColor rgb="FFDBF1E6"/>
      </patternFill>
    </fill>
    <fill>
      <patternFill patternType="solid">
        <fgColor rgb="FF227ACB"/>
        <bgColor rgb="FF227ACB"/>
      </patternFill>
    </fill>
    <fill>
      <patternFill patternType="solid">
        <fgColor rgb="FFF2F2F2"/>
        <bgColor rgb="FFF2F2F2"/>
      </patternFill>
    </fill>
    <fill>
      <patternFill patternType="solid">
        <fgColor rgb="FF63BE7B"/>
        <bgColor rgb="FF63BE7B"/>
      </patternFill>
    </fill>
    <fill>
      <patternFill patternType="solid">
        <fgColor rgb="FFD3ECDC"/>
        <bgColor rgb="FFD3ECDC"/>
      </patternFill>
    </fill>
    <fill>
      <patternFill patternType="solid">
        <fgColor rgb="FFDCEFE3"/>
        <bgColor rgb="FFDCEFE3"/>
      </patternFill>
    </fill>
    <fill>
      <patternFill patternType="solid">
        <fgColor rgb="FFFAC7C9"/>
        <bgColor rgb="FFFAC7C9"/>
      </patternFill>
    </fill>
    <fill>
      <patternFill patternType="solid">
        <fgColor rgb="FFE4F2EA"/>
        <bgColor rgb="FFE4F2EA"/>
      </patternFill>
    </fill>
    <fill>
      <patternFill patternType="solid">
        <fgColor rgb="FFF8696B"/>
        <bgColor rgb="FFF8696B"/>
      </patternFill>
    </fill>
    <fill>
      <patternFill patternType="solid">
        <fgColor rgb="FFFAFCFE"/>
        <bgColor rgb="FFFAFCFE"/>
      </patternFill>
    </fill>
    <fill>
      <patternFill patternType="solid">
        <fgColor rgb="FFFBFCFF"/>
        <bgColor rgb="FFFBFCFF"/>
      </patternFill>
    </fill>
    <fill>
      <patternFill patternType="solid">
        <fgColor rgb="FFFBFCFE"/>
        <bgColor rgb="FFFBFCFE"/>
      </patternFill>
    </fill>
    <fill>
      <patternFill patternType="solid">
        <fgColor rgb="FFF8FBFB"/>
        <bgColor rgb="FFF8FBFB"/>
      </patternFill>
    </fill>
    <fill>
      <patternFill patternType="solid">
        <fgColor rgb="FFE3F2EA"/>
        <bgColor rgb="FFE3F2EA"/>
      </patternFill>
    </fill>
    <fill>
      <patternFill patternType="solid">
        <fgColor rgb="FFFAB6B8"/>
        <bgColor rgb="FFFAB6B8"/>
      </patternFill>
    </fill>
    <fill>
      <patternFill patternType="solid">
        <fgColor rgb="FFFFEB84"/>
        <bgColor rgb="FFFFEB84"/>
      </patternFill>
    </fill>
    <fill>
      <patternFill patternType="solid">
        <fgColor rgb="FFFBE6E9"/>
        <bgColor rgb="FFFBE6E9"/>
      </patternFill>
    </fill>
    <fill>
      <patternFill patternType="solid">
        <fgColor rgb="FFFABABD"/>
        <bgColor rgb="FFFABABD"/>
      </patternFill>
    </fill>
    <fill>
      <patternFill patternType="solid">
        <fgColor rgb="FFD9EEE1"/>
        <bgColor rgb="FFD9EEE1"/>
      </patternFill>
    </fill>
    <fill>
      <patternFill patternType="solid">
        <fgColor rgb="FFFCEA83"/>
        <bgColor rgb="FFFCEA83"/>
      </patternFill>
    </fill>
    <fill>
      <patternFill patternType="solid">
        <fgColor rgb="FFFAC3C6"/>
        <bgColor rgb="FFFAC3C6"/>
      </patternFill>
    </fill>
    <fill>
      <patternFill patternType="solid">
        <fgColor rgb="FFFBE5E8"/>
        <bgColor rgb="FFFBE5E8"/>
      </patternFill>
    </fill>
    <fill>
      <patternFill patternType="solid">
        <fgColor rgb="FFFBDADD"/>
        <bgColor rgb="FFFBDADD"/>
      </patternFill>
    </fill>
    <fill>
      <patternFill patternType="solid">
        <fgColor rgb="FFFABFC2"/>
        <bgColor rgb="FFFABFC2"/>
      </patternFill>
    </fill>
    <fill>
      <patternFill patternType="solid">
        <fgColor rgb="FFFBE4E7"/>
        <bgColor rgb="FFFBE4E7"/>
      </patternFill>
    </fill>
    <fill>
      <patternFill patternType="solid">
        <fgColor rgb="FFFBEDF0"/>
        <bgColor rgb="FFFBEDF0"/>
      </patternFill>
    </fill>
    <fill>
      <patternFill patternType="solid">
        <fgColor rgb="FFE3E282"/>
        <bgColor rgb="FFE3E282"/>
      </patternFill>
    </fill>
    <fill>
      <patternFill patternType="solid">
        <fgColor rgb="FFF88B8D"/>
        <bgColor rgb="FFF88B8D"/>
      </patternFill>
    </fill>
    <fill>
      <patternFill patternType="solid">
        <fgColor rgb="FFF87476"/>
        <bgColor rgb="FFF87476"/>
      </patternFill>
    </fill>
    <fill>
      <patternFill patternType="solid">
        <fgColor rgb="FFF3F9F8"/>
        <bgColor rgb="FFF3F9F8"/>
      </patternFill>
    </fill>
    <fill>
      <patternFill patternType="solid">
        <fgColor rgb="FF87CD9A"/>
        <bgColor rgb="FF87CD9A"/>
      </patternFill>
    </fill>
    <fill>
      <patternFill patternType="solid">
        <fgColor rgb="FFFEC87E"/>
        <bgColor rgb="FFFEC87E"/>
      </patternFill>
    </fill>
    <fill>
      <patternFill patternType="solid">
        <fgColor rgb="FFFBDEE1"/>
        <bgColor rgb="FFFBDEE1"/>
      </patternFill>
    </fill>
    <fill>
      <patternFill patternType="solid">
        <fgColor rgb="FFF88284"/>
        <bgColor rgb="FFF88284"/>
      </patternFill>
    </fill>
    <fill>
      <patternFill patternType="solid">
        <fgColor rgb="FFF98F91"/>
        <bgColor rgb="FFF98F91"/>
      </patternFill>
    </fill>
    <fill>
      <patternFill patternType="solid">
        <fgColor rgb="FFF8898B"/>
        <bgColor rgb="FFF8898B"/>
      </patternFill>
    </fill>
    <fill>
      <patternFill patternType="solid">
        <fgColor rgb="FFD6EDDE"/>
        <bgColor rgb="FFD6EDDE"/>
      </patternFill>
    </fill>
    <fill>
      <patternFill patternType="solid">
        <fgColor rgb="FFFED17F"/>
        <bgColor rgb="FFFED17F"/>
      </patternFill>
    </fill>
    <fill>
      <patternFill patternType="solid">
        <fgColor rgb="FFFACBCD"/>
        <bgColor rgb="FFFACBCD"/>
      </patternFill>
    </fill>
    <fill>
      <patternFill patternType="solid">
        <fgColor rgb="FFDFE282"/>
        <bgColor rgb="FFDFE282"/>
      </patternFill>
    </fill>
    <fill>
      <patternFill patternType="solid">
        <fgColor rgb="FFEBF6F1"/>
        <bgColor rgb="FFEBF6F1"/>
      </patternFill>
    </fill>
    <fill>
      <patternFill patternType="solid">
        <fgColor rgb="FFBEE3C9"/>
        <bgColor rgb="FFBEE3C9"/>
      </patternFill>
    </fill>
    <fill>
      <patternFill patternType="solid">
        <fgColor rgb="FFB8E1C5"/>
        <bgColor rgb="FFB8E1C5"/>
      </patternFill>
    </fill>
    <fill>
      <patternFill patternType="solid">
        <fgColor rgb="FFB5E0C2"/>
        <bgColor rgb="FFB5E0C2"/>
      </patternFill>
    </fill>
    <fill>
      <patternFill patternType="solid">
        <fgColor rgb="FFF9AFB2"/>
        <bgColor rgb="FFF9AFB2"/>
      </patternFill>
    </fill>
    <fill>
      <patternFill patternType="solid">
        <fgColor rgb="FFF4F9F9"/>
        <bgColor rgb="FFF4F9F9"/>
      </patternFill>
    </fill>
    <fill>
      <patternFill patternType="solid">
        <fgColor rgb="FF4F81BD"/>
        <bgColor rgb="FF4F81BD"/>
      </patternFill>
    </fill>
    <fill>
      <patternFill patternType="solid">
        <fgColor rgb="FFF9A5A7"/>
        <bgColor rgb="FFF9A5A7"/>
      </patternFill>
    </fill>
    <fill>
      <patternFill patternType="solid">
        <fgColor rgb="FFA3D8B3"/>
        <bgColor rgb="FFA3D8B3"/>
      </patternFill>
    </fill>
    <fill>
      <patternFill patternType="solid">
        <fgColor rgb="FFA3D8B2"/>
        <bgColor rgb="FFA3D8B2"/>
      </patternFill>
    </fill>
    <fill>
      <patternFill patternType="solid">
        <fgColor rgb="FF97D3A8"/>
        <bgColor rgb="FF97D3A8"/>
      </patternFill>
    </fill>
    <fill>
      <patternFill patternType="solid">
        <fgColor rgb="FFB5DFC2"/>
        <bgColor rgb="FFB5DFC2"/>
      </patternFill>
    </fill>
    <fill>
      <patternFill patternType="solid">
        <fgColor rgb="FFCFEAD9"/>
        <bgColor rgb="FFCFEAD9"/>
      </patternFill>
    </fill>
    <fill>
      <patternFill patternType="solid">
        <fgColor rgb="FFFAB2B5"/>
        <bgColor rgb="FFFAB2B5"/>
      </patternFill>
    </fill>
    <fill>
      <patternFill patternType="solid">
        <fgColor rgb="FFFABEC1"/>
        <bgColor rgb="FFFABEC1"/>
      </patternFill>
    </fill>
    <fill>
      <patternFill patternType="solid">
        <fgColor rgb="FFFBDCDF"/>
        <bgColor rgb="FFFBDCDF"/>
      </patternFill>
    </fill>
    <fill>
      <patternFill patternType="solid">
        <fgColor rgb="FFFBE9EC"/>
        <bgColor rgb="FFFBE9EC"/>
      </patternFill>
    </fill>
    <fill>
      <patternFill patternType="solid">
        <fgColor rgb="FFFBE4E6"/>
        <bgColor rgb="FFFBE4E6"/>
      </patternFill>
    </fill>
    <fill>
      <patternFill patternType="solid">
        <fgColor rgb="FFFCFCFF"/>
        <bgColor rgb="FFFCFCFF"/>
      </patternFill>
    </fill>
    <fill>
      <patternFill patternType="solid">
        <fgColor rgb="FFB1D47F"/>
        <bgColor rgb="FFB1D47F"/>
      </patternFill>
    </fill>
    <fill>
      <patternFill patternType="solid">
        <fgColor rgb="FFFECB7E"/>
        <bgColor rgb="FFFECB7E"/>
      </patternFill>
    </fill>
    <fill>
      <patternFill patternType="solid">
        <fgColor rgb="FF002060"/>
        <bgColor rgb="FF002060"/>
      </patternFill>
    </fill>
    <fill>
      <patternFill patternType="solid">
        <fgColor rgb="FFF4C5C1"/>
        <bgColor rgb="FFF4C5C1"/>
      </patternFill>
    </fill>
    <fill>
      <patternFill patternType="solid">
        <fgColor rgb="FFE2F4EB"/>
        <bgColor rgb="FFE2F4EB"/>
      </patternFill>
    </fill>
    <fill>
      <patternFill patternType="solid">
        <fgColor rgb="FF999999"/>
        <bgColor rgb="FF999999"/>
      </patternFill>
    </fill>
    <fill>
      <patternFill patternType="solid">
        <fgColor rgb="FFC5E8D7"/>
        <bgColor rgb="FFC5E8D7"/>
      </patternFill>
    </fill>
    <fill>
      <patternFill patternType="solid">
        <fgColor rgb="FFF7D9D6"/>
        <bgColor rgb="FFF7D9D6"/>
      </patternFill>
    </fill>
    <fill>
      <patternFill patternType="solid">
        <fgColor rgb="FF6FC59B"/>
        <bgColor rgb="FF6FC59B"/>
      </patternFill>
    </fill>
    <fill>
      <patternFill patternType="solid">
        <fgColor rgb="FFF6D3D0"/>
        <bgColor rgb="FFF6D3D0"/>
      </patternFill>
    </fill>
    <fill>
      <patternFill patternType="solid">
        <fgColor rgb="FFFFD666"/>
        <bgColor rgb="FFFFD666"/>
      </patternFill>
    </fill>
    <fill>
      <patternFill patternType="solid">
        <fgColor rgb="FFF4CAC6"/>
        <bgColor rgb="FFF4CAC6"/>
      </patternFill>
    </fill>
    <fill>
      <patternFill patternType="solid">
        <fgColor rgb="FFFEF9F9"/>
        <bgColor rgb="FFFEF9F9"/>
      </patternFill>
    </fill>
    <fill>
      <patternFill patternType="solid">
        <fgColor rgb="FFFBEBE9"/>
        <bgColor rgb="FFFBEBE9"/>
      </patternFill>
    </fill>
    <fill>
      <patternFill patternType="solid">
        <fgColor rgb="FFD5EEE2"/>
        <bgColor rgb="FFD5EEE2"/>
      </patternFill>
    </fill>
    <fill>
      <patternFill patternType="solid">
        <fgColor rgb="FFBFE5D2"/>
        <bgColor rgb="FFBFE5D2"/>
      </patternFill>
    </fill>
    <fill>
      <patternFill patternType="solid">
        <fgColor rgb="FFE88A82"/>
        <bgColor rgb="FFE88A82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3" fillId="0" borderId="0" xfId="0" applyFont="1"/>
    <xf numFmtId="1" fontId="4" fillId="0" borderId="1" xfId="0" applyNumberFormat="1" applyFont="1" applyBorder="1" applyAlignment="1">
      <alignment horizontal="right"/>
    </xf>
    <xf numFmtId="0" fontId="5" fillId="0" borderId="0" xfId="0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6" fillId="5" borderId="2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6" fillId="6" borderId="2" xfId="0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0" fontId="6" fillId="9" borderId="2" xfId="0" applyFont="1" applyFill="1" applyBorder="1" applyAlignment="1">
      <alignment horizontal="right"/>
    </xf>
    <xf numFmtId="0" fontId="5" fillId="10" borderId="0" xfId="0" applyFont="1" applyFill="1" applyAlignment="1">
      <alignment horizontal="right"/>
    </xf>
    <xf numFmtId="0" fontId="5" fillId="11" borderId="0" xfId="0" applyFont="1" applyFill="1" applyAlignment="1">
      <alignment horizontal="right"/>
    </xf>
    <xf numFmtId="0" fontId="6" fillId="12" borderId="2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5" fillId="14" borderId="0" xfId="0" applyFont="1" applyFill="1" applyAlignment="1">
      <alignment horizontal="right"/>
    </xf>
    <xf numFmtId="0" fontId="6" fillId="15" borderId="2" xfId="0" applyFont="1" applyFill="1" applyBorder="1" applyAlignment="1">
      <alignment horizontal="right"/>
    </xf>
    <xf numFmtId="0" fontId="5" fillId="0" borderId="3" xfId="0" applyFont="1" applyBorder="1"/>
    <xf numFmtId="0" fontId="5" fillId="16" borderId="3" xfId="0" applyFont="1" applyFill="1" applyBorder="1" applyAlignment="1">
      <alignment horizontal="right"/>
    </xf>
    <xf numFmtId="0" fontId="5" fillId="17" borderId="0" xfId="0" applyFont="1" applyFill="1" applyAlignment="1">
      <alignment horizontal="right"/>
    </xf>
    <xf numFmtId="0" fontId="6" fillId="18" borderId="2" xfId="0" applyFont="1" applyFill="1" applyBorder="1" applyAlignment="1">
      <alignment horizontal="right"/>
    </xf>
    <xf numFmtId="0" fontId="6" fillId="19" borderId="2" xfId="0" applyFont="1" applyFill="1" applyBorder="1" applyAlignment="1">
      <alignment horizontal="right"/>
    </xf>
    <xf numFmtId="0" fontId="5" fillId="20" borderId="0" xfId="0" applyFont="1" applyFill="1" applyAlignment="1">
      <alignment horizontal="right"/>
    </xf>
    <xf numFmtId="0" fontId="5" fillId="21" borderId="3" xfId="0" applyFont="1" applyFill="1" applyBorder="1" applyAlignment="1">
      <alignment horizontal="right"/>
    </xf>
    <xf numFmtId="0" fontId="6" fillId="22" borderId="4" xfId="0" applyFont="1" applyFill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1" fontId="3" fillId="0" borderId="5" xfId="0" applyNumberFormat="1" applyFont="1" applyBorder="1"/>
    <xf numFmtId="0" fontId="2" fillId="2" borderId="6" xfId="0" applyFont="1" applyFill="1" applyBorder="1"/>
    <xf numFmtId="1" fontId="2" fillId="2" borderId="6" xfId="0" applyNumberFormat="1" applyFont="1" applyFill="1" applyBorder="1"/>
    <xf numFmtId="164" fontId="5" fillId="23" borderId="0" xfId="0" applyNumberFormat="1" applyFont="1" applyFill="1" applyAlignment="1">
      <alignment horizontal="right"/>
    </xf>
    <xf numFmtId="164" fontId="3" fillId="0" borderId="0" xfId="0" applyNumberFormat="1" applyFont="1"/>
    <xf numFmtId="10" fontId="3" fillId="0" borderId="0" xfId="0" applyNumberFormat="1" applyFont="1"/>
    <xf numFmtId="164" fontId="5" fillId="24" borderId="0" xfId="0" applyNumberFormat="1" applyFont="1" applyFill="1" applyAlignment="1">
      <alignment horizontal="right"/>
    </xf>
    <xf numFmtId="164" fontId="5" fillId="18" borderId="0" xfId="0" applyNumberFormat="1" applyFont="1" applyFill="1" applyAlignment="1">
      <alignment horizontal="right"/>
    </xf>
    <xf numFmtId="164" fontId="5" fillId="25" borderId="0" xfId="0" applyNumberFormat="1" applyFont="1" applyFill="1" applyAlignment="1">
      <alignment horizontal="right"/>
    </xf>
    <xf numFmtId="164" fontId="5" fillId="6" borderId="0" xfId="0" applyNumberFormat="1" applyFont="1" applyFill="1" applyAlignment="1">
      <alignment horizontal="right"/>
    </xf>
    <xf numFmtId="164" fontId="5" fillId="26" borderId="0" xfId="0" applyNumberFormat="1" applyFont="1" applyFill="1" applyAlignment="1">
      <alignment horizontal="right"/>
    </xf>
    <xf numFmtId="164" fontId="5" fillId="27" borderId="0" xfId="0" applyNumberFormat="1" applyFont="1" applyFill="1" applyAlignment="1">
      <alignment horizontal="right"/>
    </xf>
    <xf numFmtId="164" fontId="5" fillId="15" borderId="0" xfId="0" applyNumberFormat="1" applyFont="1" applyFill="1" applyAlignment="1">
      <alignment horizontal="right"/>
    </xf>
    <xf numFmtId="164" fontId="5" fillId="28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10" fontId="3" fillId="0" borderId="3" xfId="0" applyNumberFormat="1" applyFont="1" applyBorder="1"/>
    <xf numFmtId="164" fontId="3" fillId="0" borderId="5" xfId="0" applyNumberFormat="1" applyFont="1" applyBorder="1"/>
    <xf numFmtId="0" fontId="7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8" xfId="0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10" fontId="3" fillId="0" borderId="5" xfId="0" applyNumberFormat="1" applyFont="1" applyBorder="1"/>
    <xf numFmtId="0" fontId="8" fillId="29" borderId="7" xfId="0" applyFont="1" applyFill="1" applyBorder="1" applyAlignment="1">
      <alignment horizontal="center" vertical="top"/>
    </xf>
    <xf numFmtId="0" fontId="8" fillId="29" borderId="1" xfId="0" applyFont="1" applyFill="1" applyBorder="1" applyAlignment="1">
      <alignment horizontal="center" vertical="top"/>
    </xf>
    <xf numFmtId="0" fontId="9" fillId="30" borderId="0" xfId="0" applyFont="1" applyFill="1" applyAlignment="1">
      <alignment horizontal="left"/>
    </xf>
    <xf numFmtId="0" fontId="9" fillId="31" borderId="0" xfId="0" applyFont="1" applyFill="1" applyAlignment="1">
      <alignment horizontal="right"/>
    </xf>
    <xf numFmtId="0" fontId="9" fillId="32" borderId="0" xfId="0" applyFont="1" applyFill="1" applyAlignment="1">
      <alignment horizontal="right"/>
    </xf>
    <xf numFmtId="0" fontId="9" fillId="33" borderId="0" xfId="0" applyFont="1" applyFill="1" applyAlignment="1">
      <alignment horizontal="right"/>
    </xf>
    <xf numFmtId="0" fontId="9" fillId="34" borderId="0" xfId="0" applyFont="1" applyFill="1" applyAlignment="1">
      <alignment horizontal="right"/>
    </xf>
    <xf numFmtId="0" fontId="9" fillId="35" borderId="0" xfId="0" applyFont="1" applyFill="1" applyAlignment="1">
      <alignment horizontal="right"/>
    </xf>
    <xf numFmtId="0" fontId="9" fillId="36" borderId="0" xfId="0" applyFont="1" applyFill="1" applyAlignment="1">
      <alignment horizontal="right"/>
    </xf>
    <xf numFmtId="0" fontId="9" fillId="37" borderId="0" xfId="0" applyFont="1" applyFill="1" applyAlignment="1">
      <alignment horizontal="right"/>
    </xf>
    <xf numFmtId="0" fontId="9" fillId="38" borderId="0" xfId="0" applyFont="1" applyFill="1" applyAlignment="1">
      <alignment horizontal="right"/>
    </xf>
    <xf numFmtId="0" fontId="9" fillId="39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0" fontId="9" fillId="43" borderId="0" xfId="0" applyFont="1" applyFill="1" applyAlignment="1">
      <alignment horizontal="right"/>
    </xf>
    <xf numFmtId="0" fontId="9" fillId="44" borderId="0" xfId="0" applyFont="1" applyFill="1" applyAlignment="1">
      <alignment horizontal="right"/>
    </xf>
    <xf numFmtId="0" fontId="9" fillId="45" borderId="0" xfId="0" applyFont="1" applyFill="1" applyAlignment="1">
      <alignment horizontal="right"/>
    </xf>
    <xf numFmtId="0" fontId="9" fillId="46" borderId="0" xfId="0" applyFont="1" applyFill="1" applyAlignment="1">
      <alignment horizontal="right"/>
    </xf>
    <xf numFmtId="0" fontId="9" fillId="47" borderId="0" xfId="0" applyFont="1" applyFill="1" applyAlignment="1">
      <alignment horizontal="right"/>
    </xf>
    <xf numFmtId="0" fontId="9" fillId="48" borderId="0" xfId="0" applyFont="1" applyFill="1" applyAlignment="1">
      <alignment horizontal="right"/>
    </xf>
    <xf numFmtId="0" fontId="9" fillId="49" borderId="0" xfId="0" applyFont="1" applyFill="1" applyAlignment="1">
      <alignment horizontal="right"/>
    </xf>
    <xf numFmtId="0" fontId="9" fillId="50" borderId="0" xfId="0" applyFont="1" applyFill="1" applyAlignment="1">
      <alignment horizontal="right"/>
    </xf>
    <xf numFmtId="0" fontId="9" fillId="51" borderId="0" xfId="0" applyFont="1" applyFill="1" applyAlignment="1">
      <alignment horizontal="right"/>
    </xf>
    <xf numFmtId="0" fontId="9" fillId="52" borderId="0" xfId="0" applyFont="1" applyFill="1" applyAlignment="1">
      <alignment horizontal="right"/>
    </xf>
    <xf numFmtId="0" fontId="9" fillId="53" borderId="0" xfId="0" applyFont="1" applyFill="1" applyAlignment="1">
      <alignment horizontal="right"/>
    </xf>
    <xf numFmtId="0" fontId="9" fillId="54" borderId="0" xfId="0" applyFont="1" applyFill="1" applyAlignment="1">
      <alignment horizontal="right"/>
    </xf>
    <xf numFmtId="0" fontId="9" fillId="55" borderId="0" xfId="0" applyFont="1" applyFill="1" applyAlignment="1">
      <alignment horizontal="right"/>
    </xf>
    <xf numFmtId="0" fontId="9" fillId="56" borderId="0" xfId="0" applyFont="1" applyFill="1" applyAlignment="1">
      <alignment horizontal="right"/>
    </xf>
    <xf numFmtId="0" fontId="9" fillId="57" borderId="0" xfId="0" applyFont="1" applyFill="1" applyAlignment="1">
      <alignment horizontal="right"/>
    </xf>
    <xf numFmtId="0" fontId="9" fillId="58" borderId="0" xfId="0" applyFont="1" applyFill="1" applyAlignment="1">
      <alignment horizontal="right"/>
    </xf>
    <xf numFmtId="0" fontId="9" fillId="59" borderId="0" xfId="0" applyFont="1" applyFill="1" applyAlignment="1">
      <alignment horizontal="right"/>
    </xf>
    <xf numFmtId="0" fontId="9" fillId="60" borderId="0" xfId="0" applyFont="1" applyFill="1" applyAlignment="1">
      <alignment horizontal="right"/>
    </xf>
    <xf numFmtId="0" fontId="9" fillId="61" borderId="0" xfId="0" applyFont="1" applyFill="1" applyAlignment="1">
      <alignment horizontal="right"/>
    </xf>
    <xf numFmtId="0" fontId="9" fillId="62" borderId="0" xfId="0" applyFont="1" applyFill="1" applyAlignment="1">
      <alignment horizontal="right"/>
    </xf>
    <xf numFmtId="0" fontId="9" fillId="63" borderId="0" xfId="0" applyFont="1" applyFill="1" applyAlignment="1">
      <alignment horizontal="right"/>
    </xf>
    <xf numFmtId="0" fontId="9" fillId="64" borderId="0" xfId="0" applyFont="1" applyFill="1" applyAlignment="1">
      <alignment horizontal="right"/>
    </xf>
    <xf numFmtId="0" fontId="9" fillId="65" borderId="0" xfId="0" applyFont="1" applyFill="1" applyAlignment="1">
      <alignment horizontal="right"/>
    </xf>
    <xf numFmtId="0" fontId="9" fillId="66" borderId="0" xfId="0" applyFont="1" applyFill="1" applyAlignment="1">
      <alignment horizontal="right"/>
    </xf>
    <xf numFmtId="0" fontId="9" fillId="67" borderId="0" xfId="0" applyFont="1" applyFill="1" applyAlignment="1">
      <alignment horizontal="right"/>
    </xf>
    <xf numFmtId="0" fontId="9" fillId="68" borderId="0" xfId="0" applyFont="1" applyFill="1" applyAlignment="1">
      <alignment horizontal="right"/>
    </xf>
    <xf numFmtId="0" fontId="9" fillId="69" borderId="0" xfId="0" applyFont="1" applyFill="1" applyAlignment="1">
      <alignment horizontal="right"/>
    </xf>
    <xf numFmtId="0" fontId="9" fillId="70" borderId="0" xfId="0" applyFont="1" applyFill="1" applyAlignment="1">
      <alignment horizontal="right"/>
    </xf>
    <xf numFmtId="0" fontId="9" fillId="71" borderId="0" xfId="0" applyFont="1" applyFill="1" applyAlignment="1">
      <alignment horizontal="right"/>
    </xf>
    <xf numFmtId="0" fontId="9" fillId="72" borderId="0" xfId="0" applyFont="1" applyFill="1" applyAlignment="1">
      <alignment horizontal="right"/>
    </xf>
    <xf numFmtId="0" fontId="9" fillId="73" borderId="0" xfId="0" applyFont="1" applyFill="1" applyAlignment="1">
      <alignment horizontal="right"/>
    </xf>
    <xf numFmtId="0" fontId="9" fillId="0" borderId="0" xfId="0" applyFont="1"/>
    <xf numFmtId="0" fontId="8" fillId="74" borderId="7" xfId="0" applyFont="1" applyFill="1" applyBorder="1" applyAlignment="1">
      <alignment horizontal="center" vertical="top"/>
    </xf>
    <xf numFmtId="0" fontId="8" fillId="74" borderId="1" xfId="0" applyFont="1" applyFill="1" applyBorder="1" applyAlignment="1">
      <alignment horizontal="center" vertical="top"/>
    </xf>
    <xf numFmtId="0" fontId="9" fillId="75" borderId="0" xfId="0" applyFont="1" applyFill="1" applyAlignment="1">
      <alignment horizontal="right"/>
    </xf>
    <xf numFmtId="0" fontId="9" fillId="76" borderId="0" xfId="0" applyFont="1" applyFill="1" applyAlignment="1">
      <alignment horizontal="right"/>
    </xf>
    <xf numFmtId="0" fontId="9" fillId="77" borderId="0" xfId="0" applyFont="1" applyFill="1" applyAlignment="1">
      <alignment horizontal="right"/>
    </xf>
    <xf numFmtId="0" fontId="9" fillId="78" borderId="0" xfId="0" applyFont="1" applyFill="1" applyAlignment="1">
      <alignment horizontal="right"/>
    </xf>
    <xf numFmtId="0" fontId="9" fillId="79" borderId="0" xfId="0" applyFont="1" applyFill="1" applyAlignment="1">
      <alignment horizontal="right"/>
    </xf>
    <xf numFmtId="0" fontId="9" fillId="80" borderId="0" xfId="0" applyFont="1" applyFill="1" applyAlignment="1">
      <alignment horizontal="right"/>
    </xf>
    <xf numFmtId="0" fontId="9" fillId="81" borderId="0" xfId="0" applyFont="1" applyFill="1" applyAlignment="1">
      <alignment horizontal="right"/>
    </xf>
    <xf numFmtId="0" fontId="9" fillId="82" borderId="0" xfId="0" applyFont="1" applyFill="1" applyAlignment="1">
      <alignment horizontal="right"/>
    </xf>
    <xf numFmtId="0" fontId="9" fillId="83" borderId="0" xfId="0" applyFont="1" applyFill="1" applyAlignment="1">
      <alignment horizontal="right"/>
    </xf>
    <xf numFmtId="0" fontId="9" fillId="84" borderId="0" xfId="0" applyFont="1" applyFill="1" applyAlignment="1">
      <alignment horizontal="right"/>
    </xf>
    <xf numFmtId="0" fontId="9" fillId="85" borderId="0" xfId="0" applyFont="1" applyFill="1" applyAlignment="1">
      <alignment horizontal="right"/>
    </xf>
    <xf numFmtId="0" fontId="9" fillId="86" borderId="0" xfId="0" applyFont="1" applyFill="1" applyAlignment="1">
      <alignment horizontal="right"/>
    </xf>
    <xf numFmtId="0" fontId="9" fillId="87" borderId="0" xfId="0" applyFont="1" applyFill="1" applyAlignment="1">
      <alignment horizontal="right"/>
    </xf>
    <xf numFmtId="0" fontId="9" fillId="88" borderId="0" xfId="0" applyFont="1" applyFill="1" applyAlignment="1">
      <alignment horizontal="right"/>
    </xf>
    <xf numFmtId="4" fontId="7" fillId="18" borderId="0" xfId="0" applyNumberFormat="1" applyFont="1" applyFill="1"/>
    <xf numFmtId="0" fontId="7" fillId="18" borderId="0" xfId="0" applyFont="1" applyFill="1"/>
    <xf numFmtId="0" fontId="10" fillId="89" borderId="0" xfId="0" applyFont="1" applyFill="1"/>
    <xf numFmtId="9" fontId="7" fillId="18" borderId="0" xfId="0" applyNumberFormat="1" applyFont="1" applyFill="1"/>
    <xf numFmtId="0" fontId="7" fillId="0" borderId="0" xfId="0" applyFont="1"/>
    <xf numFmtId="0" fontId="11" fillId="89" borderId="0" xfId="0" applyFont="1" applyFill="1"/>
    <xf numFmtId="0" fontId="12" fillId="0" borderId="7" xfId="0" applyFont="1" applyBorder="1"/>
    <xf numFmtId="1" fontId="1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165" fontId="12" fillId="0" borderId="7" xfId="0" applyNumberFormat="1" applyFont="1" applyBorder="1" applyAlignment="1">
      <alignment horizontal="right"/>
    </xf>
    <xf numFmtId="0" fontId="13" fillId="18" borderId="7" xfId="0" applyFont="1" applyFill="1" applyBorder="1" applyAlignment="1">
      <alignment horizontal="right" wrapText="1"/>
    </xf>
    <xf numFmtId="10" fontId="7" fillId="0" borderId="0" xfId="0" applyNumberFormat="1" applyFont="1" applyAlignment="1">
      <alignment horizontal="right"/>
    </xf>
    <xf numFmtId="4" fontId="7" fillId="0" borderId="0" xfId="0" applyNumberFormat="1" applyFont="1"/>
    <xf numFmtId="9" fontId="7" fillId="0" borderId="0" xfId="0" applyNumberFormat="1" applyFont="1"/>
    <xf numFmtId="9" fontId="12" fillId="0" borderId="7" xfId="0" applyNumberFormat="1" applyFont="1" applyBorder="1" applyAlignment="1">
      <alignment horizontal="right"/>
    </xf>
    <xf numFmtId="9" fontId="7" fillId="0" borderId="7" xfId="0" applyNumberFormat="1" applyFont="1" applyBorder="1" applyAlignment="1">
      <alignment horizontal="right"/>
    </xf>
    <xf numFmtId="10" fontId="7" fillId="0" borderId="7" xfId="0" applyNumberFormat="1" applyFont="1" applyBorder="1" applyAlignment="1">
      <alignment horizontal="right"/>
    </xf>
    <xf numFmtId="10" fontId="12" fillId="0" borderId="7" xfId="0" applyNumberFormat="1" applyFont="1" applyBorder="1" applyAlignment="1">
      <alignment horizontal="right"/>
    </xf>
    <xf numFmtId="164" fontId="12" fillId="0" borderId="7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164" fontId="14" fillId="0" borderId="0" xfId="0" applyNumberFormat="1" applyFont="1"/>
    <xf numFmtId="1" fontId="14" fillId="0" borderId="0" xfId="0" applyNumberFormat="1" applyFont="1"/>
    <xf numFmtId="165" fontId="3" fillId="0" borderId="0" xfId="0" applyNumberFormat="1" applyFont="1"/>
    <xf numFmtId="164" fontId="14" fillId="0" borderId="3" xfId="0" applyNumberFormat="1" applyFont="1" applyBorder="1"/>
    <xf numFmtId="165" fontId="3" fillId="0" borderId="3" xfId="0" applyNumberFormat="1" applyFont="1" applyBorder="1"/>
    <xf numFmtId="1" fontId="14" fillId="0" borderId="3" xfId="0" applyNumberFormat="1" applyFont="1" applyBorder="1"/>
    <xf numFmtId="10" fontId="14" fillId="0" borderId="3" xfId="0" applyNumberFormat="1" applyFont="1" applyBorder="1"/>
    <xf numFmtId="1" fontId="3" fillId="0" borderId="3" xfId="0" applyNumberFormat="1" applyFont="1" applyBorder="1"/>
    <xf numFmtId="0" fontId="8" fillId="2" borderId="7" xfId="0" applyFont="1" applyFill="1" applyBorder="1"/>
    <xf numFmtId="0" fontId="11" fillId="89" borderId="0" xfId="0" applyFont="1" applyFill="1" applyAlignment="1">
      <alignment horizontal="center"/>
    </xf>
    <xf numFmtId="0" fontId="7" fillId="18" borderId="7" xfId="0" applyFont="1" applyFill="1" applyBorder="1"/>
    <xf numFmtId="9" fontId="7" fillId="90" borderId="7" xfId="0" applyNumberFormat="1" applyFont="1" applyFill="1" applyBorder="1" applyAlignment="1">
      <alignment horizontal="right"/>
    </xf>
    <xf numFmtId="9" fontId="7" fillId="91" borderId="7" xfId="0" applyNumberFormat="1" applyFont="1" applyFill="1" applyBorder="1" applyAlignment="1">
      <alignment horizontal="right"/>
    </xf>
    <xf numFmtId="9" fontId="7" fillId="27" borderId="7" xfId="0" applyNumberFormat="1" applyFont="1" applyFill="1" applyBorder="1" applyAlignment="1">
      <alignment horizontal="right"/>
    </xf>
    <xf numFmtId="9" fontId="7" fillId="18" borderId="7" xfId="0" applyNumberFormat="1" applyFont="1" applyFill="1" applyBorder="1" applyAlignment="1">
      <alignment horizontal="right"/>
    </xf>
    <xf numFmtId="165" fontId="12" fillId="27" borderId="7" xfId="0" applyNumberFormat="1" applyFont="1" applyFill="1" applyBorder="1" applyAlignment="1">
      <alignment horizontal="center"/>
    </xf>
    <xf numFmtId="165" fontId="12" fillId="18" borderId="7" xfId="0" applyNumberFormat="1" applyFont="1" applyFill="1" applyBorder="1" applyAlignment="1">
      <alignment horizontal="center"/>
    </xf>
    <xf numFmtId="165" fontId="12" fillId="6" borderId="7" xfId="0" applyNumberFormat="1" applyFont="1" applyFill="1" applyBorder="1" applyAlignment="1">
      <alignment horizontal="center"/>
    </xf>
    <xf numFmtId="165" fontId="15" fillId="92" borderId="10" xfId="0" applyNumberFormat="1" applyFont="1" applyFill="1" applyBorder="1" applyAlignment="1">
      <alignment horizontal="center" vertical="center"/>
    </xf>
    <xf numFmtId="9" fontId="7" fillId="93" borderId="7" xfId="0" applyNumberFormat="1" applyFont="1" applyFill="1" applyBorder="1" applyAlignment="1">
      <alignment horizontal="right"/>
    </xf>
    <xf numFmtId="9" fontId="7" fillId="94" borderId="7" xfId="0" applyNumberFormat="1" applyFont="1" applyFill="1" applyBorder="1" applyAlignment="1">
      <alignment horizontal="right"/>
    </xf>
    <xf numFmtId="0" fontId="16" fillId="0" borderId="11" xfId="0" applyFont="1" applyBorder="1"/>
    <xf numFmtId="0" fontId="7" fillId="0" borderId="7" xfId="0" applyFont="1" applyBorder="1"/>
    <xf numFmtId="164" fontId="7" fillId="95" borderId="7" xfId="0" applyNumberFormat="1" applyFont="1" applyFill="1" applyBorder="1" applyAlignment="1">
      <alignment horizontal="right"/>
    </xf>
    <xf numFmtId="164" fontId="7" fillId="27" borderId="7" xfId="0" applyNumberFormat="1" applyFont="1" applyFill="1" applyBorder="1" applyAlignment="1">
      <alignment horizontal="right"/>
    </xf>
    <xf numFmtId="164" fontId="7" fillId="96" borderId="7" xfId="0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3" fontId="12" fillId="97" borderId="7" xfId="0" applyNumberFormat="1" applyFont="1" applyFill="1" applyBorder="1" applyAlignment="1">
      <alignment horizontal="center"/>
    </xf>
    <xf numFmtId="1" fontId="12" fillId="27" borderId="7" xfId="0" applyNumberFormat="1" applyFont="1" applyFill="1" applyBorder="1" applyAlignment="1">
      <alignment horizontal="center"/>
    </xf>
    <xf numFmtId="0" fontId="16" fillId="0" borderId="2" xfId="0" applyFont="1" applyBorder="1"/>
    <xf numFmtId="9" fontId="3" fillId="0" borderId="0" xfId="0" applyNumberFormat="1" applyFont="1"/>
    <xf numFmtId="0" fontId="7" fillId="98" borderId="7" xfId="0" applyFont="1" applyFill="1" applyBorder="1" applyAlignment="1">
      <alignment horizontal="right"/>
    </xf>
    <xf numFmtId="0" fontId="7" fillId="6" borderId="7" xfId="0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2" fontId="3" fillId="0" borderId="0" xfId="0" applyNumberFormat="1" applyFont="1"/>
    <xf numFmtId="6" fontId="14" fillId="0" borderId="0" xfId="0" applyNumberFormat="1" applyFont="1"/>
    <xf numFmtId="166" fontId="14" fillId="0" borderId="0" xfId="0" applyNumberFormat="1" applyFont="1"/>
    <xf numFmtId="9" fontId="12" fillId="99" borderId="7" xfId="0" applyNumberFormat="1" applyFont="1" applyFill="1" applyBorder="1" applyAlignment="1">
      <alignment horizontal="right"/>
    </xf>
    <xf numFmtId="9" fontId="12" fillId="100" borderId="7" xfId="0" applyNumberFormat="1" applyFont="1" applyFill="1" applyBorder="1" applyAlignment="1">
      <alignment horizontal="right"/>
    </xf>
    <xf numFmtId="6" fontId="14" fillId="0" borderId="3" xfId="0" applyNumberFormat="1" applyFont="1" applyBorder="1"/>
    <xf numFmtId="166" fontId="14" fillId="0" borderId="3" xfId="0" applyNumberFormat="1" applyFont="1" applyBorder="1"/>
    <xf numFmtId="9" fontId="12" fillId="101" borderId="7" xfId="0" applyNumberFormat="1" applyFont="1" applyFill="1" applyBorder="1" applyAlignment="1">
      <alignment horizontal="right"/>
    </xf>
    <xf numFmtId="9" fontId="12" fillId="102" borderId="7" xfId="0" applyNumberFormat="1" applyFont="1" applyFill="1" applyBorder="1" applyAlignment="1">
      <alignment horizontal="right"/>
    </xf>
    <xf numFmtId="0" fontId="12" fillId="18" borderId="7" xfId="0" applyFont="1" applyFill="1" applyBorder="1"/>
    <xf numFmtId="0" fontId="12" fillId="18" borderId="7" xfId="0" applyFont="1" applyFill="1" applyBorder="1" applyAlignment="1">
      <alignment horizontal="right"/>
    </xf>
    <xf numFmtId="9" fontId="12" fillId="103" borderId="7" xfId="0" applyNumberFormat="1" applyFont="1" applyFill="1" applyBorder="1" applyAlignment="1">
      <alignment horizontal="right"/>
    </xf>
    <xf numFmtId="165" fontId="12" fillId="18" borderId="7" xfId="0" applyNumberFormat="1" applyFont="1" applyFill="1" applyBorder="1"/>
    <xf numFmtId="2" fontId="12" fillId="18" borderId="7" xfId="0" applyNumberFormat="1" applyFont="1" applyFill="1" applyBorder="1" applyAlignment="1">
      <alignment horizontal="right"/>
    </xf>
    <xf numFmtId="9" fontId="12" fillId="27" borderId="7" xfId="0" applyNumberFormat="1" applyFont="1" applyFill="1" applyBorder="1" applyAlignment="1">
      <alignment horizontal="right"/>
    </xf>
    <xf numFmtId="164" fontId="12" fillId="18" borderId="7" xfId="0" applyNumberFormat="1" applyFont="1" applyFill="1" applyBorder="1" applyAlignment="1">
      <alignment horizontal="right"/>
    </xf>
    <xf numFmtId="10" fontId="12" fillId="18" borderId="7" xfId="0" applyNumberFormat="1" applyFont="1" applyFill="1" applyBorder="1" applyAlignment="1">
      <alignment horizontal="right"/>
    </xf>
    <xf numFmtId="9" fontId="3" fillId="0" borderId="7" xfId="0" applyNumberFormat="1" applyFont="1" applyBorder="1"/>
    <xf numFmtId="9" fontId="12" fillId="18" borderId="7" xfId="0" applyNumberFormat="1" applyFont="1" applyFill="1" applyBorder="1" applyAlignment="1">
      <alignment horizontal="right"/>
    </xf>
    <xf numFmtId="3" fontId="12" fillId="18" borderId="7" xfId="0" applyNumberFormat="1" applyFont="1" applyFill="1" applyBorder="1" applyAlignment="1">
      <alignment horizontal="right"/>
    </xf>
    <xf numFmtId="165" fontId="12" fillId="18" borderId="0" xfId="0" applyNumberFormat="1" applyFont="1" applyFill="1"/>
    <xf numFmtId="164" fontId="12" fillId="18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Companies'!$C$5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0AEF-4BDE-97EB-B3E111706A1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0AEF-4BDE-97EB-B3E111706A1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0AEF-4BDE-97EB-B3E111706A1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0AEF-4BDE-97EB-B3E111706A17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0AEF-4BDE-97EB-B3E111706A1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0AEF-4BDE-97EB-B3E111706A17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0AEF-4BDE-97EB-B3E111706A17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0AEF-4BDE-97EB-B3E111706A17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0AEF-4BDE-97EB-B3E111706A17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0AEF-4BDE-97EB-B3E111706A17}"/>
              </c:ext>
            </c:extLst>
          </c:dPt>
          <c:cat>
            <c:strRef>
              <c:f>'Housing Finance Companies'!$B$6:$B$15</c:f>
              <c:strCache>
                <c:ptCount val="10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  <c:pt idx="9">
                  <c:v>OTHER_11</c:v>
                </c:pt>
              </c:strCache>
            </c:strRef>
          </c:cat>
          <c:val>
            <c:numRef>
              <c:f>'Housing Finance Companies'!$C$6:$C$15</c:f>
              <c:numCache>
                <c:formatCode>0</c:formatCode>
                <c:ptCount val="10"/>
                <c:pt idx="0">
                  <c:v>94716.155624999999</c:v>
                </c:pt>
                <c:pt idx="1">
                  <c:v>29428.365150000001</c:v>
                </c:pt>
                <c:pt idx="2">
                  <c:v>20496.691523500001</c:v>
                </c:pt>
                <c:pt idx="3">
                  <c:v>18583.5781943</c:v>
                </c:pt>
                <c:pt idx="4">
                  <c:v>15305.1666983</c:v>
                </c:pt>
                <c:pt idx="5">
                  <c:v>14005.774590000001</c:v>
                </c:pt>
                <c:pt idx="6">
                  <c:v>11511.92</c:v>
                </c:pt>
                <c:pt idx="7">
                  <c:v>8162.3463300000003</c:v>
                </c:pt>
                <c:pt idx="8">
                  <c:v>8839.8079318</c:v>
                </c:pt>
                <c:pt idx="9" formatCode="General">
                  <c:v>14164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EF-4BDE-97EB-B3E111706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AUM_FY24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Companies'!$G$5</c:f>
              <c:strCache>
                <c:ptCount val="1"/>
                <c:pt idx="0">
                  <c:v>AUM_FY24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5E20-4989-AEEA-0241CA1E4653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5E20-4989-AEEA-0241CA1E4653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5E20-4989-AEEA-0241CA1E465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5E20-4989-AEEA-0241CA1E4653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5E20-4989-AEEA-0241CA1E4653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5E20-4989-AEEA-0241CA1E4653}"/>
              </c:ext>
            </c:extLst>
          </c:dPt>
          <c:cat>
            <c:strRef>
              <c:f>'Housing Finance Companies'!$F$6:$F$11</c:f>
              <c:strCache>
                <c:ptCount val="6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</c:strCache>
            </c:strRef>
          </c:cat>
          <c:val>
            <c:numRef>
              <c:f>'Housing Finance Companies'!$G$6:$G$11</c:f>
              <c:numCache>
                <c:formatCode>General</c:formatCode>
                <c:ptCount val="6"/>
                <c:pt idx="0">
                  <c:v>91370</c:v>
                </c:pt>
                <c:pt idx="1">
                  <c:v>286800</c:v>
                </c:pt>
                <c:pt idx="2">
                  <c:v>71240</c:v>
                </c:pt>
                <c:pt idx="3">
                  <c:v>21100</c:v>
                </c:pt>
                <c:pt idx="4">
                  <c:v>6760</c:v>
                </c:pt>
                <c:pt idx="5">
                  <c:v>17310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20-4989-AEEA-0241CA1E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Sales_fy24 and PROFIT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Companies'!$K$5</c:f>
              <c:strCache>
                <c:ptCount val="1"/>
                <c:pt idx="0">
                  <c:v>Sales_fy24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Companies'!$K$6:$K$14</c:f>
              <c:numCache>
                <c:formatCode>General</c:formatCode>
                <c:ptCount val="9"/>
                <c:pt idx="0">
                  <c:v>7617</c:v>
                </c:pt>
                <c:pt idx="1">
                  <c:v>27067</c:v>
                </c:pt>
                <c:pt idx="2">
                  <c:v>7050</c:v>
                </c:pt>
                <c:pt idx="3">
                  <c:v>2587</c:v>
                </c:pt>
                <c:pt idx="4">
                  <c:v>1037</c:v>
                </c:pt>
                <c:pt idx="5">
                  <c:v>2018</c:v>
                </c:pt>
                <c:pt idx="6">
                  <c:v>8579</c:v>
                </c:pt>
                <c:pt idx="7">
                  <c:v>3525</c:v>
                </c:pt>
                <c:pt idx="8">
                  <c:v>1137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E5-4923-8722-F988FA743088}"/>
            </c:ext>
          </c:extLst>
        </c:ser>
        <c:ser>
          <c:idx val="1"/>
          <c:order val="1"/>
          <c:tx>
            <c:strRef>
              <c:f>'Housing Finance Companies'!$L$5</c:f>
              <c:strCache>
                <c:ptCount val="1"/>
                <c:pt idx="0">
                  <c:v>PROFIT 2024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Companies'!$L$6:$L$14</c:f>
              <c:numCache>
                <c:formatCode>General</c:formatCode>
                <c:ptCount val="9"/>
                <c:pt idx="0">
                  <c:v>1731</c:v>
                </c:pt>
                <c:pt idx="1">
                  <c:v>4760</c:v>
                </c:pt>
                <c:pt idx="2">
                  <c:v>1508</c:v>
                </c:pt>
                <c:pt idx="3">
                  <c:v>750</c:v>
                </c:pt>
                <c:pt idx="4">
                  <c:v>480</c:v>
                </c:pt>
                <c:pt idx="5">
                  <c:v>491</c:v>
                </c:pt>
                <c:pt idx="6">
                  <c:v>1214</c:v>
                </c:pt>
                <c:pt idx="7">
                  <c:v>751</c:v>
                </c:pt>
                <c:pt idx="8">
                  <c:v>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FE5-4923-8722-F988FA743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252971"/>
        <c:axId val="1194242771"/>
      </c:barChart>
      <c:catAx>
        <c:axId val="13082529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242771"/>
        <c:crosses val="autoZero"/>
        <c:auto val="1"/>
        <c:lblAlgn val="ctr"/>
        <c:lblOffset val="100"/>
        <c:noMultiLvlLbl val="1"/>
      </c:catAx>
      <c:valAx>
        <c:axId val="1194242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82529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Companies'!$C$33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FA-47C1-8C6E-391BB06961F2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FA-47C1-8C6E-391BB0696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Companies'!$B$34:$B$42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Companies'!$C$34:$C$42</c:f>
              <c:numCache>
                <c:formatCode>0.0%</c:formatCode>
                <c:ptCount val="9"/>
                <c:pt idx="0">
                  <c:v>0.22725482473414729</c:v>
                </c:pt>
                <c:pt idx="1">
                  <c:v>0.17585990320316253</c:v>
                </c:pt>
                <c:pt idx="2">
                  <c:v>0.21390070921985815</c:v>
                </c:pt>
                <c:pt idx="3">
                  <c:v>0.28991109393119441</c:v>
                </c:pt>
                <c:pt idx="4">
                  <c:v>0.46287367405978785</c:v>
                </c:pt>
                <c:pt idx="5">
                  <c:v>0.24331020812685827</c:v>
                </c:pt>
                <c:pt idx="6">
                  <c:v>0.14150833430469753</c:v>
                </c:pt>
                <c:pt idx="7">
                  <c:v>0.21304964539007093</c:v>
                </c:pt>
                <c:pt idx="8">
                  <c:v>0.26824978012313105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DFA-47C1-8C6E-391BB069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07224"/>
        <c:axId val="1513125194"/>
      </c:barChart>
      <c:catAx>
        <c:axId val="44670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3125194"/>
        <c:crosses val="autoZero"/>
        <c:auto val="1"/>
        <c:lblAlgn val="ctr"/>
        <c:lblOffset val="100"/>
        <c:noMultiLvlLbl val="1"/>
      </c:catAx>
      <c:valAx>
        <c:axId val="15131251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67072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4Y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Companies'!$G$33</c:f>
              <c:strCache>
                <c:ptCount val="1"/>
                <c:pt idx="0">
                  <c:v>GROWTH 4Y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1D-4FD7-AC3B-B9C776CD418D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1D-4FD7-AC3B-B9C776CD4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Companies'!$F$34:$F$42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Companies'!$G$34:$G$42</c:f>
              <c:numCache>
                <c:formatCode>0.0%</c:formatCode>
                <c:ptCount val="9"/>
                <c:pt idx="0">
                  <c:v>0.30299999999999999</c:v>
                </c:pt>
                <c:pt idx="1">
                  <c:v>8.4000000000000005E-2</c:v>
                </c:pt>
                <c:pt idx="2">
                  <c:v>-4.5999999999999999E-2</c:v>
                </c:pt>
                <c:pt idx="3">
                  <c:v>0.16500000000000001</c:v>
                </c:pt>
                <c:pt idx="4">
                  <c:v>0.253</c:v>
                </c:pt>
                <c:pt idx="5">
                  <c:v>0.223</c:v>
                </c:pt>
                <c:pt idx="7">
                  <c:v>0.14799999999999999</c:v>
                </c:pt>
                <c:pt idx="8">
                  <c:v>0.28799999999999998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21D-4FD7-AC3B-B9C776CD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214815"/>
        <c:axId val="1802785616"/>
      </c:barChart>
      <c:catAx>
        <c:axId val="263214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2785616"/>
        <c:crosses val="autoZero"/>
        <c:auto val="1"/>
        <c:lblAlgn val="ctr"/>
        <c:lblOffset val="100"/>
        <c:noMultiLvlLbl val="1"/>
      </c:catAx>
      <c:valAx>
        <c:axId val="1802785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 4Y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32148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GNPA%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Companies'!$K$33</c:f>
              <c:strCache>
                <c:ptCount val="1"/>
                <c:pt idx="0">
                  <c:v>GNPA%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79-4548-944E-B363610EFF7C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D79-4548-944E-B363610EFF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Companies'!$J$34:$J$42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Companies'!$K$34:$K$42</c:f>
              <c:numCache>
                <c:formatCode>0.00%</c:formatCode>
                <c:ptCount val="9"/>
                <c:pt idx="0">
                  <c:v>2.7000000000000001E-3</c:v>
                </c:pt>
                <c:pt idx="1">
                  <c:v>3.3099999999999997E-2</c:v>
                </c:pt>
                <c:pt idx="2">
                  <c:v>1.4999999999999999E-2</c:v>
                </c:pt>
                <c:pt idx="3">
                  <c:v>1.0999999999999999E-2</c:v>
                </c:pt>
                <c:pt idx="4">
                  <c:v>1.0699999999999999E-2</c:v>
                </c:pt>
                <c:pt idx="5">
                  <c:v>9.4000000000000004E-3</c:v>
                </c:pt>
                <c:pt idx="7">
                  <c:v>8.2000000000000007E-3</c:v>
                </c:pt>
                <c:pt idx="8">
                  <c:v>1.7000000000000001E-2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D79-4548-944E-B363610E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552987"/>
        <c:axId val="1395684913"/>
      </c:barChart>
      <c:catAx>
        <c:axId val="12295529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5684913"/>
        <c:crosses val="autoZero"/>
        <c:auto val="1"/>
        <c:lblAlgn val="ctr"/>
        <c:lblOffset val="100"/>
        <c:noMultiLvlLbl val="1"/>
      </c:catAx>
      <c:valAx>
        <c:axId val="1395684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GNPA%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295529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152400</xdr:colOff>
      <xdr:row>24</xdr:row>
      <xdr:rowOff>152400</xdr:rowOff>
    </xdr:from>
    <xdr:ext cx="3762375" cy="3762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DBC71468-03F5-4A55-830A-0FAC052C61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35100" y="4358640"/>
          <a:ext cx="3762375" cy="3762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32</xdr:row>
      <xdr:rowOff>76200</xdr:rowOff>
    </xdr:from>
    <xdr:ext cx="5886450" cy="58864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C25F7C6C-67C1-44AA-AA83-B7D058B0DA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5684520"/>
          <a:ext cx="5886450" cy="5886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17</xdr:row>
      <xdr:rowOff>123825</xdr:rowOff>
    </xdr:from>
    <xdr:ext cx="4057650" cy="25050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35BC3A6-6305-4C6E-BF92-966C050CD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400050</xdr:colOff>
      <xdr:row>17</xdr:row>
      <xdr:rowOff>123825</xdr:rowOff>
    </xdr:from>
    <xdr:ext cx="4057650" cy="2505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3772BB33-4C2C-43B1-9619-5D043E28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619125</xdr:colOff>
      <xdr:row>17</xdr:row>
      <xdr:rowOff>123825</xdr:rowOff>
    </xdr:from>
    <xdr:ext cx="4057650" cy="25050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9DBCC579-4F4C-46AC-8DA6-491DEB959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180975</xdr:colOff>
      <xdr:row>44</xdr:row>
      <xdr:rowOff>95250</xdr:rowOff>
    </xdr:from>
    <xdr:ext cx="4114800" cy="25050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CB7935A9-9820-4224-9E81-41E8E6E65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457200</xdr:colOff>
      <xdr:row>44</xdr:row>
      <xdr:rowOff>95250</xdr:rowOff>
    </xdr:from>
    <xdr:ext cx="4057650" cy="25050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A9917CC7-FB11-44AD-93BF-94E78B315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676275</xdr:colOff>
      <xdr:row>44</xdr:row>
      <xdr:rowOff>95250</xdr:rowOff>
    </xdr:from>
    <xdr:ext cx="4057650" cy="2505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A3BE146-963D-41ED-B001-5E7D363B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Housing%20Finance%20Company%20(3).xlsx" TargetMode="External"/><Relationship Id="rId1" Type="http://schemas.openxmlformats.org/officeDocument/2006/relationships/externalLinkPath" Target="/Users/profi/Downloads/Housing%20Finance%20Company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using Finance Companies"/>
      <sheetName val="Sheet2"/>
      <sheetName val="BAJAJHFL"/>
    </sheetNames>
    <sheetDataSet>
      <sheetData sheetId="0">
        <row r="5">
          <cell r="C5" t="str">
            <v>MARKETCAP</v>
          </cell>
          <cell r="G5" t="str">
            <v>AUM_FY24</v>
          </cell>
          <cell r="K5" t="str">
            <v>Sales_fy24</v>
          </cell>
          <cell r="L5" t="str">
            <v>PROFIT 2024</v>
          </cell>
        </row>
        <row r="6">
          <cell r="B6" t="str">
            <v>BAJAJHFL</v>
          </cell>
          <cell r="C6">
            <v>94716.155624999999</v>
          </cell>
          <cell r="F6" t="str">
            <v>BAJAJHFL</v>
          </cell>
          <cell r="G6">
            <v>91370</v>
          </cell>
          <cell r="J6" t="str">
            <v>BAJAJHFL</v>
          </cell>
          <cell r="K6">
            <v>7617</v>
          </cell>
          <cell r="L6">
            <v>1731</v>
          </cell>
        </row>
        <row r="7">
          <cell r="B7" t="str">
            <v>LICHSGFIN</v>
          </cell>
          <cell r="C7">
            <v>29428.365150000001</v>
          </cell>
          <cell r="F7" t="str">
            <v>LICHSGFIN</v>
          </cell>
          <cell r="G7">
            <v>286800</v>
          </cell>
          <cell r="J7" t="str">
            <v>LICHSGFIN</v>
          </cell>
          <cell r="K7">
            <v>27067</v>
          </cell>
          <cell r="L7">
            <v>4760</v>
          </cell>
        </row>
        <row r="8">
          <cell r="B8" t="str">
            <v>PNBHOUSING</v>
          </cell>
          <cell r="C8">
            <v>20496.691523500001</v>
          </cell>
          <cell r="F8" t="str">
            <v>PNBHOUSING</v>
          </cell>
          <cell r="G8">
            <v>71240</v>
          </cell>
          <cell r="J8" t="str">
            <v>PNBHOUSING</v>
          </cell>
          <cell r="K8">
            <v>7050</v>
          </cell>
          <cell r="L8">
            <v>1508</v>
          </cell>
        </row>
        <row r="9">
          <cell r="B9" t="str">
            <v>AADHARHFC</v>
          </cell>
          <cell r="C9">
            <v>18583.5781943</v>
          </cell>
          <cell r="F9" t="str">
            <v>AADHARHFC</v>
          </cell>
          <cell r="G9">
            <v>21100</v>
          </cell>
          <cell r="J9" t="str">
            <v>AADHARHFC</v>
          </cell>
          <cell r="K9">
            <v>2587</v>
          </cell>
          <cell r="L9">
            <v>750</v>
          </cell>
        </row>
        <row r="10">
          <cell r="B10" t="str">
            <v>APTUS</v>
          </cell>
          <cell r="C10">
            <v>15305.1666983</v>
          </cell>
          <cell r="F10" t="str">
            <v>APTUS</v>
          </cell>
          <cell r="G10">
            <v>6760</v>
          </cell>
          <cell r="J10" t="str">
            <v>APTUS</v>
          </cell>
          <cell r="K10">
            <v>1037</v>
          </cell>
          <cell r="L10">
            <v>480</v>
          </cell>
        </row>
        <row r="11">
          <cell r="B11" t="str">
            <v>AAVAS</v>
          </cell>
          <cell r="C11">
            <v>14005.774590000001</v>
          </cell>
          <cell r="F11" t="str">
            <v>AAVAS</v>
          </cell>
          <cell r="G11">
            <v>17310</v>
          </cell>
          <cell r="J11" t="str">
            <v>AAVAS</v>
          </cell>
          <cell r="K11">
            <v>2018</v>
          </cell>
          <cell r="L11">
            <v>491</v>
          </cell>
        </row>
        <row r="12">
          <cell r="B12" t="str">
            <v>SAMMAANCAP</v>
          </cell>
          <cell r="C12">
            <v>11511.92</v>
          </cell>
          <cell r="J12" t="str">
            <v>SAMMAANCAP</v>
          </cell>
          <cell r="K12">
            <v>8579</v>
          </cell>
          <cell r="L12">
            <v>1214</v>
          </cell>
        </row>
        <row r="13">
          <cell r="B13" t="str">
            <v>CANFINHOME</v>
          </cell>
          <cell r="C13">
            <v>8162.3463300000003</v>
          </cell>
          <cell r="J13" t="str">
            <v>CANFINHOME</v>
          </cell>
          <cell r="K13">
            <v>3525</v>
          </cell>
          <cell r="L13">
            <v>751</v>
          </cell>
        </row>
        <row r="14">
          <cell r="B14" t="str">
            <v>HOMEFIRST</v>
          </cell>
          <cell r="C14">
            <v>8839.8079318</v>
          </cell>
          <cell r="J14" t="str">
            <v>HOMEFIRST</v>
          </cell>
          <cell r="K14">
            <v>1137</v>
          </cell>
          <cell r="L14">
            <v>305</v>
          </cell>
        </row>
        <row r="15">
          <cell r="B15" t="str">
            <v>OTHER_11</v>
          </cell>
          <cell r="C15">
            <v>14164</v>
          </cell>
        </row>
        <row r="33">
          <cell r="C33" t="str">
            <v>MARGIN %</v>
          </cell>
          <cell r="G33" t="str">
            <v>GROWTH 4Y</v>
          </cell>
          <cell r="K33" t="str">
            <v>GNPA%</v>
          </cell>
        </row>
        <row r="34">
          <cell r="B34" t="str">
            <v>BAJAJHFL</v>
          </cell>
          <cell r="C34">
            <v>0.22725482473414729</v>
          </cell>
          <cell r="F34" t="str">
            <v>BAJAJHFL</v>
          </cell>
          <cell r="G34">
            <v>0.30299999999999999</v>
          </cell>
          <cell r="J34" t="str">
            <v>BAJAJHFL</v>
          </cell>
          <cell r="K34">
            <v>2.7000000000000001E-3</v>
          </cell>
        </row>
        <row r="35">
          <cell r="B35" t="str">
            <v>LICHSGFIN</v>
          </cell>
          <cell r="C35">
            <v>0.17585990320316253</v>
          </cell>
          <cell r="F35" t="str">
            <v>LICHSGFIN</v>
          </cell>
          <cell r="G35">
            <v>8.4000000000000005E-2</v>
          </cell>
          <cell r="J35" t="str">
            <v>LICHSGFIN</v>
          </cell>
          <cell r="K35">
            <v>3.3099999999999997E-2</v>
          </cell>
        </row>
        <row r="36">
          <cell r="B36" t="str">
            <v>PNBHOUSING</v>
          </cell>
          <cell r="C36">
            <v>0.21390070921985815</v>
          </cell>
          <cell r="F36" t="str">
            <v>PNBHOUSING</v>
          </cell>
          <cell r="G36">
            <v>-4.5999999999999999E-2</v>
          </cell>
          <cell r="J36" t="str">
            <v>PNBHOUSING</v>
          </cell>
          <cell r="K36">
            <v>1.4999999999999999E-2</v>
          </cell>
        </row>
        <row r="37">
          <cell r="B37" t="str">
            <v>AADHARHFC</v>
          </cell>
          <cell r="C37">
            <v>0.28991109393119441</v>
          </cell>
          <cell r="F37" t="str">
            <v>AADHARHFC</v>
          </cell>
          <cell r="G37">
            <v>0.16500000000000001</v>
          </cell>
          <cell r="J37" t="str">
            <v>AADHARHFC</v>
          </cell>
          <cell r="K37">
            <v>1.0999999999999999E-2</v>
          </cell>
        </row>
        <row r="38">
          <cell r="B38" t="str">
            <v>APTUS</v>
          </cell>
          <cell r="C38">
            <v>0.46287367405978785</v>
          </cell>
          <cell r="F38" t="str">
            <v>APTUS</v>
          </cell>
          <cell r="G38">
            <v>0.253</v>
          </cell>
          <cell r="J38" t="str">
            <v>APTUS</v>
          </cell>
          <cell r="K38">
            <v>1.0699999999999999E-2</v>
          </cell>
        </row>
        <row r="39">
          <cell r="B39" t="str">
            <v>AAVAS</v>
          </cell>
          <cell r="C39">
            <v>0.24331020812685827</v>
          </cell>
          <cell r="F39" t="str">
            <v>AAVAS</v>
          </cell>
          <cell r="G39">
            <v>0.223</v>
          </cell>
          <cell r="J39" t="str">
            <v>AAVAS</v>
          </cell>
          <cell r="K39">
            <v>9.4000000000000004E-3</v>
          </cell>
        </row>
        <row r="40">
          <cell r="B40" t="str">
            <v>SAMMAANCAP</v>
          </cell>
          <cell r="C40">
            <v>0.14150833430469753</v>
          </cell>
          <cell r="F40" t="str">
            <v>SAMMAANCAP</v>
          </cell>
          <cell r="J40" t="str">
            <v>SAMMAANCAP</v>
          </cell>
        </row>
        <row r="41">
          <cell r="B41" t="str">
            <v>CANFINHOME</v>
          </cell>
          <cell r="C41">
            <v>0.21304964539007093</v>
          </cell>
          <cell r="F41" t="str">
            <v>CANFINHOME</v>
          </cell>
          <cell r="G41">
            <v>0.14799999999999999</v>
          </cell>
          <cell r="J41" t="str">
            <v>CANFINHOME</v>
          </cell>
          <cell r="K41">
            <v>8.2000000000000007E-3</v>
          </cell>
        </row>
        <row r="42">
          <cell r="B42" t="str">
            <v>HOMEFIRST</v>
          </cell>
          <cell r="C42">
            <v>0.26824978012313105</v>
          </cell>
          <cell r="F42" t="str">
            <v>HOMEFIRST</v>
          </cell>
          <cell r="G42">
            <v>0.28799999999999998</v>
          </cell>
          <cell r="J42" t="str">
            <v>HOMEFIRST</v>
          </cell>
          <cell r="K42">
            <v>1.7000000000000001E-2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ABD8-886E-4468-81FE-E6153E3CE1A5}">
  <dimension ref="A1:W1011"/>
  <sheetViews>
    <sheetView showGridLines="0" tabSelected="1" workbookViewId="0"/>
  </sheetViews>
  <sheetFormatPr defaultColWidth="14.44140625" defaultRowHeight="15.75" customHeight="1" x14ac:dyDescent="0.3"/>
  <cols>
    <col min="1" max="1" width="4.88671875" customWidth="1"/>
    <col min="2" max="2" width="16.109375" customWidth="1"/>
    <col min="3" max="3" width="11.6640625" customWidth="1"/>
    <col min="4" max="4" width="8.5546875" customWidth="1"/>
    <col min="5" max="5" width="8.6640625" customWidth="1"/>
    <col min="6" max="6" width="10.44140625" customWidth="1"/>
    <col min="7" max="7" width="16.33203125" customWidth="1"/>
    <col min="8" max="8" width="8.6640625" customWidth="1"/>
    <col min="9" max="9" width="10.33203125" customWidth="1"/>
    <col min="10" max="10" width="14.44140625" customWidth="1"/>
    <col min="11" max="11" width="12.44140625" customWidth="1"/>
    <col min="12" max="12" width="9.88671875" customWidth="1"/>
    <col min="13" max="14" width="10" customWidth="1"/>
    <col min="15" max="15" width="10.33203125" customWidth="1"/>
    <col min="16" max="16" width="11.6640625" customWidth="1"/>
    <col min="17" max="17" width="12.88671875" customWidth="1"/>
    <col min="18" max="18" width="7.88671875" customWidth="1"/>
    <col min="19" max="20" width="8.6640625" customWidth="1"/>
    <col min="21" max="21" width="10.109375" customWidth="1"/>
    <col min="22" max="22" width="11.44140625" customWidth="1"/>
    <col min="23" max="26" width="8.6640625" customWidth="1"/>
  </cols>
  <sheetData>
    <row r="1" spans="1:18" ht="14.25" customHeight="1" x14ac:dyDescent="0.3">
      <c r="A1" s="119"/>
      <c r="B1" s="1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20"/>
    </row>
    <row r="2" spans="1:18" ht="14.25" customHeight="1" x14ac:dyDescent="0.3">
      <c r="A2" s="11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20"/>
    </row>
    <row r="3" spans="1:18" ht="14.25" customHeight="1" x14ac:dyDescent="0.3">
      <c r="A3" s="1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0"/>
    </row>
    <row r="4" spans="1:18" ht="14.25" customHeight="1" x14ac:dyDescent="0.3">
      <c r="A4" s="119"/>
      <c r="B4" s="121" t="s">
        <v>75</v>
      </c>
      <c r="C4" s="122"/>
      <c r="D4" s="120"/>
      <c r="E4" s="121" t="s">
        <v>76</v>
      </c>
      <c r="F4" s="120"/>
      <c r="G4" s="121" t="s">
        <v>77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3"/>
    </row>
    <row r="5" spans="1:18" ht="14.25" customHeight="1" x14ac:dyDescent="0.3">
      <c r="A5" s="119"/>
      <c r="B5" s="121" t="s">
        <v>6</v>
      </c>
      <c r="C5" s="124" t="s">
        <v>2</v>
      </c>
      <c r="D5" s="124" t="s">
        <v>78</v>
      </c>
      <c r="E5" s="124" t="s">
        <v>79</v>
      </c>
      <c r="F5" s="124" t="s">
        <v>80</v>
      </c>
      <c r="G5" s="121" t="s">
        <v>81</v>
      </c>
      <c r="H5" s="124" t="s">
        <v>82</v>
      </c>
      <c r="I5" s="124" t="s">
        <v>83</v>
      </c>
      <c r="J5" s="124" t="s">
        <v>84</v>
      </c>
      <c r="K5" s="124" t="s">
        <v>85</v>
      </c>
      <c r="L5" s="124" t="s">
        <v>86</v>
      </c>
      <c r="M5" s="124" t="s">
        <v>87</v>
      </c>
      <c r="N5" s="124" t="s">
        <v>88</v>
      </c>
      <c r="O5" s="124" t="s">
        <v>89</v>
      </c>
      <c r="P5" s="124" t="s">
        <v>90</v>
      </c>
      <c r="Q5" s="124" t="s">
        <v>91</v>
      </c>
      <c r="R5" s="123"/>
    </row>
    <row r="6" spans="1:18" ht="14.25" customHeight="1" x14ac:dyDescent="0.3">
      <c r="A6" s="119"/>
      <c r="B6" s="125" t="s">
        <v>92</v>
      </c>
      <c r="C6" s="126">
        <f ca="1">IFERROR(__xludf.DUMMYFUNCTION("googlefinance(""nse:""&amp;B5,""MARKETCAP"")/10000000"),94716.155625)</f>
        <v>94716.155624999999</v>
      </c>
      <c r="D6" s="126">
        <f ca="1">IFERROR(__xludf.DUMMYFUNCTION("googlefinance(""nse:""&amp;B5,""price"")"),113.3)</f>
        <v>113.3</v>
      </c>
      <c r="E6" s="126">
        <v>8328</v>
      </c>
      <c r="F6" s="126">
        <v>10</v>
      </c>
      <c r="G6" s="127">
        <v>18785</v>
      </c>
      <c r="H6" s="127">
        <v>102569</v>
      </c>
      <c r="I6" s="127">
        <v>43716</v>
      </c>
      <c r="J6" s="127">
        <v>41320</v>
      </c>
      <c r="K6" s="128">
        <f>C19</f>
        <v>113755</v>
      </c>
      <c r="L6" s="128">
        <f>E19</f>
        <v>1961</v>
      </c>
      <c r="M6" s="129">
        <f>G19</f>
        <v>2.5</v>
      </c>
      <c r="N6" s="127">
        <v>88539</v>
      </c>
      <c r="O6" s="127">
        <f>N6-14720</f>
        <v>73819</v>
      </c>
      <c r="P6" s="130">
        <v>2239</v>
      </c>
      <c r="Q6" s="131">
        <v>7.9000000000000001E-2</v>
      </c>
      <c r="R6" s="123"/>
    </row>
    <row r="7" spans="1:18" ht="14.25" customHeight="1" x14ac:dyDescent="0.3">
      <c r="A7" s="132"/>
      <c r="B7" s="13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ht="14.25" customHeight="1" x14ac:dyDescent="0.3">
      <c r="A8" s="119"/>
      <c r="B8" s="124" t="s">
        <v>93</v>
      </c>
      <c r="C8" s="124" t="s">
        <v>94</v>
      </c>
      <c r="D8" s="124" t="s">
        <v>95</v>
      </c>
      <c r="E8" s="124" t="s">
        <v>96</v>
      </c>
      <c r="F8" s="124" t="s">
        <v>19</v>
      </c>
      <c r="G8" s="124" t="s">
        <v>97</v>
      </c>
      <c r="H8" s="124" t="s">
        <v>98</v>
      </c>
      <c r="I8" s="124" t="s">
        <v>99</v>
      </c>
      <c r="J8" s="124" t="s">
        <v>100</v>
      </c>
      <c r="K8" s="124" t="s">
        <v>101</v>
      </c>
      <c r="L8" s="124" t="s">
        <v>102</v>
      </c>
      <c r="M8" s="124" t="s">
        <v>103</v>
      </c>
      <c r="N8" s="124" t="s">
        <v>104</v>
      </c>
      <c r="O8" s="121" t="s">
        <v>105</v>
      </c>
      <c r="P8" s="124" t="s">
        <v>106</v>
      </c>
      <c r="Q8" s="124" t="s">
        <v>107</v>
      </c>
      <c r="R8" s="124" t="s">
        <v>108</v>
      </c>
    </row>
    <row r="9" spans="1:18" ht="14.25" customHeight="1" x14ac:dyDescent="0.3">
      <c r="A9" s="119"/>
      <c r="B9" s="134">
        <f>F19</f>
        <v>0.21635039717563989</v>
      </c>
      <c r="C9" s="134">
        <f>M31</f>
        <v>0.25742750400284642</v>
      </c>
      <c r="D9" s="135">
        <f>M30</f>
        <v>0.26050576638852996</v>
      </c>
      <c r="E9" s="135">
        <f>I6/H6</f>
        <v>0.42621064844153694</v>
      </c>
      <c r="F9" s="136">
        <v>2.8E-3</v>
      </c>
      <c r="G9" s="135"/>
      <c r="H9" s="137"/>
      <c r="I9" s="138"/>
      <c r="J9" s="129">
        <f>(J6)/(G6+E6)</f>
        <v>1.5239921808726442</v>
      </c>
      <c r="K9" s="138">
        <f>L6/N6</f>
        <v>2.2148431764533145E-2</v>
      </c>
      <c r="L9" s="134">
        <f>L6/(G6)</f>
        <v>0.10439180196965664</v>
      </c>
      <c r="M9" s="139">
        <f>L6/E6</f>
        <v>0.23547070124879924</v>
      </c>
      <c r="N9" s="126">
        <f ca="1">D6/M6</f>
        <v>45.32</v>
      </c>
      <c r="O9" s="138">
        <f ca="1">M6/D6</f>
        <v>2.2065313327449251E-2</v>
      </c>
      <c r="P9" s="126">
        <f>G6/(E6/F6)</f>
        <v>22.556436119116235</v>
      </c>
      <c r="Q9" s="126">
        <f ca="1">D6/P9</f>
        <v>5.022956614319936</v>
      </c>
      <c r="R9" s="129">
        <f ca="1">S22</f>
        <v>1.5403649019767789</v>
      </c>
    </row>
    <row r="10" spans="1:18" ht="14.25" customHeight="1" x14ac:dyDescent="0.3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3"/>
    </row>
    <row r="11" spans="1:18" ht="14.25" customHeight="1" x14ac:dyDescent="0.3">
      <c r="B11" s="124" t="s">
        <v>109</v>
      </c>
      <c r="C11" s="124" t="s">
        <v>110</v>
      </c>
      <c r="D11" s="124" t="s">
        <v>76</v>
      </c>
      <c r="E11" s="124" t="s">
        <v>86</v>
      </c>
      <c r="F11" s="124" t="s">
        <v>17</v>
      </c>
      <c r="G11" s="124" t="s">
        <v>111</v>
      </c>
      <c r="H11" s="121" t="s">
        <v>112</v>
      </c>
      <c r="I11" s="121" t="s">
        <v>113</v>
      </c>
      <c r="J11" s="124" t="s">
        <v>114</v>
      </c>
      <c r="K11" s="121" t="s">
        <v>19</v>
      </c>
      <c r="L11" s="121" t="s">
        <v>115</v>
      </c>
      <c r="M11" s="121" t="s">
        <v>116</v>
      </c>
    </row>
    <row r="12" spans="1:18" ht="14.25" customHeight="1" x14ac:dyDescent="0.3">
      <c r="B12" s="5" t="s">
        <v>117</v>
      </c>
      <c r="C12" s="5">
        <v>3570</v>
      </c>
      <c r="D12" s="5">
        <v>106</v>
      </c>
      <c r="E12" s="5">
        <v>10</v>
      </c>
      <c r="F12" s="140">
        <f t="shared" ref="F12:F19" si="0">E12/D12</f>
        <v>9.4339622641509441E-2</v>
      </c>
      <c r="G12" s="5"/>
      <c r="J12" s="141"/>
      <c r="K12" s="37"/>
    </row>
    <row r="13" spans="1:18" ht="14.25" customHeight="1" x14ac:dyDescent="0.3">
      <c r="B13" s="5" t="s">
        <v>118</v>
      </c>
      <c r="C13" s="5">
        <v>17562</v>
      </c>
      <c r="D13" s="5">
        <v>1526</v>
      </c>
      <c r="E13" s="5">
        <v>110</v>
      </c>
      <c r="F13" s="140">
        <f t="shared" si="0"/>
        <v>7.2083879423328959E-2</v>
      </c>
      <c r="G13" s="5"/>
      <c r="J13" s="141"/>
      <c r="K13" s="37">
        <v>5.0000000000000001E-4</v>
      </c>
    </row>
    <row r="14" spans="1:18" ht="14.25" customHeight="1" x14ac:dyDescent="0.3">
      <c r="B14" s="5" t="s">
        <v>119</v>
      </c>
      <c r="C14" s="5">
        <v>32705</v>
      </c>
      <c r="D14" s="5">
        <v>2646</v>
      </c>
      <c r="E14" s="5">
        <v>421</v>
      </c>
      <c r="F14" s="140">
        <f t="shared" si="0"/>
        <v>0.15910808767951626</v>
      </c>
      <c r="G14" s="142">
        <v>0.86</v>
      </c>
      <c r="J14" s="141">
        <f t="shared" ref="J14:J19" si="1">G14*25</f>
        <v>21.5</v>
      </c>
      <c r="K14" s="37">
        <v>8.0000000000000004E-4</v>
      </c>
    </row>
    <row r="15" spans="1:18" ht="14.25" customHeight="1" x14ac:dyDescent="0.3">
      <c r="B15" s="5" t="s">
        <v>120</v>
      </c>
      <c r="C15" s="5">
        <v>38871</v>
      </c>
      <c r="D15" s="5">
        <v>3155</v>
      </c>
      <c r="E15" s="5">
        <v>453</v>
      </c>
      <c r="F15" s="140">
        <f t="shared" si="0"/>
        <v>0.14358161648177495</v>
      </c>
      <c r="G15" s="142">
        <v>0.93</v>
      </c>
      <c r="J15" s="141">
        <f t="shared" si="1"/>
        <v>23.25</v>
      </c>
      <c r="K15" s="37">
        <v>3.5000000000000001E-3</v>
      </c>
    </row>
    <row r="16" spans="1:18" ht="14.25" customHeight="1" x14ac:dyDescent="0.3">
      <c r="B16" s="5" t="s">
        <v>121</v>
      </c>
      <c r="C16" s="5">
        <v>53320</v>
      </c>
      <c r="D16" s="5">
        <v>3767</v>
      </c>
      <c r="E16" s="5">
        <v>710</v>
      </c>
      <c r="F16" s="140">
        <f t="shared" si="0"/>
        <v>0.18847889567294929</v>
      </c>
      <c r="G16" s="142">
        <v>1.5</v>
      </c>
      <c r="J16" s="141">
        <f t="shared" si="1"/>
        <v>37.5</v>
      </c>
      <c r="K16" s="37">
        <v>3.0999999999999999E-3</v>
      </c>
    </row>
    <row r="17" spans="2:23" ht="14.25" customHeight="1" x14ac:dyDescent="0.3">
      <c r="B17" s="5" t="s">
        <v>122</v>
      </c>
      <c r="C17" s="5">
        <v>69230</v>
      </c>
      <c r="D17" s="5">
        <v>5665</v>
      </c>
      <c r="E17" s="5">
        <v>1258</v>
      </c>
      <c r="F17" s="140">
        <f t="shared" si="0"/>
        <v>0.22206531332744925</v>
      </c>
      <c r="G17" s="142">
        <v>1.9</v>
      </c>
      <c r="J17" s="141">
        <f t="shared" si="1"/>
        <v>47.5</v>
      </c>
      <c r="K17" s="37">
        <v>2.2000000000000001E-3</v>
      </c>
    </row>
    <row r="18" spans="2:23" ht="14.25" customHeight="1" x14ac:dyDescent="0.3">
      <c r="B18" s="5" t="s">
        <v>123</v>
      </c>
      <c r="C18" s="5">
        <v>91370</v>
      </c>
      <c r="D18" s="5">
        <v>7617</v>
      </c>
      <c r="E18" s="5">
        <v>1731</v>
      </c>
      <c r="F18" s="140">
        <f t="shared" si="0"/>
        <v>0.22725482473414729</v>
      </c>
      <c r="G18" s="142">
        <v>2.6</v>
      </c>
      <c r="J18" s="141">
        <f t="shared" si="1"/>
        <v>65</v>
      </c>
      <c r="K18" s="37">
        <v>2.7000000000000001E-3</v>
      </c>
    </row>
    <row r="19" spans="2:23" ht="14.25" customHeight="1" thickBot="1" x14ac:dyDescent="0.35">
      <c r="B19" s="30" t="s">
        <v>124</v>
      </c>
      <c r="C19" s="30">
        <f>C18+K30-L30</f>
        <v>113755</v>
      </c>
      <c r="D19" s="30">
        <f>D18+K31-L31</f>
        <v>9064</v>
      </c>
      <c r="E19" s="30">
        <f>E18+K34-L34</f>
        <v>1961</v>
      </c>
      <c r="F19" s="143">
        <f t="shared" si="0"/>
        <v>0.21635039717563989</v>
      </c>
      <c r="G19" s="144">
        <f>G18+0.6-0.7</f>
        <v>2.5</v>
      </c>
      <c r="H19" s="30">
        <v>189</v>
      </c>
      <c r="I19" s="30">
        <v>146</v>
      </c>
      <c r="J19" s="145">
        <f t="shared" si="1"/>
        <v>62.5</v>
      </c>
      <c r="K19" s="146">
        <v>2.8E-3</v>
      </c>
      <c r="L19" s="147">
        <f>H19/G19</f>
        <v>75.599999999999994</v>
      </c>
      <c r="M19" s="147">
        <f>I19/G19</f>
        <v>58.4</v>
      </c>
    </row>
    <row r="20" spans="2:23" ht="14.25" customHeight="1" thickTop="1" x14ac:dyDescent="0.3"/>
    <row r="21" spans="2:23" ht="14.25" customHeight="1" x14ac:dyDescent="0.3">
      <c r="B21" s="124" t="s">
        <v>109</v>
      </c>
      <c r="C21" s="124" t="s">
        <v>110</v>
      </c>
      <c r="D21" s="124" t="s">
        <v>76</v>
      </c>
      <c r="E21" s="124" t="s">
        <v>86</v>
      </c>
      <c r="F21" s="124" t="s">
        <v>17</v>
      </c>
      <c r="G21" s="124" t="s">
        <v>111</v>
      </c>
      <c r="I21" s="148" t="s">
        <v>109</v>
      </c>
      <c r="J21" s="148" t="s">
        <v>123</v>
      </c>
      <c r="K21" s="148" t="s">
        <v>125</v>
      </c>
      <c r="L21" s="148" t="s">
        <v>126</v>
      </c>
      <c r="M21" s="148" t="s">
        <v>127</v>
      </c>
      <c r="N21" s="148" t="s">
        <v>128</v>
      </c>
      <c r="P21" s="149" t="s">
        <v>129</v>
      </c>
      <c r="Q21" s="149" t="s">
        <v>87</v>
      </c>
      <c r="R21" s="149" t="s">
        <v>130</v>
      </c>
      <c r="S21" s="124" t="s">
        <v>131</v>
      </c>
    </row>
    <row r="22" spans="2:23" ht="14.25" customHeight="1" x14ac:dyDescent="0.3">
      <c r="B22" s="5" t="s">
        <v>132</v>
      </c>
      <c r="D22" s="37">
        <f t="shared" ref="D22:E22" si="2">(D18/D14)^(1/4)-1</f>
        <v>0.30256237402319419</v>
      </c>
      <c r="E22" s="37">
        <f t="shared" si="2"/>
        <v>0.42397951930163358</v>
      </c>
      <c r="F22" s="36">
        <f>MEDIAN(F14:F19)</f>
        <v>0.20241464642429458</v>
      </c>
      <c r="G22" s="37">
        <f>(G18/G14)^(1/4)-1</f>
        <v>0.31861716300065024</v>
      </c>
      <c r="I22" s="150" t="s">
        <v>85</v>
      </c>
      <c r="J22" s="151">
        <f>(C18/C17)-1</f>
        <v>0.31980355337281519</v>
      </c>
      <c r="K22" s="152">
        <v>0.25</v>
      </c>
      <c r="L22" s="153">
        <v>0.24</v>
      </c>
      <c r="M22" s="153">
        <v>0.26</v>
      </c>
      <c r="N22" s="154">
        <v>0.25</v>
      </c>
      <c r="P22" s="155">
        <v>2.58</v>
      </c>
      <c r="Q22" s="156">
        <f>N27</f>
        <v>2.54</v>
      </c>
      <c r="R22" s="157">
        <f>G30</f>
        <v>3.198</v>
      </c>
      <c r="S22" s="158">
        <f ca="1">R24/23</f>
        <v>1.5403649019767789</v>
      </c>
    </row>
    <row r="23" spans="2:23" ht="14.25" customHeight="1" thickBot="1" x14ac:dyDescent="0.35">
      <c r="B23" s="30" t="s">
        <v>133</v>
      </c>
      <c r="C23" s="47">
        <f t="shared" ref="C23:E23" si="3">(C18/C17)-1</f>
        <v>0.31980355337281519</v>
      </c>
      <c r="D23" s="47">
        <f t="shared" si="3"/>
        <v>0.34457193292144739</v>
      </c>
      <c r="E23" s="47">
        <f t="shared" si="3"/>
        <v>0.37599364069952301</v>
      </c>
      <c r="F23" s="46">
        <f>F18</f>
        <v>0.22725482473414729</v>
      </c>
      <c r="G23" s="47">
        <f>(G18/G17)-1</f>
        <v>0.36842105263157898</v>
      </c>
      <c r="I23" s="150" t="s">
        <v>86</v>
      </c>
      <c r="J23" s="159">
        <f>(D18/D17)-1</f>
        <v>0.34457193292144739</v>
      </c>
      <c r="K23" s="153">
        <v>0.05</v>
      </c>
      <c r="L23" s="160">
        <v>0.13</v>
      </c>
      <c r="M23" s="160">
        <v>0.17</v>
      </c>
      <c r="N23" s="154">
        <v>0.23</v>
      </c>
      <c r="P23" s="149" t="s">
        <v>134</v>
      </c>
      <c r="Q23" s="149" t="s">
        <v>135</v>
      </c>
      <c r="R23" s="149" t="s">
        <v>136</v>
      </c>
      <c r="S23" s="161"/>
    </row>
    <row r="24" spans="2:23" ht="14.25" customHeight="1" thickTop="1" x14ac:dyDescent="0.3">
      <c r="I24" s="162" t="s">
        <v>93</v>
      </c>
      <c r="J24" s="163">
        <f>D18/C18</f>
        <v>8.3364342782094786E-2</v>
      </c>
      <c r="K24" s="164">
        <v>0.219</v>
      </c>
      <c r="L24" s="165">
        <v>0.24099999999999999</v>
      </c>
      <c r="M24" s="165">
        <v>0.224</v>
      </c>
      <c r="N24" s="166">
        <v>0.223</v>
      </c>
      <c r="P24" s="167">
        <f>150/P22</f>
        <v>58.139534883720927</v>
      </c>
      <c r="Q24" s="168">
        <f t="shared" ref="Q24:R24" ca="1" si="4">$D$6/Q22</f>
        <v>44.606299212598422</v>
      </c>
      <c r="R24" s="168">
        <f t="shared" ca="1" si="4"/>
        <v>35.428392745465914</v>
      </c>
      <c r="S24" s="169"/>
    </row>
    <row r="25" spans="2:23" ht="14.25" customHeight="1" x14ac:dyDescent="0.3">
      <c r="B25" s="124" t="s">
        <v>109</v>
      </c>
      <c r="C25" s="124" t="s">
        <v>110</v>
      </c>
      <c r="D25" s="124" t="s">
        <v>76</v>
      </c>
      <c r="E25" s="124" t="s">
        <v>86</v>
      </c>
      <c r="F25" s="124" t="s">
        <v>17</v>
      </c>
      <c r="G25" s="124" t="s">
        <v>111</v>
      </c>
    </row>
    <row r="26" spans="2:23" ht="14.25" customHeight="1" x14ac:dyDescent="0.3">
      <c r="B26" s="5" t="s">
        <v>137</v>
      </c>
      <c r="C26" s="170">
        <v>0.15</v>
      </c>
      <c r="D26" s="170">
        <v>0.15</v>
      </c>
      <c r="E26" s="170">
        <v>0.15</v>
      </c>
      <c r="F26" s="36">
        <v>0.22</v>
      </c>
      <c r="G26" s="170">
        <v>0.15</v>
      </c>
      <c r="I26" s="148" t="s">
        <v>138</v>
      </c>
      <c r="J26" s="148" t="s">
        <v>139</v>
      </c>
      <c r="K26" s="148" t="s">
        <v>140</v>
      </c>
      <c r="L26" s="148" t="s">
        <v>141</v>
      </c>
      <c r="M26" s="148" t="s">
        <v>142</v>
      </c>
      <c r="N26" s="148" t="s">
        <v>87</v>
      </c>
    </row>
    <row r="27" spans="2:23" ht="14.25" customHeight="1" x14ac:dyDescent="0.3">
      <c r="B27" s="5" t="s">
        <v>143</v>
      </c>
      <c r="C27" s="170">
        <v>0.26</v>
      </c>
      <c r="D27" s="170">
        <v>0.25</v>
      </c>
      <c r="E27" s="170">
        <f>(E30/E18)-1</f>
        <v>0.22659662045060647</v>
      </c>
      <c r="F27" s="36">
        <v>0.223</v>
      </c>
      <c r="G27" s="170">
        <v>0.23</v>
      </c>
      <c r="I27" s="148" t="s">
        <v>111</v>
      </c>
      <c r="J27" s="171">
        <v>0.56999999999999995</v>
      </c>
      <c r="K27" s="172">
        <v>0.62</v>
      </c>
      <c r="L27" s="171">
        <v>0.69</v>
      </c>
      <c r="M27" s="171">
        <v>0.66</v>
      </c>
      <c r="N27" s="173">
        <f>SUM(J27:M27)</f>
        <v>2.54</v>
      </c>
    </row>
    <row r="28" spans="2:23" ht="14.25" customHeight="1" x14ac:dyDescent="0.3">
      <c r="G28" s="174"/>
    </row>
    <row r="29" spans="2:23" ht="14.25" customHeight="1" x14ac:dyDescent="0.3">
      <c r="B29" s="124" t="s">
        <v>109</v>
      </c>
      <c r="C29" s="124" t="s">
        <v>110</v>
      </c>
      <c r="D29" s="124" t="s">
        <v>76</v>
      </c>
      <c r="E29" s="124" t="s">
        <v>86</v>
      </c>
      <c r="F29" s="124" t="s">
        <v>17</v>
      </c>
      <c r="G29" s="124" t="s">
        <v>111</v>
      </c>
      <c r="H29" s="124" t="s">
        <v>114</v>
      </c>
      <c r="J29" s="124" t="s">
        <v>144</v>
      </c>
      <c r="K29" s="121" t="s">
        <v>127</v>
      </c>
      <c r="L29" s="121" t="s">
        <v>145</v>
      </c>
      <c r="M29" s="124" t="s">
        <v>146</v>
      </c>
      <c r="O29" s="124" t="s">
        <v>144</v>
      </c>
      <c r="P29" s="121" t="s">
        <v>147</v>
      </c>
      <c r="Q29" s="121" t="s">
        <v>148</v>
      </c>
      <c r="R29" s="124" t="s">
        <v>146</v>
      </c>
      <c r="T29" s="124" t="s">
        <v>144</v>
      </c>
      <c r="U29" s="121" t="s">
        <v>126</v>
      </c>
      <c r="V29" s="121" t="s">
        <v>149</v>
      </c>
      <c r="W29" s="124" t="s">
        <v>146</v>
      </c>
    </row>
    <row r="30" spans="2:23" ht="14.25" customHeight="1" x14ac:dyDescent="0.3">
      <c r="B30" s="5" t="s">
        <v>150</v>
      </c>
      <c r="C30" s="175">
        <f t="shared" ref="C30:D30" si="5">FV(C27,1,0,-C18,0)</f>
        <v>115126.2</v>
      </c>
      <c r="D30" s="175">
        <f t="shared" si="5"/>
        <v>9521.25</v>
      </c>
      <c r="E30" s="175">
        <f t="shared" ref="E30:E31" si="6">D30*F30</f>
        <v>2123.23875</v>
      </c>
      <c r="F30" s="140">
        <v>0.223</v>
      </c>
      <c r="G30" s="176">
        <f>FV(G27,1,0,-G18,0)</f>
        <v>3.198</v>
      </c>
      <c r="H30" s="141">
        <f t="shared" ref="H30:H32" si="7">G30*25</f>
        <v>79.95</v>
      </c>
      <c r="J30" s="125" t="s">
        <v>82</v>
      </c>
      <c r="K30" s="127">
        <v>108314</v>
      </c>
      <c r="L30" s="127">
        <v>85929</v>
      </c>
      <c r="M30" s="177">
        <f t="shared" ref="M30:M35" si="8">(K30/L30)^(1/1)-1</f>
        <v>0.26050576638852996</v>
      </c>
      <c r="O30" s="125" t="s">
        <v>82</v>
      </c>
      <c r="P30" s="127">
        <v>108314</v>
      </c>
      <c r="Q30" s="127">
        <v>85929</v>
      </c>
      <c r="R30" s="177">
        <f t="shared" ref="R30:R35" si="9">(P30/Q30)^(1/1)-1</f>
        <v>0.26050576638852996</v>
      </c>
      <c r="T30" s="125" t="s">
        <v>82</v>
      </c>
      <c r="U30" s="127">
        <v>102569</v>
      </c>
      <c r="V30" s="127">
        <v>81215</v>
      </c>
      <c r="W30" s="177">
        <f t="shared" ref="W30:W35" si="10">(U30/V30)^(1/1)-1</f>
        <v>0.26293172443514123</v>
      </c>
    </row>
    <row r="31" spans="2:23" ht="14.25" customHeight="1" x14ac:dyDescent="0.3">
      <c r="B31" s="5" t="s">
        <v>151</v>
      </c>
      <c r="C31" s="175">
        <f t="shared" ref="C31:E32" si="11">FV(15%,5,0,-C30,0)</f>
        <v>231559.90983956243</v>
      </c>
      <c r="D31" s="175">
        <f t="shared" si="11"/>
        <v>19150.634621484369</v>
      </c>
      <c r="E31" s="175">
        <f t="shared" si="6"/>
        <v>4213.1396167265611</v>
      </c>
      <c r="F31" s="140">
        <v>0.22</v>
      </c>
      <c r="G31" s="176">
        <f>(E31*G30)/E30</f>
        <v>6.3457868288677108</v>
      </c>
      <c r="H31" s="141">
        <f t="shared" si="7"/>
        <v>158.64467072169276</v>
      </c>
      <c r="J31" s="125" t="s">
        <v>85</v>
      </c>
      <c r="K31" s="127">
        <v>7068</v>
      </c>
      <c r="L31" s="127">
        <v>5621</v>
      </c>
      <c r="M31" s="178">
        <f t="shared" si="8"/>
        <v>0.25742750400284642</v>
      </c>
      <c r="N31" s="170"/>
      <c r="O31" s="125" t="s">
        <v>85</v>
      </c>
      <c r="P31" s="127">
        <v>2449</v>
      </c>
      <c r="Q31" s="127">
        <v>1946</v>
      </c>
      <c r="R31" s="178">
        <f t="shared" si="9"/>
        <v>0.25847893114080156</v>
      </c>
      <c r="T31" s="125" t="s">
        <v>85</v>
      </c>
      <c r="U31" s="127">
        <v>4290</v>
      </c>
      <c r="V31" s="127">
        <v>3449</v>
      </c>
      <c r="W31" s="178">
        <f t="shared" si="10"/>
        <v>0.24383879385329088</v>
      </c>
    </row>
    <row r="32" spans="2:23" ht="14.25" customHeight="1" thickBot="1" x14ac:dyDescent="0.35">
      <c r="B32" s="30" t="s">
        <v>152</v>
      </c>
      <c r="C32" s="179">
        <f t="shared" si="11"/>
        <v>465749.68899265572</v>
      </c>
      <c r="D32" s="179">
        <f t="shared" si="11"/>
        <v>38518.766591108913</v>
      </c>
      <c r="E32" s="179">
        <f t="shared" si="11"/>
        <v>8474.1286500439619</v>
      </c>
      <c r="F32" s="143">
        <v>0.22500000000000001</v>
      </c>
      <c r="G32" s="180">
        <f>FV(15%,5,0,-G31,0)</f>
        <v>12.763643948585898</v>
      </c>
      <c r="H32" s="145">
        <f t="shared" si="7"/>
        <v>319.09109871464744</v>
      </c>
      <c r="J32" s="125" t="s">
        <v>153</v>
      </c>
      <c r="K32" s="127">
        <v>5017</v>
      </c>
      <c r="L32" s="127">
        <v>3948</v>
      </c>
      <c r="M32" s="181">
        <f t="shared" si="8"/>
        <v>0.27077001013171231</v>
      </c>
      <c r="O32" s="125" t="s">
        <v>153</v>
      </c>
      <c r="P32" s="127">
        <v>1736</v>
      </c>
      <c r="Q32" s="127">
        <v>1374</v>
      </c>
      <c r="R32" s="181">
        <f t="shared" si="9"/>
        <v>0.26346433770014555</v>
      </c>
      <c r="T32" s="125" t="s">
        <v>153</v>
      </c>
      <c r="U32" s="127">
        <v>3281</v>
      </c>
      <c r="V32" s="127">
        <v>2574</v>
      </c>
      <c r="W32" s="181">
        <f t="shared" si="10"/>
        <v>0.2746697746697746</v>
      </c>
    </row>
    <row r="33" spans="10:23" ht="14.25" customHeight="1" thickTop="1" x14ac:dyDescent="0.3">
      <c r="J33" s="125" t="s">
        <v>92</v>
      </c>
      <c r="K33" s="127">
        <v>4428</v>
      </c>
      <c r="L33" s="127">
        <v>3413</v>
      </c>
      <c r="M33" s="182">
        <f t="shared" si="8"/>
        <v>0.29739232346908873</v>
      </c>
      <c r="O33" s="125" t="s">
        <v>92</v>
      </c>
      <c r="P33" s="127">
        <v>1516</v>
      </c>
      <c r="Q33" s="127">
        <v>1200</v>
      </c>
      <c r="R33" s="182">
        <f t="shared" si="9"/>
        <v>0.26333333333333342</v>
      </c>
      <c r="T33" s="125" t="s">
        <v>92</v>
      </c>
      <c r="U33" s="127">
        <v>2912</v>
      </c>
      <c r="V33" s="127">
        <v>2213</v>
      </c>
      <c r="W33" s="182">
        <f t="shared" si="10"/>
        <v>0.31586082241301394</v>
      </c>
    </row>
    <row r="34" spans="10:23" ht="14.25" customHeight="1" x14ac:dyDescent="0.3">
      <c r="J34" s="183" t="s">
        <v>86</v>
      </c>
      <c r="K34" s="184">
        <v>1580</v>
      </c>
      <c r="L34" s="184">
        <v>1350</v>
      </c>
      <c r="M34" s="185">
        <f t="shared" si="8"/>
        <v>0.17037037037037028</v>
      </c>
      <c r="O34" s="183" t="s">
        <v>86</v>
      </c>
      <c r="P34" s="184">
        <v>546</v>
      </c>
      <c r="Q34" s="184">
        <v>438</v>
      </c>
      <c r="R34" s="185">
        <f t="shared" si="9"/>
        <v>0.24657534246575352</v>
      </c>
      <c r="T34" s="183" t="s">
        <v>86</v>
      </c>
      <c r="U34" s="184">
        <v>1034</v>
      </c>
      <c r="V34" s="184">
        <v>912</v>
      </c>
      <c r="W34" s="185">
        <f t="shared" si="10"/>
        <v>0.13377192982456143</v>
      </c>
    </row>
    <row r="35" spans="10:23" ht="14.25" customHeight="1" x14ac:dyDescent="0.3">
      <c r="J35" s="186" t="s">
        <v>111</v>
      </c>
      <c r="K35" s="187">
        <v>1.97</v>
      </c>
      <c r="L35" s="187">
        <v>2.0099999999999998</v>
      </c>
      <c r="M35" s="188">
        <f t="shared" si="8"/>
        <v>-1.990049751243772E-2</v>
      </c>
      <c r="N35" s="37"/>
      <c r="O35" s="186" t="s">
        <v>111</v>
      </c>
      <c r="P35" s="187">
        <v>0.66</v>
      </c>
      <c r="Q35" s="187">
        <v>0.65</v>
      </c>
      <c r="R35" s="188">
        <f t="shared" si="9"/>
        <v>1.538461538461533E-2</v>
      </c>
      <c r="T35" s="186" t="s">
        <v>111</v>
      </c>
      <c r="U35" s="187">
        <v>1.31</v>
      </c>
      <c r="V35" s="187">
        <v>1.36</v>
      </c>
      <c r="W35" s="188">
        <f t="shared" si="10"/>
        <v>-3.6764705882352922E-2</v>
      </c>
    </row>
    <row r="36" spans="10:23" ht="14.25" customHeight="1" x14ac:dyDescent="0.3">
      <c r="J36" s="186" t="s">
        <v>93</v>
      </c>
      <c r="K36" s="189">
        <f t="shared" ref="K36:L36" si="12">K34/K31</f>
        <v>0.22354272778720996</v>
      </c>
      <c r="L36" s="189">
        <f t="shared" si="12"/>
        <v>0.2401707881159936</v>
      </c>
      <c r="M36" s="138">
        <f t="shared" ref="M36:M37" si="13">K36-L36</f>
        <v>-1.6628060328783639E-2</v>
      </c>
      <c r="N36" s="37"/>
      <c r="O36" s="186" t="s">
        <v>93</v>
      </c>
      <c r="P36" s="189">
        <f t="shared" ref="P36:Q36" si="14">P34/P31</f>
        <v>0.22294814209881583</v>
      </c>
      <c r="Q36" s="189">
        <f t="shared" si="14"/>
        <v>0.22507708119218911</v>
      </c>
      <c r="R36" s="138">
        <f t="shared" ref="R36:R37" si="15">P36-Q36</f>
        <v>-2.1289390933732777E-3</v>
      </c>
      <c r="T36" s="186" t="s">
        <v>93</v>
      </c>
      <c r="U36" s="189">
        <f t="shared" ref="U36:V36" si="16">U34/U31</f>
        <v>0.24102564102564103</v>
      </c>
      <c r="V36" s="189">
        <f t="shared" si="16"/>
        <v>0.26442447086111914</v>
      </c>
      <c r="W36" s="138">
        <f t="shared" ref="W36:W37" si="17">U36-V36</f>
        <v>-2.3398829835478113E-2</v>
      </c>
    </row>
    <row r="37" spans="10:23" ht="14.25" customHeight="1" x14ac:dyDescent="0.3">
      <c r="J37" s="183" t="s">
        <v>154</v>
      </c>
      <c r="K37" s="190">
        <v>2.8E-3</v>
      </c>
      <c r="L37" s="190">
        <v>2.3E-3</v>
      </c>
      <c r="M37" s="138">
        <f t="shared" si="13"/>
        <v>5.0000000000000001E-4</v>
      </c>
      <c r="O37" s="183" t="s">
        <v>154</v>
      </c>
      <c r="P37" s="190">
        <v>2.8E-3</v>
      </c>
      <c r="Q37" s="190">
        <v>2.3E-3</v>
      </c>
      <c r="R37" s="138">
        <f t="shared" si="15"/>
        <v>5.0000000000000001E-4</v>
      </c>
      <c r="T37" s="183" t="s">
        <v>154</v>
      </c>
      <c r="U37" s="190">
        <v>2.8E-3</v>
      </c>
      <c r="V37" s="190">
        <v>2.3E-3</v>
      </c>
      <c r="W37" s="138">
        <f t="shared" si="17"/>
        <v>5.0000000000000001E-4</v>
      </c>
    </row>
    <row r="38" spans="10:23" ht="14.25" customHeight="1" x14ac:dyDescent="0.3"/>
    <row r="39" spans="10:23" ht="14.25" customHeight="1" x14ac:dyDescent="0.3"/>
    <row r="40" spans="10:23" ht="14.25" customHeight="1" x14ac:dyDescent="0.3">
      <c r="J40" s="121" t="s">
        <v>155</v>
      </c>
      <c r="K40" s="121" t="s">
        <v>127</v>
      </c>
      <c r="L40" s="121" t="s">
        <v>145</v>
      </c>
      <c r="M40" s="124" t="s">
        <v>146</v>
      </c>
      <c r="N40" s="121" t="s">
        <v>156</v>
      </c>
      <c r="P40" s="121" t="s">
        <v>157</v>
      </c>
      <c r="Q40" s="121" t="s">
        <v>126</v>
      </c>
    </row>
    <row r="41" spans="10:23" ht="14.25" customHeight="1" x14ac:dyDescent="0.3">
      <c r="J41" s="125" t="s">
        <v>158</v>
      </c>
      <c r="K41" s="127">
        <v>4428</v>
      </c>
      <c r="L41" s="127">
        <v>3413</v>
      </c>
      <c r="M41" s="177">
        <f t="shared" ref="M41:M46" si="18">(K41/L41)^(1/1)-1</f>
        <v>0.29739232346908873</v>
      </c>
      <c r="N41" s="191">
        <f t="shared" ref="N41:N46" si="19">K41/$K$48</f>
        <v>0.88259916284632245</v>
      </c>
      <c r="P41" s="125" t="s">
        <v>159</v>
      </c>
      <c r="Q41" s="134">
        <v>0.89</v>
      </c>
    </row>
    <row r="42" spans="10:23" ht="14.25" customHeight="1" x14ac:dyDescent="0.3">
      <c r="J42" s="125" t="s">
        <v>160</v>
      </c>
      <c r="K42" s="127">
        <v>9</v>
      </c>
      <c r="L42" s="127">
        <v>9</v>
      </c>
      <c r="M42" s="178">
        <f t="shared" si="18"/>
        <v>0</v>
      </c>
      <c r="N42" s="191">
        <f t="shared" si="19"/>
        <v>1.7939007374925253E-3</v>
      </c>
      <c r="P42" s="125" t="s">
        <v>161</v>
      </c>
      <c r="Q42" s="134">
        <v>1.9400000000000001E-2</v>
      </c>
    </row>
    <row r="43" spans="10:23" ht="14.25" customHeight="1" x14ac:dyDescent="0.3">
      <c r="J43" s="125" t="s">
        <v>162</v>
      </c>
      <c r="K43" s="127">
        <v>50</v>
      </c>
      <c r="L43" s="127">
        <v>26</v>
      </c>
      <c r="M43" s="181">
        <f t="shared" si="18"/>
        <v>0.92307692307692313</v>
      </c>
      <c r="N43" s="191">
        <f t="shared" si="19"/>
        <v>9.9661152082918085E-3</v>
      </c>
      <c r="P43" s="125" t="s">
        <v>163</v>
      </c>
      <c r="Q43" s="134">
        <v>1.6799999999999999E-2</v>
      </c>
    </row>
    <row r="44" spans="10:23" ht="14.25" customHeight="1" x14ac:dyDescent="0.3">
      <c r="J44" s="125" t="s">
        <v>164</v>
      </c>
      <c r="K44" s="127">
        <v>351</v>
      </c>
      <c r="L44" s="127">
        <v>342</v>
      </c>
      <c r="M44" s="182">
        <f t="shared" si="18"/>
        <v>2.6315789473684292E-2</v>
      </c>
      <c r="N44" s="191">
        <f t="shared" si="19"/>
        <v>6.9962128762208489E-2</v>
      </c>
      <c r="P44" s="125" t="s">
        <v>165</v>
      </c>
      <c r="Q44" s="134">
        <v>7.6399999999999996E-2</v>
      </c>
    </row>
    <row r="45" spans="10:23" ht="14.25" customHeight="1" x14ac:dyDescent="0.3">
      <c r="J45" s="183" t="s">
        <v>166</v>
      </c>
      <c r="K45" s="187">
        <v>30</v>
      </c>
      <c r="L45" s="184">
        <v>29</v>
      </c>
      <c r="M45" s="185">
        <f t="shared" si="18"/>
        <v>3.4482758620689724E-2</v>
      </c>
      <c r="N45" s="191">
        <f t="shared" si="19"/>
        <v>5.9796691249750849E-3</v>
      </c>
    </row>
    <row r="46" spans="10:23" ht="14.25" customHeight="1" x14ac:dyDescent="0.3">
      <c r="J46" s="186" t="s">
        <v>167</v>
      </c>
      <c r="K46" s="187">
        <v>149</v>
      </c>
      <c r="L46" s="187">
        <v>129</v>
      </c>
      <c r="M46" s="188">
        <f t="shared" si="18"/>
        <v>0.15503875968992253</v>
      </c>
      <c r="N46" s="191">
        <f t="shared" si="19"/>
        <v>2.9699023320709589E-2</v>
      </c>
      <c r="P46" s="183" t="s">
        <v>168</v>
      </c>
      <c r="Q46" s="192">
        <v>1</v>
      </c>
    </row>
    <row r="47" spans="10:23" ht="14.25" customHeight="1" x14ac:dyDescent="0.3"/>
    <row r="48" spans="10:23" ht="14.25" customHeight="1" x14ac:dyDescent="0.3">
      <c r="J48" s="183" t="s">
        <v>168</v>
      </c>
      <c r="K48" s="193">
        <f t="shared" ref="K48:L48" si="20">SUM(K41:K46)</f>
        <v>5017</v>
      </c>
      <c r="L48" s="193">
        <f t="shared" si="20"/>
        <v>3948</v>
      </c>
      <c r="M48" s="188">
        <f>(K48/L48)^(1/1)-1</f>
        <v>0.27077001013171231</v>
      </c>
      <c r="N48" s="190">
        <f>SUM(N41:N46)</f>
        <v>1</v>
      </c>
    </row>
    <row r="49" spans="10:13" ht="14.25" customHeight="1" x14ac:dyDescent="0.3"/>
    <row r="50" spans="10:13" ht="14.25" customHeight="1" x14ac:dyDescent="0.3"/>
    <row r="51" spans="10:13" ht="14.25" customHeight="1" x14ac:dyDescent="0.3">
      <c r="J51" s="194"/>
      <c r="K51" s="195"/>
      <c r="L51" s="195"/>
      <c r="M51" s="196"/>
    </row>
    <row r="52" spans="10:13" ht="14.25" customHeight="1" x14ac:dyDescent="0.3"/>
    <row r="53" spans="10:13" ht="14.25" customHeight="1" x14ac:dyDescent="0.3"/>
    <row r="54" spans="10:13" ht="14.25" customHeight="1" x14ac:dyDescent="0.3"/>
    <row r="55" spans="10:13" ht="14.25" customHeight="1" x14ac:dyDescent="0.3"/>
    <row r="56" spans="10:13" ht="14.25" customHeight="1" x14ac:dyDescent="0.3"/>
    <row r="57" spans="10:13" ht="14.25" customHeight="1" x14ac:dyDescent="0.3"/>
    <row r="58" spans="10:13" ht="14.25" customHeight="1" x14ac:dyDescent="0.3"/>
    <row r="59" spans="10:13" ht="14.25" customHeight="1" x14ac:dyDescent="0.3"/>
    <row r="60" spans="10:13" ht="14.25" customHeight="1" x14ac:dyDescent="0.3"/>
    <row r="61" spans="10:13" ht="14.25" customHeight="1" x14ac:dyDescent="0.3"/>
    <row r="62" spans="10:13" ht="14.25" customHeight="1" x14ac:dyDescent="0.3"/>
    <row r="63" spans="10:13" ht="14.25" customHeight="1" x14ac:dyDescent="0.3"/>
    <row r="64" spans="10:1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</sheetData>
  <mergeCells count="2">
    <mergeCell ref="B1:Q3"/>
    <mergeCell ref="S22:S24"/>
  </mergeCells>
  <conditionalFormatting sqref="C12:C19">
    <cfRule type="colorScale" priority="11">
      <colorScale>
        <cfvo type="min"/>
        <cfvo type="max"/>
        <color rgb="FFFFFFFF"/>
        <color rgb="FF57BB8A"/>
      </colorScale>
    </cfRule>
  </conditionalFormatting>
  <conditionalFormatting sqref="C22:E23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6:E27 G26:G27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19">
    <cfRule type="colorScale" priority="12">
      <colorScale>
        <cfvo type="min"/>
        <cfvo type="max"/>
        <color rgb="FFFFFFFF"/>
        <color rgb="FF57BB8A"/>
      </colorScale>
    </cfRule>
  </conditionalFormatting>
  <conditionalFormatting sqref="E12:E1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1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6:F27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1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2:G23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:K19">
    <cfRule type="colorScale" priority="4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L22:L24 M22:M25 M29:M52 R29:R40 W29:W40 N40:N41 N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41:N47 N49:N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22:R2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4:R24">
    <cfRule type="colorScale" priority="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Q41:Q44">
    <cfRule type="colorScale" priority="15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779-F0D9-4D46-ACB0-CE259FEB3942}">
  <sheetPr>
    <outlinePr summaryBelow="0" summaryRight="0"/>
  </sheetPr>
  <dimension ref="A1:P112"/>
  <sheetViews>
    <sheetView workbookViewId="0">
      <selection sqref="A1:P3"/>
    </sheetView>
  </sheetViews>
  <sheetFormatPr defaultColWidth="14.44140625" defaultRowHeight="15.75" customHeight="1" x14ac:dyDescent="0.3"/>
  <sheetData>
    <row r="1" spans="1:16" ht="13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16" ht="14.4" x14ac:dyDescent="0.3">
      <c r="B5" s="3" t="s">
        <v>1</v>
      </c>
      <c r="C5" s="4" t="s">
        <v>2</v>
      </c>
      <c r="F5" s="3" t="s">
        <v>1</v>
      </c>
      <c r="G5" s="4" t="s">
        <v>3</v>
      </c>
      <c r="J5" s="3" t="s">
        <v>1</v>
      </c>
      <c r="K5" s="4" t="s">
        <v>4</v>
      </c>
      <c r="L5" s="4" t="s">
        <v>5</v>
      </c>
    </row>
    <row r="6" spans="1:16" ht="14.4" x14ac:dyDescent="0.3">
      <c r="B6" s="5" t="s">
        <v>6</v>
      </c>
      <c r="C6" s="6">
        <f ca="1">IFERROR(__xludf.DUMMYFUNCTION("GOOGLEFINANCE(""nse:""&amp;B6,""marketcap"")/10000000"),94716.155625)</f>
        <v>94716.155624999999</v>
      </c>
      <c r="F6" s="7" t="s">
        <v>6</v>
      </c>
      <c r="G6" s="8">
        <v>91370</v>
      </c>
      <c r="J6" s="7" t="s">
        <v>6</v>
      </c>
      <c r="K6" s="9">
        <v>7617</v>
      </c>
      <c r="L6" s="10">
        <v>1731</v>
      </c>
    </row>
    <row r="7" spans="1:16" ht="14.4" x14ac:dyDescent="0.3">
      <c r="B7" s="5" t="s">
        <v>7</v>
      </c>
      <c r="C7" s="6">
        <f ca="1">IFERROR(__xludf.DUMMYFUNCTION("GOOGLEFINANCE(""nse:""&amp;B7,""marketcap"")/10000000"),29428.36515)</f>
        <v>29428.365150000001</v>
      </c>
      <c r="F7" s="7" t="s">
        <v>7</v>
      </c>
      <c r="G7" s="11">
        <v>286800</v>
      </c>
      <c r="J7" s="7" t="s">
        <v>7</v>
      </c>
      <c r="K7" s="11">
        <v>27067</v>
      </c>
      <c r="L7" s="12">
        <v>4760</v>
      </c>
    </row>
    <row r="8" spans="1:16" ht="14.4" x14ac:dyDescent="0.3">
      <c r="B8" s="5" t="s">
        <v>8</v>
      </c>
      <c r="C8" s="6">
        <f ca="1">IFERROR(__xludf.DUMMYFUNCTION("GOOGLEFINANCE(""nse:""&amp;B8,""marketcap"")/10000000"),20496.6915235)</f>
        <v>20496.691523500001</v>
      </c>
      <c r="F8" s="7" t="s">
        <v>8</v>
      </c>
      <c r="G8" s="13">
        <v>71240</v>
      </c>
      <c r="J8" s="7" t="s">
        <v>8</v>
      </c>
      <c r="K8" s="14">
        <v>7050</v>
      </c>
      <c r="L8" s="15">
        <v>1508</v>
      </c>
    </row>
    <row r="9" spans="1:16" ht="14.4" x14ac:dyDescent="0.3">
      <c r="B9" s="5" t="s">
        <v>9</v>
      </c>
      <c r="C9" s="6">
        <f ca="1">IFERROR(__xludf.DUMMYFUNCTION("GOOGLEFINANCE(""nse:""&amp;B9,""marketcap"")/10000000"),18583.5781943)</f>
        <v>18583.5781943</v>
      </c>
      <c r="F9" s="7" t="s">
        <v>9</v>
      </c>
      <c r="G9" s="16">
        <v>21100</v>
      </c>
      <c r="J9" s="7" t="s">
        <v>9</v>
      </c>
      <c r="K9" s="17">
        <v>2587</v>
      </c>
      <c r="L9" s="18">
        <v>750</v>
      </c>
    </row>
    <row r="10" spans="1:16" ht="14.4" x14ac:dyDescent="0.3">
      <c r="B10" s="5" t="s">
        <v>10</v>
      </c>
      <c r="C10" s="6">
        <f ca="1">IFERROR(__xludf.DUMMYFUNCTION("GOOGLEFINANCE(""nse:""&amp;B10,""marketcap"")/10000000"),15305.1666983)</f>
        <v>15305.1666983</v>
      </c>
      <c r="F10" s="7" t="s">
        <v>10</v>
      </c>
      <c r="G10" s="19">
        <v>6760</v>
      </c>
      <c r="J10" s="7" t="s">
        <v>10</v>
      </c>
      <c r="K10" s="20">
        <v>1037</v>
      </c>
      <c r="L10" s="21">
        <v>480</v>
      </c>
    </row>
    <row r="11" spans="1:16" ht="15" thickBot="1" x14ac:dyDescent="0.35">
      <c r="B11" s="5" t="s">
        <v>11</v>
      </c>
      <c r="C11" s="6">
        <f ca="1">IFERROR(__xludf.DUMMYFUNCTION("GOOGLEFINANCE(""nse:""&amp;B11,""marketcap"")/10000000"),14005.77459)</f>
        <v>14005.774590000001</v>
      </c>
      <c r="F11" s="22" t="s">
        <v>11</v>
      </c>
      <c r="G11" s="23">
        <v>17310</v>
      </c>
      <c r="J11" s="7" t="s">
        <v>11</v>
      </c>
      <c r="K11" s="24">
        <v>2018</v>
      </c>
      <c r="L11" s="25">
        <v>491</v>
      </c>
    </row>
    <row r="12" spans="1:16" ht="15" thickTop="1" x14ac:dyDescent="0.3">
      <c r="B12" s="5" t="s">
        <v>12</v>
      </c>
      <c r="C12" s="6">
        <f ca="1">IFERROR(__xludf.DUMMYFUNCTION("GOOGLEFINANCE(""nse:""&amp;B12,""marketcap"")/10000000"),11511.92)</f>
        <v>11511.92</v>
      </c>
      <c r="J12" s="7" t="s">
        <v>12</v>
      </c>
      <c r="K12" s="8">
        <v>8579</v>
      </c>
      <c r="L12" s="26">
        <v>1214</v>
      </c>
    </row>
    <row r="13" spans="1:16" ht="14.4" x14ac:dyDescent="0.3">
      <c r="B13" s="5" t="s">
        <v>13</v>
      </c>
      <c r="C13" s="6">
        <f ca="1">IFERROR(__xludf.DUMMYFUNCTION("GOOGLEFINANCE(""nse:""&amp;B13,""marketcap"")/10000000"),8162.34633)</f>
        <v>8162.3463300000003</v>
      </c>
      <c r="J13" s="7" t="s">
        <v>13</v>
      </c>
      <c r="K13" s="27">
        <v>3525</v>
      </c>
      <c r="L13" s="18">
        <v>751</v>
      </c>
    </row>
    <row r="14" spans="1:16" ht="15" thickBot="1" x14ac:dyDescent="0.35">
      <c r="B14" s="5" t="s">
        <v>14</v>
      </c>
      <c r="C14" s="6">
        <f ca="1">IFERROR(__xludf.DUMMYFUNCTION("GOOGLEFINANCE(""nse:""&amp;B14,""marketcap"")/10000000"),8839.8079318)</f>
        <v>8839.8079318</v>
      </c>
      <c r="J14" s="22" t="s">
        <v>14</v>
      </c>
      <c r="K14" s="28">
        <v>1137</v>
      </c>
      <c r="L14" s="29">
        <v>305</v>
      </c>
    </row>
    <row r="15" spans="1:16" ht="15" thickTop="1" thickBot="1" x14ac:dyDescent="0.35">
      <c r="B15" s="30" t="s">
        <v>15</v>
      </c>
      <c r="C15" s="30">
        <v>14164</v>
      </c>
    </row>
    <row r="17" spans="2:12" ht="14.4" thickTop="1" x14ac:dyDescent="0.3">
      <c r="B17" s="31" t="s">
        <v>16</v>
      </c>
      <c r="C17" s="32">
        <f ca="1">SUM(C6:C15)</f>
        <v>235213.80604289999</v>
      </c>
      <c r="F17" s="31" t="s">
        <v>16</v>
      </c>
      <c r="G17" s="31">
        <v>507780</v>
      </c>
      <c r="J17" s="31" t="s">
        <v>16</v>
      </c>
      <c r="K17" s="31">
        <v>64220</v>
      </c>
      <c r="L17" s="31">
        <v>12813</v>
      </c>
    </row>
    <row r="33" spans="2:11" ht="15" thickTop="1" x14ac:dyDescent="0.3">
      <c r="B33" s="33" t="s">
        <v>1</v>
      </c>
      <c r="C33" s="34" t="s">
        <v>17</v>
      </c>
      <c r="F33" s="33" t="s">
        <v>1</v>
      </c>
      <c r="G33" s="4" t="s">
        <v>18</v>
      </c>
      <c r="J33" s="33" t="s">
        <v>1</v>
      </c>
      <c r="K33" s="4" t="s">
        <v>19</v>
      </c>
    </row>
    <row r="34" spans="2:11" ht="13.8" x14ac:dyDescent="0.3">
      <c r="B34" s="7" t="s">
        <v>6</v>
      </c>
      <c r="C34" s="35">
        <v>0.22725482473414729</v>
      </c>
      <c r="F34" s="7" t="s">
        <v>6</v>
      </c>
      <c r="G34" s="36">
        <v>0.30299999999999999</v>
      </c>
      <c r="J34" s="7" t="s">
        <v>6</v>
      </c>
      <c r="K34" s="37">
        <v>2.7000000000000001E-3</v>
      </c>
    </row>
    <row r="35" spans="2:11" ht="13.8" x14ac:dyDescent="0.3">
      <c r="B35" s="7" t="s">
        <v>7</v>
      </c>
      <c r="C35" s="38">
        <v>0.17585990320316253</v>
      </c>
      <c r="F35" s="7" t="s">
        <v>7</v>
      </c>
      <c r="G35" s="36">
        <v>8.4000000000000005E-2</v>
      </c>
      <c r="J35" s="7" t="s">
        <v>7</v>
      </c>
      <c r="K35" s="37">
        <v>3.3099999999999997E-2</v>
      </c>
    </row>
    <row r="36" spans="2:11" ht="13.8" x14ac:dyDescent="0.3">
      <c r="B36" s="7" t="s">
        <v>8</v>
      </c>
      <c r="C36" s="39">
        <v>0.21390070921985815</v>
      </c>
      <c r="F36" s="7" t="s">
        <v>8</v>
      </c>
      <c r="G36" s="36">
        <v>-4.5999999999999999E-2</v>
      </c>
      <c r="J36" s="7" t="s">
        <v>8</v>
      </c>
      <c r="K36" s="37">
        <v>1.4999999999999999E-2</v>
      </c>
    </row>
    <row r="37" spans="2:11" ht="13.8" x14ac:dyDescent="0.3">
      <c r="B37" s="7" t="s">
        <v>9</v>
      </c>
      <c r="C37" s="40">
        <v>0.28991109393119441</v>
      </c>
      <c r="F37" s="7" t="s">
        <v>9</v>
      </c>
      <c r="G37" s="36">
        <v>0.16500000000000001</v>
      </c>
      <c r="J37" s="7" t="s">
        <v>9</v>
      </c>
      <c r="K37" s="37">
        <v>1.0999999999999999E-2</v>
      </c>
    </row>
    <row r="38" spans="2:11" ht="13.8" x14ac:dyDescent="0.3">
      <c r="B38" s="7" t="s">
        <v>10</v>
      </c>
      <c r="C38" s="41">
        <v>0.46287367405978785</v>
      </c>
      <c r="F38" s="7" t="s">
        <v>10</v>
      </c>
      <c r="G38" s="36">
        <v>0.253</v>
      </c>
      <c r="J38" s="7" t="s">
        <v>10</v>
      </c>
      <c r="K38" s="37">
        <v>1.0699999999999999E-2</v>
      </c>
    </row>
    <row r="39" spans="2:11" ht="13.8" x14ac:dyDescent="0.3">
      <c r="B39" s="7" t="s">
        <v>11</v>
      </c>
      <c r="C39" s="42">
        <v>0.24331020812685827</v>
      </c>
      <c r="F39" s="7" t="s">
        <v>11</v>
      </c>
      <c r="G39" s="36">
        <v>0.223</v>
      </c>
      <c r="J39" s="7" t="s">
        <v>11</v>
      </c>
      <c r="K39" s="37">
        <v>9.4000000000000004E-3</v>
      </c>
    </row>
    <row r="40" spans="2:11" ht="13.8" x14ac:dyDescent="0.3">
      <c r="B40" s="7" t="s">
        <v>12</v>
      </c>
      <c r="C40" s="43">
        <v>0.14150833430469753</v>
      </c>
      <c r="F40" s="7" t="s">
        <v>12</v>
      </c>
      <c r="G40" s="36"/>
      <c r="J40" s="7" t="s">
        <v>12</v>
      </c>
    </row>
    <row r="41" spans="2:11" ht="13.8" x14ac:dyDescent="0.3">
      <c r="B41" s="7" t="s">
        <v>13</v>
      </c>
      <c r="C41" s="44">
        <v>0.21304964539007093</v>
      </c>
      <c r="F41" s="7" t="s">
        <v>13</v>
      </c>
      <c r="G41" s="36">
        <v>0.14799999999999999</v>
      </c>
      <c r="J41" s="7" t="s">
        <v>13</v>
      </c>
      <c r="K41" s="37">
        <v>8.2000000000000007E-3</v>
      </c>
    </row>
    <row r="42" spans="2:11" ht="14.4" thickBot="1" x14ac:dyDescent="0.35">
      <c r="B42" s="22" t="s">
        <v>14</v>
      </c>
      <c r="C42" s="45">
        <v>0.26824978012313105</v>
      </c>
      <c r="F42" s="22" t="s">
        <v>14</v>
      </c>
      <c r="G42" s="46">
        <v>0.28799999999999998</v>
      </c>
      <c r="J42" s="22" t="s">
        <v>14</v>
      </c>
      <c r="K42" s="47">
        <v>1.7000000000000001E-2</v>
      </c>
    </row>
    <row r="44" spans="2:11" ht="14.4" thickTop="1" x14ac:dyDescent="0.3">
      <c r="B44" s="31" t="s">
        <v>16</v>
      </c>
      <c r="C44" s="48">
        <v>0.19951728433509811</v>
      </c>
      <c r="F44" s="31" t="s">
        <v>16</v>
      </c>
      <c r="G44" s="48">
        <v>0.19400000000000001</v>
      </c>
      <c r="J44" s="31" t="s">
        <v>16</v>
      </c>
      <c r="K44" s="48">
        <v>0.19400000000000001</v>
      </c>
    </row>
    <row r="60" spans="1:12" ht="14.4" x14ac:dyDescent="0.3">
      <c r="A60" s="3" t="s">
        <v>20</v>
      </c>
      <c r="B60" s="3" t="s">
        <v>1</v>
      </c>
      <c r="C60" s="3" t="s">
        <v>21</v>
      </c>
      <c r="D60" s="4" t="s">
        <v>2</v>
      </c>
      <c r="E60" s="4" t="s">
        <v>3</v>
      </c>
      <c r="F60" s="4" t="s">
        <v>4</v>
      </c>
      <c r="G60" s="4" t="s">
        <v>5</v>
      </c>
      <c r="H60" s="4" t="s">
        <v>22</v>
      </c>
      <c r="I60" s="4" t="s">
        <v>23</v>
      </c>
      <c r="J60" s="4" t="s">
        <v>17</v>
      </c>
      <c r="K60" s="4" t="s">
        <v>18</v>
      </c>
      <c r="L60" s="4" t="s">
        <v>19</v>
      </c>
    </row>
    <row r="61" spans="1:12" ht="14.4" x14ac:dyDescent="0.3">
      <c r="A61" s="5">
        <v>544252</v>
      </c>
      <c r="B61" s="5" t="s">
        <v>6</v>
      </c>
      <c r="C61" s="49">
        <f ca="1">IFERROR(__xludf.DUMMYFUNCTION("GOOGLEFINANCE(""bom:""&amp;A61,""price"")"),113.75)</f>
        <v>113.75</v>
      </c>
      <c r="D61" s="6">
        <f ca="1">IFERROR(__xludf.DUMMYFUNCTION("GOOGLEFINANCE(""bom:""&amp;A61,""marketcap"")/10000000"),94716.155625)</f>
        <v>94716.155624999999</v>
      </c>
      <c r="E61" s="5">
        <v>91370</v>
      </c>
      <c r="F61" s="5">
        <v>7617</v>
      </c>
      <c r="G61" s="50">
        <v>1731</v>
      </c>
      <c r="H61" s="50">
        <v>5665</v>
      </c>
      <c r="I61" s="50">
        <v>1258</v>
      </c>
      <c r="J61" s="36">
        <f t="shared" ref="J61:J74" si="0">G61/F61</f>
        <v>0.22725482473414729</v>
      </c>
      <c r="K61" s="36">
        <v>0.30299999999999999</v>
      </c>
      <c r="L61" s="37">
        <v>2.7000000000000001E-3</v>
      </c>
    </row>
    <row r="62" spans="1:12" ht="14.4" x14ac:dyDescent="0.3">
      <c r="A62" s="5">
        <v>500253</v>
      </c>
      <c r="B62" s="5" t="s">
        <v>7</v>
      </c>
      <c r="C62" s="49">
        <f ca="1">IFERROR(__xludf.DUMMYFUNCTION("GOOGLEFINANCE(""bom:""&amp;A62,""price"")"),534.5)</f>
        <v>534.5</v>
      </c>
      <c r="D62" s="6">
        <f ca="1">IFERROR(__xludf.DUMMYFUNCTION("GOOGLEFINANCE(""bom:""&amp;A62,""marketcap"")/10000000"),29428.36515)</f>
        <v>29428.365150000001</v>
      </c>
      <c r="E62" s="5">
        <v>286800</v>
      </c>
      <c r="F62" s="5">
        <v>27067</v>
      </c>
      <c r="G62" s="50">
        <v>4760</v>
      </c>
      <c r="H62" s="50">
        <v>22546</v>
      </c>
      <c r="I62" s="50">
        <v>2891</v>
      </c>
      <c r="J62" s="36">
        <f t="shared" si="0"/>
        <v>0.17585990320316253</v>
      </c>
      <c r="K62" s="36">
        <v>8.4000000000000005E-2</v>
      </c>
      <c r="L62" s="37">
        <v>3.3099999999999997E-2</v>
      </c>
    </row>
    <row r="63" spans="1:12" ht="14.4" x14ac:dyDescent="0.3">
      <c r="A63" s="5">
        <v>540173</v>
      </c>
      <c r="B63" s="5" t="s">
        <v>8</v>
      </c>
      <c r="C63" s="49">
        <f ca="1">IFERROR(__xludf.DUMMYFUNCTION("GOOGLEFINANCE(""bom:""&amp;A63,""price"")"),787.95)</f>
        <v>787.95</v>
      </c>
      <c r="D63" s="6">
        <f ca="1">IFERROR(__xludf.DUMMYFUNCTION("GOOGLEFINANCE(""bom:""&amp;A63,""marketcap"")/10000000"),20496.6915235)</f>
        <v>20496.691523500001</v>
      </c>
      <c r="E63" s="5">
        <v>71240</v>
      </c>
      <c r="F63" s="5">
        <v>7050</v>
      </c>
      <c r="G63" s="50">
        <v>1508</v>
      </c>
      <c r="H63" s="50">
        <v>6527</v>
      </c>
      <c r="I63" s="50">
        <v>1046</v>
      </c>
      <c r="J63" s="36">
        <f t="shared" si="0"/>
        <v>0.21390070921985815</v>
      </c>
      <c r="K63" s="36">
        <v>-4.5999999999999999E-2</v>
      </c>
      <c r="L63" s="37">
        <v>1.4999999999999999E-2</v>
      </c>
    </row>
    <row r="64" spans="1:12" ht="14.4" x14ac:dyDescent="0.3">
      <c r="A64" s="5">
        <v>544176</v>
      </c>
      <c r="B64" s="5" t="s">
        <v>9</v>
      </c>
      <c r="C64" s="49">
        <f ca="1">IFERROR(__xludf.DUMMYFUNCTION("GOOGLEFINANCE(""bom:""&amp;A64,""price"")"),431.55)</f>
        <v>431.55</v>
      </c>
      <c r="D64" s="6">
        <f ca="1">IFERROR(__xludf.DUMMYFUNCTION("GOOGLEFINANCE(""bom:""&amp;A64,""marketcap"")/10000000"),18583.5781943)</f>
        <v>18583.5781943</v>
      </c>
      <c r="E64" s="5">
        <v>21100</v>
      </c>
      <c r="F64" s="5">
        <v>2587</v>
      </c>
      <c r="G64" s="50">
        <v>750</v>
      </c>
      <c r="H64" s="50">
        <v>2043</v>
      </c>
      <c r="I64" s="50">
        <v>545</v>
      </c>
      <c r="J64" s="36">
        <f t="shared" si="0"/>
        <v>0.28991109393119441</v>
      </c>
      <c r="K64" s="36">
        <v>0.16500000000000001</v>
      </c>
      <c r="L64" s="37">
        <v>1.0999999999999999E-2</v>
      </c>
    </row>
    <row r="65" spans="1:12" ht="14.4" x14ac:dyDescent="0.3">
      <c r="A65" s="5">
        <v>543335</v>
      </c>
      <c r="B65" s="5" t="s">
        <v>10</v>
      </c>
      <c r="C65" s="49">
        <f ca="1">IFERROR(__xludf.DUMMYFUNCTION("GOOGLEFINANCE(""bom:""&amp;A65,""price"")"),305.65)</f>
        <v>305.64999999999998</v>
      </c>
      <c r="D65" s="6">
        <f ca="1">IFERROR(__xludf.DUMMYFUNCTION("GOOGLEFINANCE(""bom:""&amp;A65,""marketcap"")/10000000"),15305.1666983)</f>
        <v>15305.1666983</v>
      </c>
      <c r="E65" s="5">
        <v>6760</v>
      </c>
      <c r="F65" s="5">
        <v>1037</v>
      </c>
      <c r="G65" s="50">
        <v>480</v>
      </c>
      <c r="H65" s="50">
        <v>928</v>
      </c>
      <c r="I65" s="50">
        <v>424</v>
      </c>
      <c r="J65" s="36">
        <f t="shared" si="0"/>
        <v>0.46287367405978785</v>
      </c>
      <c r="K65" s="36">
        <v>0.253</v>
      </c>
      <c r="L65" s="37">
        <v>1.0699999999999999E-2</v>
      </c>
    </row>
    <row r="66" spans="1:12" ht="14.4" x14ac:dyDescent="0.3">
      <c r="A66" s="5">
        <v>541988</v>
      </c>
      <c r="B66" s="5" t="s">
        <v>11</v>
      </c>
      <c r="C66" s="49">
        <f ca="1">IFERROR(__xludf.DUMMYFUNCTION("GOOGLEFINANCE(""bom:""&amp;A66,""price"")"),1770)</f>
        <v>1770</v>
      </c>
      <c r="D66" s="6">
        <f ca="1">IFERROR(__xludf.DUMMYFUNCTION("GOOGLEFINANCE(""bom:""&amp;A66,""marketcap"")/10000000"),14005.77459)</f>
        <v>14005.774590000001</v>
      </c>
      <c r="E66" s="5">
        <v>17310</v>
      </c>
      <c r="F66" s="5">
        <v>2018</v>
      </c>
      <c r="G66" s="50">
        <v>491</v>
      </c>
      <c r="H66" s="50">
        <v>1609</v>
      </c>
      <c r="I66" s="50">
        <v>430</v>
      </c>
      <c r="J66" s="36">
        <f t="shared" si="0"/>
        <v>0.24331020812685827</v>
      </c>
      <c r="K66" s="36">
        <v>0.223</v>
      </c>
      <c r="L66" s="37">
        <v>9.4000000000000004E-3</v>
      </c>
    </row>
    <row r="67" spans="1:12" ht="14.4" x14ac:dyDescent="0.3">
      <c r="A67" s="5">
        <v>535789</v>
      </c>
      <c r="B67" s="5" t="s">
        <v>12</v>
      </c>
      <c r="C67" s="49">
        <f ca="1">IFERROR(__xludf.DUMMYFUNCTION("GOOGLEFINANCE(""bom:""&amp;A67,""price"")"),110.05)</f>
        <v>110.05</v>
      </c>
      <c r="D67" s="51">
        <f ca="1">IFERROR(__xludf.DUMMYFUNCTION("GOOGLEFINANCE(""bom:""&amp;A67,""marketcap"")/10000000"),11511.92)</f>
        <v>11511.92</v>
      </c>
      <c r="F67" s="5">
        <v>8579</v>
      </c>
      <c r="G67" s="50">
        <v>1214</v>
      </c>
      <c r="H67" s="50">
        <v>8719</v>
      </c>
      <c r="I67" s="50">
        <v>1130</v>
      </c>
      <c r="J67" s="36">
        <f t="shared" si="0"/>
        <v>0.14150833430469753</v>
      </c>
      <c r="K67" s="36"/>
    </row>
    <row r="68" spans="1:12" ht="14.4" x14ac:dyDescent="0.3">
      <c r="A68" s="5">
        <v>511196</v>
      </c>
      <c r="B68" s="5" t="s">
        <v>13</v>
      </c>
      <c r="C68" s="49">
        <f ca="1">IFERROR(__xludf.DUMMYFUNCTION("GOOGLEFINANCE(""bom:""&amp;A68,""price"")"),611.3)</f>
        <v>611.29999999999995</v>
      </c>
      <c r="D68" s="51">
        <f ca="1">IFERROR(__xludf.DUMMYFUNCTION("GOOGLEFINANCE(""bom:""&amp;A68,""marketcap"")/10000000"),8162.34633)</f>
        <v>8162.3463300000003</v>
      </c>
      <c r="E68" s="5">
        <v>3500</v>
      </c>
      <c r="F68" s="5">
        <v>3525</v>
      </c>
      <c r="G68" s="50">
        <v>751</v>
      </c>
      <c r="H68" s="50">
        <v>2743</v>
      </c>
      <c r="I68" s="50">
        <v>621</v>
      </c>
      <c r="J68" s="36">
        <f t="shared" si="0"/>
        <v>0.21304964539007093</v>
      </c>
      <c r="K68" s="36">
        <v>0.14799999999999999</v>
      </c>
      <c r="L68" s="37">
        <v>8.2000000000000007E-3</v>
      </c>
    </row>
    <row r="69" spans="1:12" ht="14.4" x14ac:dyDescent="0.3">
      <c r="A69" s="5">
        <v>543259</v>
      </c>
      <c r="B69" s="5" t="s">
        <v>14</v>
      </c>
      <c r="C69" s="49">
        <f ca="1">IFERROR(__xludf.DUMMYFUNCTION("GOOGLEFINANCE(""bom:""&amp;A69,""price"")"),985.6)</f>
        <v>985.6</v>
      </c>
      <c r="D69" s="51">
        <f ca="1">IFERROR(__xludf.DUMMYFUNCTION("GOOGLEFINANCE(""bom:""&amp;A69,""marketcap"")/10000000"),8839.8079318)</f>
        <v>8839.8079318</v>
      </c>
      <c r="E69" s="5">
        <v>9700</v>
      </c>
      <c r="F69" s="5">
        <v>1137</v>
      </c>
      <c r="G69" s="50">
        <v>305</v>
      </c>
      <c r="H69" s="50">
        <v>791</v>
      </c>
      <c r="I69" s="50">
        <v>228</v>
      </c>
      <c r="J69" s="36">
        <f t="shared" si="0"/>
        <v>0.26824978012313105</v>
      </c>
      <c r="K69" s="36">
        <v>0.28799999999999998</v>
      </c>
      <c r="L69" s="37">
        <v>1.7000000000000001E-2</v>
      </c>
    </row>
    <row r="70" spans="1:12" ht="14.4" x14ac:dyDescent="0.3">
      <c r="A70" s="5">
        <v>544044</v>
      </c>
      <c r="B70" s="5" t="s">
        <v>24</v>
      </c>
      <c r="C70" s="49">
        <f ca="1">IFERROR(__xludf.DUMMYFUNCTION("GOOGLEFINANCE(""bom:""&amp;A70,""price"")"),760.05)</f>
        <v>760.05</v>
      </c>
      <c r="D70" s="51">
        <f ca="1">IFERROR(__xludf.DUMMYFUNCTION("GOOGLEFINANCE(""bom:""&amp;A70,""marketcap"")/10000000"),8198.0815803)</f>
        <v>8198.0815803000005</v>
      </c>
      <c r="F70" s="5">
        <v>829</v>
      </c>
      <c r="G70" s="50">
        <v>247</v>
      </c>
      <c r="H70" s="50">
        <v>584</v>
      </c>
      <c r="I70" s="50">
        <v>155</v>
      </c>
      <c r="J70" s="36">
        <f t="shared" si="0"/>
        <v>0.29794933655006034</v>
      </c>
    </row>
    <row r="71" spans="1:12" ht="14.4" x14ac:dyDescent="0.3">
      <c r="A71" s="5">
        <v>535322</v>
      </c>
      <c r="B71" s="5" t="s">
        <v>25</v>
      </c>
      <c r="C71" s="49">
        <f ca="1">IFERROR(__xludf.DUMMYFUNCTION("GOOGLEFINANCE(""bom:""&amp;A71,""price"")"),318.5)</f>
        <v>318.5</v>
      </c>
      <c r="D71" s="51">
        <f ca="1">IFERROR(__xludf.DUMMYFUNCTION("GOOGLEFINANCE(""bom:""&amp;A71,""marketcap"")/10000000"),1982.2567297)</f>
        <v>1982.2567297000001</v>
      </c>
      <c r="F71" s="5">
        <v>1528</v>
      </c>
      <c r="G71" s="52">
        <v>395</v>
      </c>
      <c r="H71" s="52">
        <v>1285</v>
      </c>
      <c r="I71" s="52">
        <v>296</v>
      </c>
      <c r="J71" s="36">
        <f t="shared" si="0"/>
        <v>0.25850785340314136</v>
      </c>
    </row>
    <row r="72" spans="1:12" ht="14.4" x14ac:dyDescent="0.3">
      <c r="A72" s="5">
        <v>511676</v>
      </c>
      <c r="B72" s="5" t="s">
        <v>26</v>
      </c>
      <c r="C72" s="49">
        <f ca="1">IFERROR(__xludf.DUMMYFUNCTION("GOOGLEFINANCE(""bom:""&amp;A72,""price"")"),164.6)</f>
        <v>164.6</v>
      </c>
      <c r="D72" s="51">
        <f ca="1">IFERROR(__xludf.DUMMYFUNCTION("GOOGLEFINANCE(""bom:""&amp;A72,""marketcap"")/10000000"),886.4852652)</f>
        <v>886.48526519999996</v>
      </c>
      <c r="F72" s="5">
        <v>1060</v>
      </c>
      <c r="G72" s="52">
        <v>151</v>
      </c>
      <c r="H72" s="52">
        <v>1123</v>
      </c>
      <c r="I72" s="52">
        <v>213</v>
      </c>
      <c r="J72" s="36">
        <f t="shared" si="0"/>
        <v>0.14245283018867924</v>
      </c>
    </row>
    <row r="73" spans="1:12" ht="14.4" x14ac:dyDescent="0.3">
      <c r="A73" s="5">
        <v>534680</v>
      </c>
      <c r="B73" s="5" t="s">
        <v>27</v>
      </c>
      <c r="C73" s="49">
        <f ca="1">IFERROR(__xludf.DUMMYFUNCTION("GOOGLEFINANCE(""bom:""&amp;A73,""price"")"),295)</f>
        <v>295</v>
      </c>
      <c r="D73" s="51">
        <f ca="1">IFERROR(__xludf.DUMMYFUNCTION("GOOGLEFINANCE(""bom:""&amp;A73,""marketcap"")/10000000"),470.2749)</f>
        <v>470.2749</v>
      </c>
      <c r="F73" s="5">
        <v>127</v>
      </c>
      <c r="G73" s="52">
        <v>21</v>
      </c>
      <c r="H73" s="52">
        <v>94</v>
      </c>
      <c r="I73" s="52">
        <v>17</v>
      </c>
      <c r="J73" s="36">
        <f t="shared" si="0"/>
        <v>0.16535433070866143</v>
      </c>
    </row>
    <row r="74" spans="1:12" ht="14.4" x14ac:dyDescent="0.3">
      <c r="A74" s="5">
        <v>539017</v>
      </c>
      <c r="B74" s="5" t="s">
        <v>28</v>
      </c>
      <c r="C74" s="49">
        <f ca="1">IFERROR(__xludf.DUMMYFUNCTION("GOOGLEFINANCE(""bom:""&amp;A74,""price"")"),32)</f>
        <v>32</v>
      </c>
      <c r="D74" s="51">
        <f ca="1">IFERROR(__xludf.DUMMYFUNCTION("GOOGLEFINANCE(""bom:""&amp;A74,""marketcap"")/10000000"),251.905984)</f>
        <v>251.90598399999999</v>
      </c>
      <c r="F74" s="5">
        <v>59</v>
      </c>
      <c r="G74" s="52">
        <v>9</v>
      </c>
      <c r="H74" s="52">
        <v>35</v>
      </c>
      <c r="I74" s="52">
        <v>7</v>
      </c>
      <c r="J74" s="36">
        <f t="shared" si="0"/>
        <v>0.15254237288135594</v>
      </c>
    </row>
    <row r="75" spans="1:12" ht="14.4" x14ac:dyDescent="0.3">
      <c r="A75" s="5">
        <v>540709</v>
      </c>
      <c r="B75" s="5" t="s">
        <v>29</v>
      </c>
      <c r="C75" s="49">
        <f ca="1">IFERROR(__xludf.DUMMYFUNCTION("GOOGLEFINANCE(""bom:""&amp;A75,""price"")"),3.39)</f>
        <v>3.39</v>
      </c>
      <c r="D75" s="51">
        <f ca="1">IFERROR(__xludf.DUMMYFUNCTION("GOOGLEFINANCE(""bom:""&amp;A75,""marketcap"")/10000000"),165.8901475)</f>
        <v>165.89014750000001</v>
      </c>
    </row>
    <row r="76" spans="1:12" ht="14.4" x14ac:dyDescent="0.3">
      <c r="A76" s="5">
        <v>511740</v>
      </c>
      <c r="B76" s="5" t="s">
        <v>30</v>
      </c>
      <c r="C76" s="49">
        <f ca="1">IFERROR(__xludf.DUMMYFUNCTION("GOOGLEFINANCE(""bom:""&amp;A76,""price"")"),164.7)</f>
        <v>164.7</v>
      </c>
      <c r="D76" s="51">
        <f ca="1">IFERROR(__xludf.DUMMYFUNCTION("GOOGLEFINANCE(""bom:""&amp;A76,""marketcap"")/10000000"),50.760539)</f>
        <v>50.760539000000001</v>
      </c>
    </row>
    <row r="77" spans="1:12" ht="14.4" x14ac:dyDescent="0.3">
      <c r="A77" s="5">
        <v>530979</v>
      </c>
      <c r="B77" s="5" t="s">
        <v>31</v>
      </c>
      <c r="C77" s="49">
        <f ca="1">IFERROR(__xludf.DUMMYFUNCTION("GOOGLEFINANCE(""bom:""&amp;A77,""price"")"),31.8)</f>
        <v>31.8</v>
      </c>
      <c r="D77" s="51">
        <f ca="1">IFERROR(__xludf.DUMMYFUNCTION("GOOGLEFINANCE(""bom:""&amp;A77,""marketcap"")/10000000"),45.4159639)</f>
        <v>45.415963900000001</v>
      </c>
    </row>
    <row r="78" spans="1:12" ht="14.4" x14ac:dyDescent="0.3">
      <c r="A78" s="5">
        <v>523465</v>
      </c>
      <c r="B78" s="5" t="s">
        <v>32</v>
      </c>
      <c r="C78" s="49">
        <f ca="1">IFERROR(__xludf.DUMMYFUNCTION("GOOGLEFINANCE(""bom:""&amp;A78,""price"")"),43.88)</f>
        <v>43.88</v>
      </c>
      <c r="D78" s="51">
        <f ca="1">IFERROR(__xludf.DUMMYFUNCTION("GOOGLEFINANCE(""bom:""&amp;A78,""marketcap"")/10000000"),43.880001)</f>
        <v>43.880001</v>
      </c>
    </row>
    <row r="79" spans="1:12" ht="14.4" x14ac:dyDescent="0.3">
      <c r="A79" s="5">
        <v>511533</v>
      </c>
      <c r="B79" s="5" t="s">
        <v>33</v>
      </c>
      <c r="C79" s="49">
        <f ca="1">IFERROR(__xludf.DUMMYFUNCTION("GOOGLEFINANCE(""bom:""&amp;A79,""price"")"),43.4)</f>
        <v>43.4</v>
      </c>
      <c r="D79" s="51">
        <f ca="1">IFERROR(__xludf.DUMMYFUNCTION("GOOGLEFINANCE(""bom:""&amp;A79,""marketcap"")/10000000"),30.380001)</f>
        <v>30.380001</v>
      </c>
    </row>
    <row r="80" spans="1:12" ht="15" thickBot="1" x14ac:dyDescent="0.35">
      <c r="A80" s="30">
        <v>509650</v>
      </c>
      <c r="B80" s="30" t="s">
        <v>34</v>
      </c>
      <c r="C80" s="53">
        <f ca="1">IFERROR(__xludf.DUMMYFUNCTION("GOOGLEFINANCE(""bom:""&amp;A80,""price"")"),38.74)</f>
        <v>38.74</v>
      </c>
      <c r="D80" s="54">
        <v>0.09</v>
      </c>
      <c r="E80" s="30"/>
      <c r="F80" s="30"/>
      <c r="G80" s="30"/>
      <c r="H80" s="30"/>
      <c r="I80" s="30"/>
      <c r="J80" s="30"/>
      <c r="K80" s="30"/>
      <c r="L80" s="30"/>
    </row>
    <row r="82" spans="1:12" ht="14.4" thickTop="1" x14ac:dyDescent="0.3">
      <c r="A82" s="31"/>
      <c r="B82" s="31" t="s">
        <v>16</v>
      </c>
      <c r="C82" s="31"/>
      <c r="D82" s="32">
        <f t="shared" ref="D82:I82" ca="1" si="1">SUM(D61:D80)</f>
        <v>233175.22715450003</v>
      </c>
      <c r="E82" s="31">
        <f t="shared" si="1"/>
        <v>507780</v>
      </c>
      <c r="F82" s="31">
        <f t="shared" si="1"/>
        <v>64220</v>
      </c>
      <c r="G82" s="31">
        <f t="shared" si="1"/>
        <v>12813</v>
      </c>
      <c r="H82" s="31">
        <f t="shared" si="1"/>
        <v>54692</v>
      </c>
      <c r="I82" s="31">
        <f t="shared" si="1"/>
        <v>9261</v>
      </c>
      <c r="J82" s="48">
        <f>G82/F82</f>
        <v>0.19951728433509811</v>
      </c>
      <c r="K82" s="48">
        <f t="shared" ref="K82:L82" si="2">MEDIAN(K61:K69)</f>
        <v>0.19400000000000001</v>
      </c>
      <c r="L82" s="55">
        <f t="shared" si="2"/>
        <v>1.0849999999999999E-2</v>
      </c>
    </row>
    <row r="84" spans="1:12" ht="14.4" x14ac:dyDescent="0.3">
      <c r="B84" s="56" t="s">
        <v>1</v>
      </c>
      <c r="C84" s="57" t="s">
        <v>35</v>
      </c>
      <c r="D84" s="57" t="s">
        <v>36</v>
      </c>
      <c r="E84" s="57" t="s">
        <v>37</v>
      </c>
      <c r="F84" s="57" t="s">
        <v>38</v>
      </c>
      <c r="G84" s="57" t="s">
        <v>17</v>
      </c>
      <c r="H84" s="57" t="s">
        <v>39</v>
      </c>
      <c r="I84" s="57" t="s">
        <v>40</v>
      </c>
    </row>
    <row r="85" spans="1:12" ht="14.4" x14ac:dyDescent="0.3">
      <c r="B85" s="58" t="s">
        <v>41</v>
      </c>
      <c r="C85" s="59">
        <v>95257</v>
      </c>
      <c r="D85" s="60">
        <v>91370</v>
      </c>
      <c r="E85" s="61">
        <v>7617</v>
      </c>
      <c r="F85" s="60">
        <v>1731</v>
      </c>
      <c r="G85" s="62">
        <v>22.7</v>
      </c>
      <c r="H85" s="59">
        <v>30.3</v>
      </c>
      <c r="I85" s="59">
        <v>0.27</v>
      </c>
    </row>
    <row r="86" spans="1:12" ht="14.4" x14ac:dyDescent="0.3">
      <c r="B86" s="58" t="s">
        <v>42</v>
      </c>
      <c r="C86" s="63">
        <v>29153</v>
      </c>
      <c r="D86" s="59">
        <v>286800</v>
      </c>
      <c r="E86" s="59">
        <v>27067</v>
      </c>
      <c r="F86" s="59">
        <v>4760</v>
      </c>
      <c r="G86" s="64">
        <v>17.600000000000001</v>
      </c>
      <c r="H86" s="64">
        <v>8.4</v>
      </c>
      <c r="I86" s="64">
        <v>3.31</v>
      </c>
    </row>
    <row r="87" spans="1:12" ht="14.4" x14ac:dyDescent="0.3">
      <c r="B87" s="58" t="s">
        <v>43</v>
      </c>
      <c r="C87" s="65">
        <v>17292</v>
      </c>
      <c r="D87" s="66">
        <v>21100</v>
      </c>
      <c r="E87" s="67">
        <v>2587</v>
      </c>
      <c r="F87" s="68">
        <v>750</v>
      </c>
      <c r="G87" s="69">
        <v>29</v>
      </c>
      <c r="H87" s="70">
        <v>16.5</v>
      </c>
      <c r="I87" s="71">
        <v>1.1000000000000001</v>
      </c>
    </row>
    <row r="88" spans="1:12" ht="14.4" x14ac:dyDescent="0.3">
      <c r="B88" s="58" t="s">
        <v>44</v>
      </c>
      <c r="C88" s="72">
        <v>15224</v>
      </c>
      <c r="D88" s="64">
        <v>6760</v>
      </c>
      <c r="E88" s="64">
        <v>1037</v>
      </c>
      <c r="F88" s="73">
        <v>480</v>
      </c>
      <c r="G88" s="59">
        <v>46.3</v>
      </c>
      <c r="H88" s="74">
        <v>25.3</v>
      </c>
      <c r="I88" s="75">
        <v>1.07</v>
      </c>
    </row>
    <row r="89" spans="1:12" ht="14.4" x14ac:dyDescent="0.3">
      <c r="B89" s="58" t="s">
        <v>45</v>
      </c>
      <c r="C89" s="76">
        <v>13500</v>
      </c>
      <c r="D89" s="77">
        <v>17310</v>
      </c>
      <c r="E89" s="78">
        <v>2018</v>
      </c>
      <c r="F89" s="79">
        <v>491</v>
      </c>
      <c r="G89" s="80">
        <v>24.3</v>
      </c>
      <c r="H89" s="81">
        <v>22.3</v>
      </c>
      <c r="I89" s="82">
        <v>0.94</v>
      </c>
    </row>
    <row r="90" spans="1:12" ht="14.4" x14ac:dyDescent="0.3">
      <c r="B90" s="58" t="s">
        <v>46</v>
      </c>
      <c r="C90" s="64">
        <v>9024</v>
      </c>
      <c r="D90" s="83">
        <v>9700</v>
      </c>
      <c r="E90" s="84">
        <v>1137</v>
      </c>
      <c r="F90" s="64">
        <v>305</v>
      </c>
      <c r="G90" s="85">
        <v>26.8</v>
      </c>
      <c r="H90" s="86">
        <v>28.8</v>
      </c>
      <c r="I90" s="87">
        <v>1.7</v>
      </c>
    </row>
    <row r="93" spans="1:12" ht="14.4" x14ac:dyDescent="0.3">
      <c r="B93" s="56" t="s">
        <v>1</v>
      </c>
      <c r="C93" s="57" t="s">
        <v>47</v>
      </c>
      <c r="D93" s="57" t="s">
        <v>48</v>
      </c>
      <c r="E93" s="57" t="s">
        <v>49</v>
      </c>
      <c r="F93" s="57" t="s">
        <v>50</v>
      </c>
      <c r="G93" s="57" t="s">
        <v>17</v>
      </c>
      <c r="H93" s="57" t="s">
        <v>39</v>
      </c>
      <c r="I93" s="57" t="s">
        <v>40</v>
      </c>
    </row>
    <row r="94" spans="1:12" ht="14.4" x14ac:dyDescent="0.3">
      <c r="B94" s="58" t="s">
        <v>51</v>
      </c>
      <c r="C94" s="88">
        <v>70</v>
      </c>
      <c r="D94" s="89">
        <v>600</v>
      </c>
      <c r="E94" s="90">
        <v>25</v>
      </c>
      <c r="F94" s="91">
        <v>5</v>
      </c>
      <c r="G94" s="92">
        <v>20</v>
      </c>
      <c r="H94" s="59">
        <v>12.5</v>
      </c>
      <c r="I94" s="93">
        <v>1.2</v>
      </c>
    </row>
    <row r="95" spans="1:12" ht="14.4" x14ac:dyDescent="0.3">
      <c r="B95" s="58" t="s">
        <v>52</v>
      </c>
      <c r="C95" s="59">
        <v>120</v>
      </c>
      <c r="D95" s="59">
        <v>4200</v>
      </c>
      <c r="E95" s="59">
        <v>90</v>
      </c>
      <c r="F95" s="59">
        <v>16</v>
      </c>
      <c r="G95" s="64">
        <v>18</v>
      </c>
      <c r="H95" s="94">
        <v>5.5</v>
      </c>
      <c r="I95" s="95">
        <v>1.1000000000000001</v>
      </c>
    </row>
    <row r="96" spans="1:12" ht="14.4" x14ac:dyDescent="0.3">
      <c r="B96" s="58" t="s">
        <v>53</v>
      </c>
      <c r="C96" s="96">
        <v>80</v>
      </c>
      <c r="D96" s="97">
        <v>2700</v>
      </c>
      <c r="E96" s="98">
        <v>65</v>
      </c>
      <c r="F96" s="99">
        <v>12</v>
      </c>
      <c r="G96" s="100">
        <v>19</v>
      </c>
      <c r="H96" s="64">
        <v>4.8</v>
      </c>
      <c r="I96" s="64">
        <v>1.4</v>
      </c>
    </row>
    <row r="97" spans="2:9" ht="14.4" x14ac:dyDescent="0.3">
      <c r="B97" s="58" t="s">
        <v>54</v>
      </c>
      <c r="C97" s="64">
        <v>50</v>
      </c>
      <c r="D97" s="64">
        <v>380</v>
      </c>
      <c r="E97" s="64">
        <v>18</v>
      </c>
      <c r="F97" s="64">
        <v>4</v>
      </c>
      <c r="G97" s="59">
        <v>22</v>
      </c>
      <c r="H97" s="101">
        <v>6.2</v>
      </c>
      <c r="I97" s="59">
        <v>0.9</v>
      </c>
    </row>
    <row r="98" spans="2:9" ht="14.4" x14ac:dyDescent="0.3">
      <c r="B98" s="102"/>
      <c r="C98" s="102"/>
      <c r="D98" s="102"/>
      <c r="E98" s="102"/>
      <c r="F98" s="102"/>
      <c r="G98" s="102"/>
      <c r="H98" s="102"/>
      <c r="I98" s="102"/>
    </row>
    <row r="101" spans="2:9" ht="14.4" x14ac:dyDescent="0.3">
      <c r="B101" s="103" t="s">
        <v>1</v>
      </c>
      <c r="C101" s="104" t="s">
        <v>35</v>
      </c>
      <c r="D101" s="104" t="s">
        <v>36</v>
      </c>
      <c r="E101" s="104" t="s">
        <v>37</v>
      </c>
      <c r="F101" s="104" t="s">
        <v>38</v>
      </c>
      <c r="G101" s="104" t="s">
        <v>17</v>
      </c>
      <c r="H101" s="104" t="s">
        <v>39</v>
      </c>
      <c r="I101" s="104" t="s">
        <v>40</v>
      </c>
    </row>
    <row r="102" spans="2:9" ht="14.4" x14ac:dyDescent="0.3">
      <c r="B102" s="58" t="s">
        <v>55</v>
      </c>
      <c r="C102" s="59">
        <v>15000</v>
      </c>
      <c r="D102" s="59">
        <v>85000</v>
      </c>
      <c r="E102" s="59">
        <v>12000</v>
      </c>
      <c r="F102" s="59">
        <v>1500</v>
      </c>
      <c r="G102" s="59">
        <v>22.5</v>
      </c>
      <c r="H102" s="105">
        <v>10.5</v>
      </c>
      <c r="I102" s="71">
        <v>1.8</v>
      </c>
    </row>
    <row r="103" spans="2:9" ht="14.4" x14ac:dyDescent="0.3">
      <c r="B103" s="58" t="s">
        <v>56</v>
      </c>
      <c r="C103" s="92">
        <v>12000</v>
      </c>
      <c r="D103" s="106">
        <v>62000</v>
      </c>
      <c r="E103" s="107">
        <v>9500</v>
      </c>
      <c r="F103" s="108">
        <v>1300</v>
      </c>
      <c r="G103" s="109">
        <v>20.8</v>
      </c>
      <c r="H103" s="64">
        <v>9.8000000000000007</v>
      </c>
      <c r="I103" s="64">
        <v>2.2000000000000002</v>
      </c>
    </row>
    <row r="104" spans="2:9" ht="14.4" x14ac:dyDescent="0.3">
      <c r="B104" s="58" t="s">
        <v>57</v>
      </c>
      <c r="C104" s="64">
        <v>7000</v>
      </c>
      <c r="D104" s="64">
        <v>18000</v>
      </c>
      <c r="E104" s="64">
        <v>3200</v>
      </c>
      <c r="F104" s="64">
        <v>500</v>
      </c>
      <c r="G104" s="64">
        <v>15.6</v>
      </c>
      <c r="H104" s="110">
        <v>12</v>
      </c>
      <c r="I104" s="59">
        <v>1.4</v>
      </c>
    </row>
    <row r="105" spans="2:9" ht="14.4" x14ac:dyDescent="0.3">
      <c r="B105" s="58" t="s">
        <v>58</v>
      </c>
      <c r="C105" s="111">
        <v>9000</v>
      </c>
      <c r="D105" s="112">
        <v>25000</v>
      </c>
      <c r="E105" s="113">
        <v>5400</v>
      </c>
      <c r="F105" s="114">
        <v>850</v>
      </c>
      <c r="G105" s="115">
        <v>18.7</v>
      </c>
      <c r="H105" s="116">
        <v>11.5</v>
      </c>
      <c r="I105" s="117">
        <v>1.6</v>
      </c>
    </row>
    <row r="106" spans="2:9" ht="14.4" x14ac:dyDescent="0.3">
      <c r="B106" s="58" t="s">
        <v>59</v>
      </c>
      <c r="C106" s="116">
        <v>11000</v>
      </c>
      <c r="D106" s="116">
        <v>30000</v>
      </c>
      <c r="E106" s="116">
        <v>6000</v>
      </c>
      <c r="F106" s="116">
        <v>900</v>
      </c>
      <c r="G106" s="116">
        <v>19.3</v>
      </c>
      <c r="H106" s="59">
        <v>13.2</v>
      </c>
      <c r="I106" s="118">
        <v>1.9</v>
      </c>
    </row>
    <row r="108" spans="2:9" ht="14.4" x14ac:dyDescent="0.3">
      <c r="B108" s="103" t="s">
        <v>60</v>
      </c>
      <c r="C108" s="104">
        <v>2024</v>
      </c>
      <c r="D108" s="104" t="s">
        <v>61</v>
      </c>
    </row>
    <row r="109" spans="2:9" ht="14.4" x14ac:dyDescent="0.3">
      <c r="B109" s="58" t="s">
        <v>62</v>
      </c>
      <c r="C109" s="58" t="s">
        <v>63</v>
      </c>
      <c r="D109" s="58" t="s">
        <v>64</v>
      </c>
    </row>
    <row r="110" spans="2:9" ht="14.4" x14ac:dyDescent="0.3">
      <c r="B110" s="58" t="s">
        <v>65</v>
      </c>
      <c r="C110" s="58" t="s">
        <v>66</v>
      </c>
      <c r="D110" s="58" t="s">
        <v>67</v>
      </c>
    </row>
    <row r="111" spans="2:9" ht="14.4" x14ac:dyDescent="0.3">
      <c r="B111" s="58" t="s">
        <v>68</v>
      </c>
      <c r="C111" s="58" t="s">
        <v>69</v>
      </c>
      <c r="D111" s="58" t="s">
        <v>70</v>
      </c>
    </row>
    <row r="112" spans="2:9" ht="14.4" x14ac:dyDescent="0.3">
      <c r="B112" s="58" t="s">
        <v>71</v>
      </c>
      <c r="C112" s="58" t="s">
        <v>72</v>
      </c>
      <c r="D112" s="58" t="s">
        <v>73</v>
      </c>
    </row>
  </sheetData>
  <autoFilter ref="A60:D80" xr:uid="{00000000-0009-0000-0000-000000000000}">
    <sortState xmlns:xlrd2="http://schemas.microsoft.com/office/spreadsheetml/2017/richdata2" ref="A60:D80">
      <sortCondition descending="1" ref="D60:D80"/>
    </sortState>
  </autoFilter>
  <mergeCells count="1">
    <mergeCell ref="A1:P3"/>
  </mergeCells>
  <conditionalFormatting sqref="C6:C14 D61:D8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1:E6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1:F7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4:G4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1:G7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61:H7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1:I7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1:J74 J8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4:K42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L61:L69">
    <cfRule type="colorScale" priority="8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BAJAJHFL</vt:lpstr>
      <vt:lpstr>Housing Finance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2025-03-11T10:57:40Z</dcterms:created>
  <dcterms:modified xsi:type="dcterms:W3CDTF">2025-03-11T10:58:08Z</dcterms:modified>
</cp:coreProperties>
</file>