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E2B899A1-385A-49F0-B0CC-D8A185C4C1DC}" xr6:coauthVersionLast="47" xr6:coauthVersionMax="47" xr10:uidLastSave="{00000000-0000-0000-0000-000000000000}"/>
  <bookViews>
    <workbookView xWindow="-108" yWindow="-108" windowWidth="23256" windowHeight="12456" xr2:uid="{77D461F5-AE01-409F-B68B-318E3698F1AE}"/>
  </bookViews>
  <sheets>
    <sheet name="Hospitals" sheetId="1" r:id="rId1"/>
  </sheets>
  <definedNames>
    <definedName name="_xlnm._FilterDatabase" localSheetId="0" hidden="1">Hospitals!$A$57:$AN$80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3" i="1" l="1"/>
  <c r="W83" i="1"/>
  <c r="V83" i="1"/>
  <c r="U83" i="1"/>
  <c r="T83" i="1"/>
  <c r="AB83" i="1" s="1"/>
  <c r="S83" i="1"/>
  <c r="R83" i="1"/>
  <c r="Q83" i="1"/>
  <c r="AA83" i="1" s="1"/>
  <c r="P83" i="1"/>
  <c r="AC83" i="1" s="1"/>
  <c r="O83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AC67" i="1"/>
  <c r="AB67" i="1"/>
  <c r="AA67" i="1"/>
  <c r="Z67" i="1"/>
  <c r="Y67" i="1"/>
  <c r="X67" i="1"/>
  <c r="N67" i="1"/>
  <c r="D67" i="1"/>
  <c r="C67" i="1"/>
  <c r="AC66" i="1"/>
  <c r="AB66" i="1"/>
  <c r="AA66" i="1"/>
  <c r="Z66" i="1"/>
  <c r="Y66" i="1"/>
  <c r="X66" i="1"/>
  <c r="N66" i="1"/>
  <c r="D66" i="1"/>
  <c r="C66" i="1"/>
  <c r="AC65" i="1"/>
  <c r="AB65" i="1"/>
  <c r="AA65" i="1"/>
  <c r="Z65" i="1"/>
  <c r="Y65" i="1"/>
  <c r="X65" i="1"/>
  <c r="N65" i="1"/>
  <c r="D65" i="1"/>
  <c r="C65" i="1"/>
  <c r="AC64" i="1"/>
  <c r="AB64" i="1"/>
  <c r="AA64" i="1"/>
  <c r="Z64" i="1"/>
  <c r="Y64" i="1"/>
  <c r="X64" i="1"/>
  <c r="N64" i="1"/>
  <c r="D64" i="1"/>
  <c r="C64" i="1"/>
  <c r="AC63" i="1"/>
  <c r="AB63" i="1"/>
  <c r="AA63" i="1"/>
  <c r="Z63" i="1"/>
  <c r="Y63" i="1"/>
  <c r="X63" i="1"/>
  <c r="N63" i="1"/>
  <c r="D63" i="1"/>
  <c r="C63" i="1"/>
  <c r="AC62" i="1"/>
  <c r="AB62" i="1"/>
  <c r="AA62" i="1"/>
  <c r="Z62" i="1"/>
  <c r="Y62" i="1"/>
  <c r="X62" i="1"/>
  <c r="N62" i="1"/>
  <c r="D62" i="1"/>
  <c r="C62" i="1"/>
  <c r="AC61" i="1"/>
  <c r="AB61" i="1"/>
  <c r="AA61" i="1"/>
  <c r="Z61" i="1"/>
  <c r="Y61" i="1"/>
  <c r="X61" i="1"/>
  <c r="N61" i="1"/>
  <c r="D61" i="1"/>
  <c r="C61" i="1"/>
  <c r="AC60" i="1"/>
  <c r="AB60" i="1"/>
  <c r="AA60" i="1"/>
  <c r="Z60" i="1"/>
  <c r="Y60" i="1"/>
  <c r="X60" i="1"/>
  <c r="N60" i="1"/>
  <c r="D60" i="1"/>
  <c r="C60" i="1"/>
  <c r="AC59" i="1"/>
  <c r="AB59" i="1"/>
  <c r="AA59" i="1"/>
  <c r="Z59" i="1"/>
  <c r="Y59" i="1"/>
  <c r="X59" i="1"/>
  <c r="N59" i="1"/>
  <c r="D59" i="1"/>
  <c r="C59" i="1"/>
  <c r="AC58" i="1"/>
  <c r="AB58" i="1"/>
  <c r="AA58" i="1"/>
  <c r="Z58" i="1"/>
  <c r="Y58" i="1"/>
  <c r="X58" i="1"/>
  <c r="N58" i="1"/>
  <c r="D58" i="1"/>
  <c r="C58" i="1"/>
  <c r="C50" i="1"/>
  <c r="N83" i="1" l="1"/>
  <c r="D83" i="1"/>
  <c r="D84" i="1" s="1"/>
  <c r="Y83" i="1"/>
  <c r="Z83" i="1"/>
</calcChain>
</file>

<file path=xl/sharedStrings.xml><?xml version="1.0" encoding="utf-8"?>
<sst xmlns="http://schemas.openxmlformats.org/spreadsheetml/2006/main" count="86" uniqueCount="73">
  <si>
    <t>HOSPITAL INDUSTRY</t>
  </si>
  <si>
    <t>India spends too little on healthcare</t>
  </si>
  <si>
    <t>Public healthcare expenditure is low, with private sector accounting for a lion’s share</t>
  </si>
  <si>
    <t>Indian healthcare delivery market poised for robust growth in the medium term</t>
  </si>
  <si>
    <t>Payment Modes in Indian Healthcare</t>
  </si>
  <si>
    <t>Total number of hospitals (2023)</t>
  </si>
  <si>
    <t>Total number of hospital beds available (2023)</t>
  </si>
  <si>
    <t>Key financial parameters (Fiscal 2023)</t>
  </si>
  <si>
    <t>INDUSTRY</t>
  </si>
  <si>
    <t>COMPANY</t>
  </si>
  <si>
    <t>MARKETCAP</t>
  </si>
  <si>
    <t>APOLLOHOSP</t>
  </si>
  <si>
    <t>MAXHEALTH*</t>
  </si>
  <si>
    <t>MEDANTA</t>
  </si>
  <si>
    <t>FORTIS</t>
  </si>
  <si>
    <t>NH</t>
  </si>
  <si>
    <t>ASTERDM</t>
  </si>
  <si>
    <t>KIMS</t>
  </si>
  <si>
    <t>RAINBOW</t>
  </si>
  <si>
    <t>JLHL</t>
  </si>
  <si>
    <t>HCG</t>
  </si>
  <si>
    <t>OTHERS_13</t>
  </si>
  <si>
    <t>Security Code</t>
  </si>
  <si>
    <t>CMP</t>
  </si>
  <si>
    <t>CUR ASSET</t>
  </si>
  <si>
    <t>CUR LIABILITY</t>
  </si>
  <si>
    <t>TOT. ASSET</t>
  </si>
  <si>
    <t>TOT. LIABILITY</t>
  </si>
  <si>
    <t>EQUITY</t>
  </si>
  <si>
    <t>TOT. EQUITY</t>
  </si>
  <si>
    <t>BORROWING</t>
  </si>
  <si>
    <t xml:space="preserve">TRADE REC. </t>
  </si>
  <si>
    <t>FV</t>
  </si>
  <si>
    <t>TRAIL_EPS</t>
  </si>
  <si>
    <t>SALES_18</t>
  </si>
  <si>
    <t>SALES_23</t>
  </si>
  <si>
    <t>PROFIT_23</t>
  </si>
  <si>
    <t>9M_FY24_SALES</t>
  </si>
  <si>
    <t>9M_FY23_SALES</t>
  </si>
  <si>
    <t>9M_FY24_PROFIT</t>
  </si>
  <si>
    <t>9M_FY23_PROFIT</t>
  </si>
  <si>
    <t>FINANCE</t>
  </si>
  <si>
    <t>EXPENSE</t>
  </si>
  <si>
    <t>CY_SALES GR</t>
  </si>
  <si>
    <t>CY_PRPFIT_GR</t>
  </si>
  <si>
    <t>SALES_5Y_GR</t>
  </si>
  <si>
    <t>MARGIN_23</t>
  </si>
  <si>
    <t>CY_MARGIN</t>
  </si>
  <si>
    <t>ICR</t>
  </si>
  <si>
    <t>CUR. RATIO</t>
  </si>
  <si>
    <t>TR.DAYS</t>
  </si>
  <si>
    <t>DEBT2EQUITY</t>
  </si>
  <si>
    <t>DEBTRATIO</t>
  </si>
  <si>
    <t>ROE</t>
  </si>
  <si>
    <t>ROPE</t>
  </si>
  <si>
    <t>ROA</t>
  </si>
  <si>
    <t>TRAIL_PE</t>
  </si>
  <si>
    <t>YIELD</t>
  </si>
  <si>
    <t>BOOKVALUE</t>
  </si>
  <si>
    <t>PBV</t>
  </si>
  <si>
    <t>KOVAI</t>
  </si>
  <si>
    <t>YATHARTH</t>
  </si>
  <si>
    <t>SHALBY</t>
  </si>
  <si>
    <t>ARTEMISMED</t>
  </si>
  <si>
    <t>INDRAMEDCO</t>
  </si>
  <si>
    <t>DRAGARWQ</t>
  </si>
  <si>
    <t>KMCSHIL</t>
  </si>
  <si>
    <t>AASHKA</t>
  </si>
  <si>
    <t>ASARFI</t>
  </si>
  <si>
    <t>LEHIL</t>
  </si>
  <si>
    <t>FORTISMLR</t>
  </si>
  <si>
    <t>GLHRL</t>
  </si>
  <si>
    <t>KKSHL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</si>
</sst>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8"/>
      <color rgb="FFFFFFFF"/>
      <name val="Arial"/>
    </font>
    <font>
      <sz val="11"/>
      <name val="Calibri"/>
    </font>
    <font>
      <b/>
      <sz val="11"/>
      <color rgb="FFFFFFFF"/>
      <name val="Arial"/>
    </font>
    <font>
      <sz val="11"/>
      <color theme="1"/>
      <name val="Calibri"/>
    </font>
    <font>
      <sz val="11"/>
      <color theme="1"/>
      <name val="Arial"/>
    </font>
    <font>
      <sz val="11"/>
      <color rgb="FFFFFFFF"/>
      <name val="Arial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4C1130"/>
        <bgColor rgb="FF4C1130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0" fillId="0" borderId="0" xfId="0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0" xfId="0" applyFont="1"/>
    <xf numFmtId="0" fontId="4" fillId="2" borderId="6" xfId="0" applyFont="1" applyFill="1" applyBorder="1"/>
    <xf numFmtId="0" fontId="4" fillId="2" borderId="0" xfId="0" applyFont="1" applyFill="1"/>
    <xf numFmtId="0" fontId="5" fillId="0" borderId="0" xfId="0" applyFont="1"/>
    <xf numFmtId="1" fontId="6" fillId="0" borderId="0" xfId="0" applyNumberFormat="1" applyFont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1" fontId="1" fillId="0" borderId="1" xfId="0" applyNumberFormat="1" applyFont="1" applyBorder="1"/>
    <xf numFmtId="1" fontId="1" fillId="0" borderId="0" xfId="0" applyNumberFormat="1" applyFont="1"/>
    <xf numFmtId="0" fontId="4" fillId="2" borderId="7" xfId="0" applyFont="1" applyFill="1" applyBorder="1"/>
    <xf numFmtId="0" fontId="4" fillId="2" borderId="8" xfId="0" applyFont="1" applyFill="1" applyBorder="1"/>
    <xf numFmtId="0" fontId="7" fillId="2" borderId="8" xfId="0" applyFont="1" applyFill="1" applyBorder="1"/>
    <xf numFmtId="0" fontId="4" fillId="3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0" fontId="6" fillId="0" borderId="5" xfId="0" applyFont="1" applyBorder="1"/>
    <xf numFmtId="10" fontId="6" fillId="0" borderId="5" xfId="0" applyNumberFormat="1" applyFont="1" applyBorder="1" applyAlignment="1">
      <alignment horizontal="right"/>
    </xf>
    <xf numFmtId="10" fontId="6" fillId="0" borderId="5" xfId="0" applyNumberFormat="1" applyFont="1" applyBorder="1" applyAlignment="1">
      <alignment horizontal="center"/>
    </xf>
    <xf numFmtId="0" fontId="6" fillId="0" borderId="0" xfId="0" applyFont="1"/>
    <xf numFmtId="1" fontId="6" fillId="0" borderId="3" xfId="0" applyNumberFormat="1" applyFont="1" applyBorder="1"/>
    <xf numFmtId="10" fontId="6" fillId="0" borderId="0" xfId="0" applyNumberFormat="1" applyFont="1"/>
    <xf numFmtId="1" fontId="6" fillId="0" borderId="0" xfId="0" applyNumberFormat="1" applyFont="1"/>
    <xf numFmtId="0" fontId="6" fillId="0" borderId="3" xfId="0" applyFont="1" applyBorder="1"/>
    <xf numFmtId="0" fontId="6" fillId="0" borderId="4" xfId="0" applyFont="1" applyBorder="1"/>
    <xf numFmtId="0" fontId="6" fillId="0" borderId="9" xfId="0" applyFont="1" applyBorder="1"/>
    <xf numFmtId="1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10" fontId="8" fillId="0" borderId="5" xfId="0" applyNumberFormat="1" applyFont="1" applyBorder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Hospitals-style" pivot="0" count="3" xr9:uid="{371B85E7-EA40-4017-86F0-DF3D36E7980B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942975</xdr:colOff>
      <xdr:row>5</xdr:row>
      <xdr:rowOff>190500</xdr:rowOff>
    </xdr:from>
    <xdr:ext cx="3771900" cy="192405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E168FF72-95B6-4539-8CEF-F730EC9F31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975" y="1112520"/>
          <a:ext cx="3771900" cy="19240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876300</xdr:colOff>
      <xdr:row>5</xdr:row>
      <xdr:rowOff>190500</xdr:rowOff>
    </xdr:from>
    <xdr:ext cx="2733675" cy="24003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676C2B60-960B-48E8-AA06-7250B18B9CB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38700" y="1112520"/>
          <a:ext cx="2733675" cy="24003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933450</xdr:colOff>
      <xdr:row>5</xdr:row>
      <xdr:rowOff>190500</xdr:rowOff>
    </xdr:from>
    <xdr:ext cx="4362450" cy="2466975"/>
    <xdr:pic>
      <xdr:nvPicPr>
        <xdr:cNvPr id="4" name="image6.png" title="Image">
          <a:extLst>
            <a:ext uri="{FF2B5EF4-FFF2-40B4-BE49-F238E27FC236}">
              <a16:creationId xmlns:a16="http://schemas.microsoft.com/office/drawing/2014/main" id="{9218EAB6-9A74-4B9E-A935-912A1A6DC22F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867650" y="1112520"/>
          <a:ext cx="4362450" cy="24669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495300</xdr:colOff>
      <xdr:row>5</xdr:row>
      <xdr:rowOff>161925</xdr:rowOff>
    </xdr:from>
    <xdr:ext cx="4362450" cy="2466975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F0F35B42-2DC4-436D-8B8A-CB2BBEA6E54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382500" y="1091565"/>
          <a:ext cx="4362450" cy="2466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942975</xdr:colOff>
      <xdr:row>20</xdr:row>
      <xdr:rowOff>9525</xdr:rowOff>
    </xdr:from>
    <xdr:ext cx="3981450" cy="2400300"/>
    <xdr:pic>
      <xdr:nvPicPr>
        <xdr:cNvPr id="6" name="image8.png" title="Image">
          <a:extLst>
            <a:ext uri="{FF2B5EF4-FFF2-40B4-BE49-F238E27FC236}">
              <a16:creationId xmlns:a16="http://schemas.microsoft.com/office/drawing/2014/main" id="{2BA4DB60-1A70-4F59-A547-63D1F9C6BAA4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42975" y="3781425"/>
          <a:ext cx="3981450" cy="24003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19050</xdr:colOff>
      <xdr:row>20</xdr:row>
      <xdr:rowOff>9525</xdr:rowOff>
    </xdr:from>
    <xdr:ext cx="2733675" cy="2400300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195A4CC1-CC49-4434-AEF3-42E22DBE4B4D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972050" y="3781425"/>
          <a:ext cx="2733675" cy="240030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876300</xdr:colOff>
      <xdr:row>20</xdr:row>
      <xdr:rowOff>9525</xdr:rowOff>
    </xdr:from>
    <xdr:ext cx="5219700" cy="2400300"/>
    <xdr:pic>
      <xdr:nvPicPr>
        <xdr:cNvPr id="8" name="image4.png" title="Image">
          <a:extLst>
            <a:ext uri="{FF2B5EF4-FFF2-40B4-BE49-F238E27FC236}">
              <a16:creationId xmlns:a16="http://schemas.microsoft.com/office/drawing/2014/main" id="{BBC66C16-7F65-4B29-9A7F-CEF1E543D5FC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810500" y="3781425"/>
          <a:ext cx="5219700" cy="2400300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371475</xdr:colOff>
      <xdr:row>20</xdr:row>
      <xdr:rowOff>9525</xdr:rowOff>
    </xdr:from>
    <xdr:ext cx="5514975" cy="2466975"/>
    <xdr:pic>
      <xdr:nvPicPr>
        <xdr:cNvPr id="9" name="image5.png" title="Image">
          <a:extLst>
            <a:ext uri="{FF2B5EF4-FFF2-40B4-BE49-F238E27FC236}">
              <a16:creationId xmlns:a16="http://schemas.microsoft.com/office/drawing/2014/main" id="{ABC356DF-6618-42F7-9221-891EC3E812D4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3249275" y="3781425"/>
          <a:ext cx="5514975" cy="24669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923925</xdr:colOff>
      <xdr:row>35</xdr:row>
      <xdr:rowOff>19050</xdr:rowOff>
    </xdr:from>
    <xdr:ext cx="9648825" cy="3286125"/>
    <xdr:pic>
      <xdr:nvPicPr>
        <xdr:cNvPr id="10" name="image10.png" title="Image">
          <a:extLst>
            <a:ext uri="{FF2B5EF4-FFF2-40B4-BE49-F238E27FC236}">
              <a16:creationId xmlns:a16="http://schemas.microsoft.com/office/drawing/2014/main" id="{21396F86-298D-4293-B8CC-D7041ACF1913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95725" y="6465570"/>
          <a:ext cx="9648825" cy="328612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910841-4BF7-4672-835F-698B6097E958}" name="Table_1" displayName="Table_1" ref="C38:C48" headerRowCount="0">
  <tableColumns count="1">
    <tableColumn id="1" xr3:uid="{374EBF43-1D5D-401A-808B-529E57BB9285}" name="Column1"/>
  </tableColumns>
  <tableStyleInfo name="Hospitals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6EE9-A9E3-4870-BFEA-66AD3D605213}">
  <sheetPr>
    <outlinePr summaryBelow="0" summaryRight="0"/>
  </sheetPr>
  <dimension ref="A2:AN84"/>
  <sheetViews>
    <sheetView tabSelected="1" workbookViewId="0"/>
  </sheetViews>
  <sheetFormatPr defaultColWidth="14.44140625" defaultRowHeight="15" customHeight="1"/>
  <sheetData>
    <row r="2" spans="2:13" ht="14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 ht="14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2:13" ht="14.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6" spans="2:13" ht="14.4">
      <c r="B6" s="8" t="s">
        <v>1</v>
      </c>
      <c r="F6" s="8" t="s">
        <v>2</v>
      </c>
    </row>
    <row r="20" spans="2:14" ht="14.4">
      <c r="B20" s="8" t="s">
        <v>3</v>
      </c>
      <c r="G20" s="8" t="s">
        <v>4</v>
      </c>
      <c r="I20" s="8" t="s">
        <v>5</v>
      </c>
      <c r="N20" s="8" t="s">
        <v>6</v>
      </c>
    </row>
    <row r="34" spans="2:6" ht="1.5" customHeight="1"/>
    <row r="35" spans="2:6" ht="14.4">
      <c r="F35" s="8" t="s">
        <v>7</v>
      </c>
    </row>
    <row r="36" spans="2:6" ht="14.4">
      <c r="B36" s="9" t="s">
        <v>8</v>
      </c>
    </row>
    <row r="37" spans="2:6" ht="14.4">
      <c r="B37" s="10" t="s">
        <v>9</v>
      </c>
      <c r="C37" s="10" t="s">
        <v>10</v>
      </c>
    </row>
    <row r="38" spans="2:6" ht="14.4">
      <c r="B38" s="11" t="s">
        <v>11</v>
      </c>
      <c r="C38" s="12">
        <v>93778.4714848</v>
      </c>
    </row>
    <row r="39" spans="2:6" ht="14.4">
      <c r="B39" s="11" t="s">
        <v>12</v>
      </c>
      <c r="C39" s="12">
        <v>80411.170041100006</v>
      </c>
    </row>
    <row r="40" spans="2:6" ht="14.4">
      <c r="B40" s="11" t="s">
        <v>13</v>
      </c>
      <c r="C40" s="12">
        <v>37391.311241299998</v>
      </c>
    </row>
    <row r="41" spans="2:6" ht="14.4">
      <c r="B41" s="11" t="s">
        <v>14</v>
      </c>
      <c r="C41" s="12">
        <v>32938.8253444</v>
      </c>
    </row>
    <row r="42" spans="2:6" ht="14.4">
      <c r="B42" s="11" t="s">
        <v>15</v>
      </c>
      <c r="C42" s="12">
        <v>26574.592339300001</v>
      </c>
    </row>
    <row r="43" spans="2:6" ht="14.4">
      <c r="B43" s="11" t="s">
        <v>16</v>
      </c>
      <c r="C43" s="12">
        <v>23670.840858700001</v>
      </c>
    </row>
    <row r="44" spans="2:6" ht="14.4">
      <c r="B44" s="11" t="s">
        <v>17</v>
      </c>
      <c r="C44" s="12">
        <v>16066.374909800001</v>
      </c>
    </row>
    <row r="45" spans="2:6" ht="14.4">
      <c r="B45" s="11" t="s">
        <v>18</v>
      </c>
      <c r="C45" s="12">
        <v>13637.2613991</v>
      </c>
    </row>
    <row r="46" spans="2:6" ht="14.4">
      <c r="B46" s="11" t="s">
        <v>19</v>
      </c>
      <c r="C46" s="12">
        <v>8218.7006070000007</v>
      </c>
    </row>
    <row r="47" spans="2:6" ht="14.4">
      <c r="B47" s="11" t="s">
        <v>20</v>
      </c>
      <c r="C47" s="12">
        <v>5206.6450778999997</v>
      </c>
    </row>
    <row r="48" spans="2:6" ht="14.4">
      <c r="B48" s="13" t="s">
        <v>21</v>
      </c>
      <c r="C48" s="13">
        <v>19745</v>
      </c>
    </row>
    <row r="50" spans="1:40" ht="14.4">
      <c r="B50" s="14" t="s">
        <v>8</v>
      </c>
      <c r="C50" s="15">
        <f>SUM(C37:C48)</f>
        <v>357639.19330339995</v>
      </c>
      <c r="F50" s="8"/>
      <c r="G50" s="16"/>
    </row>
    <row r="57" spans="1:40" ht="14.4">
      <c r="A57" s="17" t="s">
        <v>22</v>
      </c>
      <c r="B57" s="18" t="s">
        <v>9</v>
      </c>
      <c r="C57" s="18" t="s">
        <v>23</v>
      </c>
      <c r="D57" s="18" t="s">
        <v>10</v>
      </c>
      <c r="E57" s="19" t="s">
        <v>24</v>
      </c>
      <c r="F57" s="19" t="s">
        <v>25</v>
      </c>
      <c r="G57" s="19" t="s">
        <v>26</v>
      </c>
      <c r="H57" s="19" t="s">
        <v>27</v>
      </c>
      <c r="I57" s="19" t="s">
        <v>28</v>
      </c>
      <c r="J57" s="19" t="s">
        <v>29</v>
      </c>
      <c r="K57" s="19" t="s">
        <v>30</v>
      </c>
      <c r="L57" s="19" t="s">
        <v>31</v>
      </c>
      <c r="M57" s="19" t="s">
        <v>32</v>
      </c>
      <c r="N57" s="19" t="s">
        <v>33</v>
      </c>
      <c r="O57" s="19" t="s">
        <v>34</v>
      </c>
      <c r="P57" s="19" t="s">
        <v>35</v>
      </c>
      <c r="Q57" s="19" t="s">
        <v>36</v>
      </c>
      <c r="R57" s="19" t="s">
        <v>37</v>
      </c>
      <c r="S57" s="19" t="s">
        <v>38</v>
      </c>
      <c r="T57" s="19" t="s">
        <v>39</v>
      </c>
      <c r="U57" s="19" t="s">
        <v>40</v>
      </c>
      <c r="V57" s="19" t="s">
        <v>41</v>
      </c>
      <c r="W57" s="19" t="s">
        <v>42</v>
      </c>
      <c r="X57" s="20" t="s">
        <v>43</v>
      </c>
      <c r="Y57" s="20" t="s">
        <v>44</v>
      </c>
      <c r="Z57" s="20" t="s">
        <v>45</v>
      </c>
      <c r="AA57" s="20" t="s">
        <v>46</v>
      </c>
      <c r="AB57" s="20" t="s">
        <v>47</v>
      </c>
      <c r="AC57" s="20" t="s">
        <v>48</v>
      </c>
      <c r="AD57" s="20" t="s">
        <v>49</v>
      </c>
      <c r="AE57" s="20" t="s">
        <v>50</v>
      </c>
      <c r="AF57" s="20" t="s">
        <v>51</v>
      </c>
      <c r="AG57" s="20" t="s">
        <v>52</v>
      </c>
      <c r="AH57" s="20" t="s">
        <v>53</v>
      </c>
      <c r="AI57" s="20" t="s">
        <v>54</v>
      </c>
      <c r="AJ57" s="20" t="s">
        <v>55</v>
      </c>
      <c r="AK57" s="20" t="s">
        <v>56</v>
      </c>
      <c r="AL57" s="20" t="s">
        <v>57</v>
      </c>
      <c r="AM57" s="20" t="s">
        <v>58</v>
      </c>
      <c r="AN57" s="20" t="s">
        <v>59</v>
      </c>
    </row>
    <row r="58" spans="1:40" ht="14.4">
      <c r="A58" s="21">
        <v>508869</v>
      </c>
      <c r="B58" s="22" t="s">
        <v>11</v>
      </c>
      <c r="C58" s="23">
        <f ca="1">IFERROR(__xludf.DUMMYFUNCTION("GOOGLEFINANCE(""bom:""&amp;A58,""price"")"),6512)</f>
        <v>6512</v>
      </c>
      <c r="D58" s="24">
        <f ca="1">IFERROR(__xludf.DUMMYFUNCTION("GOOGLEFINANCE(""bom:""&amp;A58,""marketcap"")/10000000"),93630.31744)</f>
        <v>93630.317439999999</v>
      </c>
      <c r="E58" s="25"/>
      <c r="F58" s="25"/>
      <c r="G58" s="25"/>
      <c r="H58" s="25"/>
      <c r="I58" s="25"/>
      <c r="J58" s="25"/>
      <c r="K58" s="25"/>
      <c r="L58" s="25"/>
      <c r="M58" s="25"/>
      <c r="N58" s="24">
        <f ca="1">IFERROR(__xludf.DUMMYFUNCTION("GOOGLEFINANCE(""bom:""&amp;A58,""eps"")"),54.91)</f>
        <v>54.91</v>
      </c>
      <c r="O58" s="23">
        <v>8243</v>
      </c>
      <c r="P58" s="23">
        <v>16612</v>
      </c>
      <c r="Q58" s="23">
        <v>844</v>
      </c>
      <c r="R58" s="23">
        <v>14115</v>
      </c>
      <c r="S58" s="23">
        <v>12310</v>
      </c>
      <c r="T58" s="23">
        <v>676</v>
      </c>
      <c r="U58" s="23">
        <v>699</v>
      </c>
      <c r="V58" s="23">
        <v>380</v>
      </c>
      <c r="W58" s="23">
        <v>15559</v>
      </c>
      <c r="X58" s="26">
        <f t="shared" ref="X58:X67" si="0">(R58/S58)-1</f>
        <v>0.14662875710804224</v>
      </c>
      <c r="Y58" s="26">
        <f t="shared" ref="Y58:Y67" si="1">(T58/U58)-1</f>
        <v>-3.2904148783977072E-2</v>
      </c>
      <c r="Z58" s="26">
        <f t="shared" ref="Z58:Z67" si="2">(P58/O58)^(1/5)-1</f>
        <v>0.1504488770509953</v>
      </c>
      <c r="AA58" s="26">
        <f t="shared" ref="AA58:AA67" si="3">Q58/P58</f>
        <v>5.0806645798218156E-2</v>
      </c>
      <c r="AB58" s="26">
        <f t="shared" ref="AB58:AB67" si="4">T58/R58</f>
        <v>4.789231314204747E-2</v>
      </c>
      <c r="AC58" s="24">
        <f t="shared" ref="AC58:AC67" si="5">(P58-W58+V58)/V58</f>
        <v>3.7710526315789474</v>
      </c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</row>
    <row r="59" spans="1:40" ht="14.4">
      <c r="A59" s="21">
        <v>543220</v>
      </c>
      <c r="B59" s="22" t="s">
        <v>12</v>
      </c>
      <c r="C59" s="23">
        <f ca="1">IFERROR(__xludf.DUMMYFUNCTION("GOOGLEFINANCE(""bom:""&amp;A59,""price"")"),828.1)</f>
        <v>828.1</v>
      </c>
      <c r="D59" s="24">
        <f ca="1">IFERROR(__xludf.DUMMYFUNCTION("GOOGLEFINANCE(""bom:""&amp;A59,""marketcap"")/10000000"),80571.53796)</f>
        <v>80571.537960000001</v>
      </c>
      <c r="E59" s="25"/>
      <c r="F59" s="25"/>
      <c r="G59" s="25"/>
      <c r="H59" s="25"/>
      <c r="I59" s="25"/>
      <c r="J59" s="25"/>
      <c r="K59" s="25"/>
      <c r="L59" s="25"/>
      <c r="M59" s="25"/>
      <c r="N59" s="24">
        <f ca="1">IFERROR(__xludf.DUMMYFUNCTION("GOOGLEFINANCE(""bom:""&amp;A59,""eps"")"),10.84)</f>
        <v>10.84</v>
      </c>
      <c r="O59" s="23">
        <v>2671</v>
      </c>
      <c r="P59" s="23">
        <v>4562</v>
      </c>
      <c r="Q59" s="23">
        <v>1103</v>
      </c>
      <c r="R59" s="23">
        <v>3983</v>
      </c>
      <c r="S59" s="23">
        <v>3348</v>
      </c>
      <c r="T59" s="23">
        <v>808</v>
      </c>
      <c r="U59" s="23">
        <v>852</v>
      </c>
      <c r="V59" s="23">
        <v>84</v>
      </c>
      <c r="W59" s="23">
        <v>3638</v>
      </c>
      <c r="X59" s="26">
        <f t="shared" si="0"/>
        <v>0.18966547192353644</v>
      </c>
      <c r="Y59" s="26">
        <f t="shared" si="1"/>
        <v>-5.1643192488262879E-2</v>
      </c>
      <c r="Z59" s="26">
        <f t="shared" si="2"/>
        <v>0.11300285557597167</v>
      </c>
      <c r="AA59" s="26">
        <f t="shared" si="3"/>
        <v>0.24177992108724244</v>
      </c>
      <c r="AB59" s="26">
        <f t="shared" si="4"/>
        <v>0.20286216419784081</v>
      </c>
      <c r="AC59" s="24">
        <f t="shared" si="5"/>
        <v>12</v>
      </c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</row>
    <row r="60" spans="1:40" ht="14.4">
      <c r="A60" s="21">
        <v>543654</v>
      </c>
      <c r="B60" s="22" t="s">
        <v>13</v>
      </c>
      <c r="C60" s="23">
        <f ca="1">IFERROR(__xludf.DUMMYFUNCTION("GOOGLEFINANCE(""bom:""&amp;A60,""price"")"),1396)</f>
        <v>1396</v>
      </c>
      <c r="D60" s="24">
        <f ca="1">IFERROR(__xludf.DUMMYFUNCTION("GOOGLEFINANCE(""bom:""&amp;A60,""marketcap"")/10000000"),37558.816423)</f>
        <v>37558.816422999997</v>
      </c>
      <c r="E60" s="25"/>
      <c r="F60" s="25"/>
      <c r="G60" s="25"/>
      <c r="H60" s="25"/>
      <c r="I60" s="25"/>
      <c r="J60" s="25"/>
      <c r="K60" s="25"/>
      <c r="L60" s="25"/>
      <c r="M60" s="25"/>
      <c r="N60" s="24">
        <f ca="1">IFERROR(__xludf.DUMMYFUNCTION("GOOGLEFINANCE(""bom:""&amp;A60,""eps"")"),16.82)</f>
        <v>16.82</v>
      </c>
      <c r="O60" s="23">
        <v>4561</v>
      </c>
      <c r="P60" s="23">
        <v>6297</v>
      </c>
      <c r="Q60" s="23">
        <v>632</v>
      </c>
      <c r="R60" s="23">
        <v>5107</v>
      </c>
      <c r="S60" s="23">
        <v>4654</v>
      </c>
      <c r="T60" s="23">
        <v>442</v>
      </c>
      <c r="U60" s="23">
        <v>494</v>
      </c>
      <c r="V60" s="23">
        <v>129</v>
      </c>
      <c r="W60" s="23">
        <v>5641</v>
      </c>
      <c r="X60" s="26">
        <f t="shared" si="0"/>
        <v>9.733562526858619E-2</v>
      </c>
      <c r="Y60" s="26">
        <f t="shared" si="1"/>
        <v>-0.10526315789473684</v>
      </c>
      <c r="Z60" s="26">
        <f t="shared" si="2"/>
        <v>6.6632283453197161E-2</v>
      </c>
      <c r="AA60" s="26">
        <f t="shared" si="3"/>
        <v>0.10036525329521995</v>
      </c>
      <c r="AB60" s="26">
        <f t="shared" si="4"/>
        <v>8.6547875465047969E-2</v>
      </c>
      <c r="AC60" s="24">
        <f t="shared" si="5"/>
        <v>6.0852713178294575</v>
      </c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</row>
    <row r="61" spans="1:40" ht="14.4">
      <c r="A61" s="21">
        <v>532843</v>
      </c>
      <c r="B61" s="22" t="s">
        <v>14</v>
      </c>
      <c r="C61" s="23">
        <f ca="1">IFERROR(__xludf.DUMMYFUNCTION("GOOGLEFINANCE(""bom:""&amp;A61,""price"")"),438.05)</f>
        <v>438.05</v>
      </c>
      <c r="D61" s="24">
        <f ca="1">IFERROR(__xludf.DUMMYFUNCTION("GOOGLEFINANCE(""bom:""&amp;A61,""marketcap"")/10000000"),32984.1232972)</f>
        <v>32984.1232972</v>
      </c>
      <c r="E61" s="25"/>
      <c r="F61" s="25"/>
      <c r="G61" s="25"/>
      <c r="H61" s="25"/>
      <c r="I61" s="25"/>
      <c r="J61" s="25"/>
      <c r="K61" s="25"/>
      <c r="L61" s="25"/>
      <c r="M61" s="25"/>
      <c r="N61" s="24">
        <f ca="1">IFERROR(__xludf.DUMMYFUNCTION("GOOGLEFINANCE(""bom:""&amp;A61,""eps"")"),7.32)</f>
        <v>7.32</v>
      </c>
      <c r="O61" s="25"/>
      <c r="P61" s="23">
        <v>2694</v>
      </c>
      <c r="Q61" s="23">
        <v>327</v>
      </c>
      <c r="R61" s="23">
        <v>2449</v>
      </c>
      <c r="S61" s="23">
        <v>1990</v>
      </c>
      <c r="T61" s="23">
        <v>349</v>
      </c>
      <c r="U61" s="23">
        <v>225</v>
      </c>
      <c r="V61" s="23">
        <v>78</v>
      </c>
      <c r="W61" s="23">
        <v>2309</v>
      </c>
      <c r="X61" s="26">
        <f t="shared" si="0"/>
        <v>0.23065326633165828</v>
      </c>
      <c r="Y61" s="26">
        <f t="shared" si="1"/>
        <v>0.55111111111111111</v>
      </c>
      <c r="Z61" s="27" t="e">
        <f t="shared" si="2"/>
        <v>#DIV/0!</v>
      </c>
      <c r="AA61" s="26">
        <f t="shared" si="3"/>
        <v>0.12138084632516703</v>
      </c>
      <c r="AB61" s="26">
        <f t="shared" si="4"/>
        <v>0.14250714577378523</v>
      </c>
      <c r="AC61" s="24">
        <f t="shared" si="5"/>
        <v>5.9358974358974361</v>
      </c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</row>
    <row r="62" spans="1:40" ht="14.4">
      <c r="A62" s="21">
        <v>539551</v>
      </c>
      <c r="B62" s="22" t="s">
        <v>15</v>
      </c>
      <c r="C62" s="23">
        <f ca="1">IFERROR(__xludf.DUMMYFUNCTION("GOOGLEFINANCE(""bom:""&amp;A62,""price"")"),1316)</f>
        <v>1316</v>
      </c>
      <c r="D62" s="24">
        <f ca="1">IFERROR(__xludf.DUMMYFUNCTION("GOOGLEFINANCE(""bom:""&amp;A62,""marketcap"")/10000000"),26707.6237)</f>
        <v>26707.6237</v>
      </c>
      <c r="E62" s="25"/>
      <c r="F62" s="25"/>
      <c r="G62" s="25"/>
      <c r="H62" s="25"/>
      <c r="I62" s="25"/>
      <c r="J62" s="25"/>
      <c r="K62" s="25"/>
      <c r="L62" s="25"/>
      <c r="M62" s="25"/>
      <c r="N62" s="24">
        <f ca="1">IFERROR(__xludf.DUMMYFUNCTION("GOOGLEFINANCE(""bom:""&amp;A62,""eps"")"),38)</f>
        <v>38</v>
      </c>
      <c r="O62" s="23">
        <v>2280</v>
      </c>
      <c r="P62" s="23">
        <v>4524</v>
      </c>
      <c r="Q62" s="23">
        <v>606</v>
      </c>
      <c r="R62" s="23">
        <v>3742</v>
      </c>
      <c r="S62" s="23">
        <v>3303</v>
      </c>
      <c r="T62" s="23">
        <v>598</v>
      </c>
      <c r="U62" s="23">
        <v>433</v>
      </c>
      <c r="V62" s="23">
        <v>69</v>
      </c>
      <c r="W62" s="23">
        <v>3838</v>
      </c>
      <c r="X62" s="26">
        <f t="shared" si="0"/>
        <v>0.13290947623372684</v>
      </c>
      <c r="Y62" s="26">
        <f t="shared" si="1"/>
        <v>0.38106235565819868</v>
      </c>
      <c r="Z62" s="26">
        <f t="shared" si="2"/>
        <v>0.1468788658889888</v>
      </c>
      <c r="AA62" s="26">
        <f t="shared" si="3"/>
        <v>0.13395225464190982</v>
      </c>
      <c r="AB62" s="26">
        <f t="shared" si="4"/>
        <v>0.15980758952431853</v>
      </c>
      <c r="AC62" s="24">
        <f t="shared" si="5"/>
        <v>10.942028985507246</v>
      </c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</row>
    <row r="63" spans="1:40" ht="14.4">
      <c r="A63" s="21">
        <v>540975</v>
      </c>
      <c r="B63" s="22" t="s">
        <v>16</v>
      </c>
      <c r="C63" s="23">
        <f ca="1">IFERROR(__xludf.DUMMYFUNCTION("GOOGLEFINANCE(""bom:""&amp;A63,""price"")"),475)</f>
        <v>475</v>
      </c>
      <c r="D63" s="24">
        <f ca="1">IFERROR(__xludf.DUMMYFUNCTION("GOOGLEFINANCE(""bom:""&amp;A63,""marketcap"")/10000000"),23588.7285)</f>
        <v>23588.728500000001</v>
      </c>
      <c r="E63" s="25"/>
      <c r="F63" s="25"/>
      <c r="G63" s="25"/>
      <c r="H63" s="25"/>
      <c r="I63" s="25"/>
      <c r="J63" s="25"/>
      <c r="K63" s="25"/>
      <c r="L63" s="25"/>
      <c r="M63" s="25"/>
      <c r="N63" s="24">
        <f ca="1">IFERROR(__xludf.DUMMYFUNCTION("GOOGLEFINANCE(""bom:""&amp;A63,""eps"")"),6.51)</f>
        <v>6.51</v>
      </c>
      <c r="O63" s="23">
        <v>6721</v>
      </c>
      <c r="P63" s="23">
        <v>11932</v>
      </c>
      <c r="Q63" s="23">
        <v>475</v>
      </c>
      <c r="R63" s="23">
        <v>10242</v>
      </c>
      <c r="S63" s="23">
        <v>8670</v>
      </c>
      <c r="T63" s="23">
        <v>213</v>
      </c>
      <c r="U63" s="23">
        <v>292</v>
      </c>
      <c r="V63" s="23">
        <v>379</v>
      </c>
      <c r="W63" s="23">
        <v>11477</v>
      </c>
      <c r="X63" s="26">
        <f t="shared" si="0"/>
        <v>0.18131487889273346</v>
      </c>
      <c r="Y63" s="26">
        <f t="shared" si="1"/>
        <v>-0.27054794520547942</v>
      </c>
      <c r="Z63" s="26">
        <f t="shared" si="2"/>
        <v>0.12164614966902887</v>
      </c>
      <c r="AA63" s="26">
        <f t="shared" si="3"/>
        <v>3.9808917197452227E-2</v>
      </c>
      <c r="AB63" s="26">
        <f t="shared" si="4"/>
        <v>2.0796719390743994E-2</v>
      </c>
      <c r="AC63" s="24">
        <f t="shared" si="5"/>
        <v>2.2005277044854883</v>
      </c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</row>
    <row r="64" spans="1:40" ht="14.4">
      <c r="A64" s="21">
        <v>543308</v>
      </c>
      <c r="B64" s="22" t="s">
        <v>17</v>
      </c>
      <c r="C64" s="23">
        <f ca="1">IFERROR(__xludf.DUMMYFUNCTION("GOOGLEFINANCE(""bom:""&amp;A64,""price"")"),2009.25)</f>
        <v>2009.25</v>
      </c>
      <c r="D64" s="24">
        <f ca="1">IFERROR(__xludf.DUMMYFUNCTION("GOOGLEFINANCE(""bom:""&amp;A64,""marketcap"")/10000000"),16125.595655)</f>
        <v>16125.595654999999</v>
      </c>
      <c r="E64" s="25"/>
      <c r="F64" s="25"/>
      <c r="G64" s="25"/>
      <c r="H64" s="25"/>
      <c r="I64" s="25"/>
      <c r="J64" s="25"/>
      <c r="K64" s="25"/>
      <c r="L64" s="25"/>
      <c r="M64" s="25"/>
      <c r="N64" s="24">
        <f ca="1">IFERROR(__xludf.DUMMYFUNCTION("GOOGLEFINANCE(""bom:""&amp;A64,""eps"")"),42.24)</f>
        <v>42.24</v>
      </c>
      <c r="O64" s="25"/>
      <c r="P64" s="23">
        <v>2197</v>
      </c>
      <c r="Q64" s="23">
        <v>365</v>
      </c>
      <c r="R64" s="23">
        <v>1864</v>
      </c>
      <c r="S64" s="23">
        <v>1621</v>
      </c>
      <c r="T64" s="23">
        <v>264</v>
      </c>
      <c r="U64" s="23">
        <v>267</v>
      </c>
      <c r="V64" s="23">
        <v>30</v>
      </c>
      <c r="W64" s="23">
        <v>1753</v>
      </c>
      <c r="X64" s="26">
        <f t="shared" si="0"/>
        <v>0.14990746452806913</v>
      </c>
      <c r="Y64" s="26">
        <f t="shared" si="1"/>
        <v>-1.1235955056179803E-2</v>
      </c>
      <c r="Z64" s="27" t="e">
        <f t="shared" si="2"/>
        <v>#DIV/0!</v>
      </c>
      <c r="AA64" s="26">
        <f t="shared" si="3"/>
        <v>0.16613563950842059</v>
      </c>
      <c r="AB64" s="26">
        <f t="shared" si="4"/>
        <v>0.14163090128755365</v>
      </c>
      <c r="AC64" s="24">
        <f t="shared" si="5"/>
        <v>15.8</v>
      </c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</row>
    <row r="65" spans="1:40" ht="14.4">
      <c r="A65" s="21">
        <v>543524</v>
      </c>
      <c r="B65" s="22" t="s">
        <v>18</v>
      </c>
      <c r="C65" s="23">
        <f ca="1">IFERROR(__xludf.DUMMYFUNCTION("GOOGLEFINANCE(""bom:""&amp;A65,""price"")"),1361.15)</f>
        <v>1361.15</v>
      </c>
      <c r="D65" s="24">
        <f ca="1">IFERROR(__xludf.DUMMYFUNCTION("GOOGLEFINANCE(""bom:""&amp;A65,""marketcap"")/10000000"),13804.2312)</f>
        <v>13804.2312</v>
      </c>
      <c r="E65" s="25"/>
      <c r="F65" s="25"/>
      <c r="G65" s="25"/>
      <c r="H65" s="25"/>
      <c r="I65" s="25"/>
      <c r="J65" s="25"/>
      <c r="K65" s="25"/>
      <c r="L65" s="25"/>
      <c r="M65" s="25"/>
      <c r="N65" s="24">
        <f ca="1">IFERROR(__xludf.DUMMYFUNCTION("GOOGLEFINANCE(""bom:""&amp;A65,""eps"")"),21.67)</f>
        <v>21.67</v>
      </c>
      <c r="O65" s="25"/>
      <c r="P65" s="23">
        <v>1173</v>
      </c>
      <c r="Q65" s="23">
        <v>212</v>
      </c>
      <c r="R65" s="23">
        <v>955</v>
      </c>
      <c r="S65" s="23">
        <v>856</v>
      </c>
      <c r="T65" s="23">
        <v>167</v>
      </c>
      <c r="U65" s="23">
        <v>158</v>
      </c>
      <c r="V65" s="23">
        <v>55</v>
      </c>
      <c r="W65" s="23">
        <v>922</v>
      </c>
      <c r="X65" s="26">
        <f t="shared" si="0"/>
        <v>0.11565420560747675</v>
      </c>
      <c r="Y65" s="26">
        <f t="shared" si="1"/>
        <v>5.6962025316455778E-2</v>
      </c>
      <c r="Z65" s="27" t="e">
        <f t="shared" si="2"/>
        <v>#DIV/0!</v>
      </c>
      <c r="AA65" s="26">
        <f t="shared" si="3"/>
        <v>0.18073316283034954</v>
      </c>
      <c r="AB65" s="26">
        <f t="shared" si="4"/>
        <v>0.17486910994764399</v>
      </c>
      <c r="AC65" s="24">
        <f t="shared" si="5"/>
        <v>5.5636363636363635</v>
      </c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</row>
    <row r="66" spans="1:40" ht="14.4">
      <c r="A66" s="21">
        <v>543980</v>
      </c>
      <c r="B66" s="22" t="s">
        <v>19</v>
      </c>
      <c r="C66" s="23">
        <f ca="1">IFERROR(__xludf.DUMMYFUNCTION("GOOGLEFINANCE(""bom:""&amp;A66,""price"")"),1256)</f>
        <v>1256</v>
      </c>
      <c r="D66" s="24">
        <f ca="1">IFERROR(__xludf.DUMMYFUNCTION("GOOGLEFINANCE(""bom:""&amp;A66,""marketcap"")/10000000"),8234.070984)</f>
        <v>8234.070984</v>
      </c>
      <c r="E66" s="25"/>
      <c r="F66" s="25"/>
      <c r="G66" s="25"/>
      <c r="H66" s="25"/>
      <c r="I66" s="25"/>
      <c r="J66" s="25"/>
      <c r="K66" s="25"/>
      <c r="L66" s="25"/>
      <c r="M66" s="25"/>
      <c r="N66" s="24">
        <f ca="1">IFERROR(__xludf.DUMMYFUNCTION("GOOGLEFINANCE(""bom:""&amp;A66,""eps"")"),24.56)</f>
        <v>24.56</v>
      </c>
      <c r="O66" s="25"/>
      <c r="P66" s="23">
        <v>892</v>
      </c>
      <c r="Q66" s="23">
        <v>73</v>
      </c>
      <c r="R66" s="23">
        <v>779</v>
      </c>
      <c r="S66" s="23">
        <v>650</v>
      </c>
      <c r="T66" s="23">
        <v>131</v>
      </c>
      <c r="U66" s="23">
        <v>57</v>
      </c>
      <c r="V66" s="23">
        <v>42</v>
      </c>
      <c r="W66" s="23">
        <v>772</v>
      </c>
      <c r="X66" s="26">
        <f t="shared" si="0"/>
        <v>0.19846153846153847</v>
      </c>
      <c r="Y66" s="26">
        <f t="shared" si="1"/>
        <v>1.2982456140350878</v>
      </c>
      <c r="Z66" s="27" t="e">
        <f t="shared" si="2"/>
        <v>#DIV/0!</v>
      </c>
      <c r="AA66" s="26">
        <f t="shared" si="3"/>
        <v>8.1838565022421525E-2</v>
      </c>
      <c r="AB66" s="26">
        <f t="shared" si="4"/>
        <v>0.16816431322207959</v>
      </c>
      <c r="AC66" s="24">
        <f t="shared" si="5"/>
        <v>3.8571428571428572</v>
      </c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</row>
    <row r="67" spans="1:40" ht="14.4">
      <c r="A67" s="21">
        <v>539787</v>
      </c>
      <c r="B67" s="22" t="s">
        <v>20</v>
      </c>
      <c r="C67" s="23">
        <f ca="1">IFERROR(__xludf.DUMMYFUNCTION("GOOGLEFINANCE(""bom:""&amp;A67,""price"")"),374.25)</f>
        <v>374.25</v>
      </c>
      <c r="D67" s="24">
        <f ca="1">IFERROR(__xludf.DUMMYFUNCTION("GOOGLEFINANCE(""bom:""&amp;A67,""marketcap"")/10000000"),5220.001575)</f>
        <v>5220.0015750000002</v>
      </c>
      <c r="E67" s="25"/>
      <c r="F67" s="25"/>
      <c r="G67" s="25"/>
      <c r="H67" s="25"/>
      <c r="I67" s="25"/>
      <c r="J67" s="25"/>
      <c r="K67" s="25"/>
      <c r="L67" s="25"/>
      <c r="M67" s="25"/>
      <c r="N67" s="24">
        <f ca="1">IFERROR(__xludf.DUMMYFUNCTION("GOOGLEFINANCE(""bom:""&amp;A67,""eps"")"),2.52)</f>
        <v>2.52</v>
      </c>
      <c r="O67" s="23">
        <v>830</v>
      </c>
      <c r="P67" s="23">
        <v>1691</v>
      </c>
      <c r="Q67" s="23">
        <v>17</v>
      </c>
      <c r="R67" s="23">
        <v>1414</v>
      </c>
      <c r="S67" s="23">
        <v>1250</v>
      </c>
      <c r="T67" s="23">
        <v>17</v>
      </c>
      <c r="U67" s="23">
        <v>12</v>
      </c>
      <c r="V67" s="23">
        <v>103</v>
      </c>
      <c r="W67" s="23">
        <v>1662</v>
      </c>
      <c r="X67" s="26">
        <f t="shared" si="0"/>
        <v>0.13119999999999998</v>
      </c>
      <c r="Y67" s="26">
        <f t="shared" si="1"/>
        <v>0.41666666666666674</v>
      </c>
      <c r="Z67" s="26">
        <f t="shared" si="2"/>
        <v>0.15295698045243955</v>
      </c>
      <c r="AA67" s="26">
        <f t="shared" si="3"/>
        <v>1.0053222945002957E-2</v>
      </c>
      <c r="AB67" s="26">
        <f t="shared" si="4"/>
        <v>1.2022630834512023E-2</v>
      </c>
      <c r="AC67" s="24">
        <f t="shared" si="5"/>
        <v>1.2815533980582525</v>
      </c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</row>
    <row r="68" spans="1:40" ht="14.4">
      <c r="A68" s="21">
        <v>523323</v>
      </c>
      <c r="B68" s="22" t="s">
        <v>60</v>
      </c>
      <c r="C68" s="23">
        <f ca="1">IFERROR(__xludf.DUMMYFUNCTION("GOOGLEFINANCE(""bom:""&amp;A68,""price"")"),3947.2)</f>
        <v>3947.2</v>
      </c>
      <c r="D68" s="24">
        <f ca="1">IFERROR(__xludf.DUMMYFUNCTION("GOOGLEFINANCE(""bom:""&amp;A68,""marketcap"")/10000000"),4319.1288137)</f>
        <v>4319.1288137000001</v>
      </c>
      <c r="E68" s="28"/>
      <c r="F68" s="28"/>
      <c r="G68" s="28"/>
      <c r="H68" s="28"/>
      <c r="I68" s="28"/>
      <c r="J68" s="28"/>
      <c r="K68" s="28"/>
      <c r="L68" s="28"/>
      <c r="M68" s="28"/>
      <c r="N68" s="29"/>
      <c r="O68" s="28"/>
      <c r="P68" s="28"/>
      <c r="Q68" s="28"/>
      <c r="R68" s="28"/>
      <c r="S68" s="28"/>
      <c r="T68" s="28"/>
      <c r="U68" s="28"/>
      <c r="V68" s="28"/>
      <c r="W68" s="28"/>
      <c r="X68" s="30"/>
      <c r="Y68" s="30"/>
      <c r="Z68" s="30"/>
      <c r="AA68" s="30"/>
      <c r="AB68" s="30"/>
      <c r="AC68" s="31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</row>
    <row r="69" spans="1:40" ht="14.4">
      <c r="A69" s="21">
        <v>543950</v>
      </c>
      <c r="B69" s="22" t="s">
        <v>61</v>
      </c>
      <c r="C69" s="23">
        <f ca="1">IFERROR(__xludf.DUMMYFUNCTION("GOOGLEFINANCE(""bom:""&amp;A69,""price"")"),459.7)</f>
        <v>459.7</v>
      </c>
      <c r="D69" s="24">
        <f ca="1">IFERROR(__xludf.DUMMYFUNCTION("GOOGLEFINANCE(""bom:""&amp;A69,""marketcap"")/10000000"),3953.012351)</f>
        <v>3953.0123509999999</v>
      </c>
      <c r="E69" s="28"/>
      <c r="F69" s="28"/>
      <c r="G69" s="28"/>
      <c r="H69" s="28"/>
      <c r="I69" s="28"/>
      <c r="J69" s="28"/>
      <c r="K69" s="28"/>
      <c r="L69" s="28"/>
      <c r="M69" s="28"/>
      <c r="N69" s="32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</row>
    <row r="70" spans="1:40" ht="14.4">
      <c r="A70" s="21">
        <v>540797</v>
      </c>
      <c r="B70" s="22" t="s">
        <v>62</v>
      </c>
      <c r="C70" s="23">
        <f ca="1">IFERROR(__xludf.DUMMYFUNCTION("GOOGLEFINANCE(""bom:""&amp;A70,""price"")"),282.85)</f>
        <v>282.85000000000002</v>
      </c>
      <c r="D70" s="24">
        <f ca="1">IFERROR(__xludf.DUMMYFUNCTION("GOOGLEFINANCE(""bom:""&amp;A70,""marketcap"")/10000000"),3018.4216652)</f>
        <v>3018.4216652</v>
      </c>
      <c r="E70" s="28"/>
      <c r="F70" s="28"/>
      <c r="G70" s="28"/>
      <c r="H70" s="28"/>
      <c r="I70" s="28"/>
      <c r="J70" s="28"/>
      <c r="K70" s="28"/>
      <c r="L70" s="28"/>
      <c r="M70" s="28"/>
      <c r="N70" s="32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</row>
    <row r="71" spans="1:40" ht="14.4">
      <c r="A71" s="21">
        <v>542919</v>
      </c>
      <c r="B71" s="22" t="s">
        <v>63</v>
      </c>
      <c r="C71" s="23">
        <f ca="1">IFERROR(__xludf.DUMMYFUNCTION("GOOGLEFINANCE(""bom:""&amp;A71,""price"")"),186.85)</f>
        <v>186.85</v>
      </c>
      <c r="D71" s="24">
        <f ca="1">IFERROR(__xludf.DUMMYFUNCTION("GOOGLEFINANCE(""bom:""&amp;A71,""marketcap"")/10000000"),2554.1774)</f>
        <v>2554.1774</v>
      </c>
      <c r="E71" s="28"/>
      <c r="F71" s="28"/>
      <c r="G71" s="28"/>
      <c r="H71" s="28"/>
      <c r="I71" s="28"/>
      <c r="J71" s="28"/>
      <c r="K71" s="28"/>
      <c r="L71" s="28"/>
      <c r="M71" s="28"/>
      <c r="N71" s="32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</row>
    <row r="72" spans="1:40" ht="14.4">
      <c r="A72" s="21">
        <v>532150</v>
      </c>
      <c r="B72" s="22" t="s">
        <v>64</v>
      </c>
      <c r="C72" s="23">
        <f ca="1">IFERROR(__xludf.DUMMYFUNCTION("GOOGLEFINANCE(""bom:""&amp;A72,""price"")"),241.5)</f>
        <v>241.5</v>
      </c>
      <c r="D72" s="24">
        <f ca="1">IFERROR(__xludf.DUMMYFUNCTION("GOOGLEFINANCE(""bom:""&amp;A72,""marketcap"")/10000000"),2210.6945801)</f>
        <v>2210.6945801000002</v>
      </c>
      <c r="E72" s="28"/>
      <c r="F72" s="28"/>
      <c r="G72" s="28"/>
      <c r="H72" s="28"/>
      <c r="I72" s="28"/>
      <c r="J72" s="28"/>
      <c r="K72" s="28"/>
      <c r="L72" s="28"/>
      <c r="M72" s="28"/>
      <c r="N72" s="29"/>
      <c r="O72" s="28"/>
      <c r="P72" s="28"/>
      <c r="Q72" s="28"/>
      <c r="R72" s="28"/>
      <c r="S72" s="28"/>
      <c r="T72" s="28"/>
      <c r="U72" s="28"/>
      <c r="V72" s="28"/>
      <c r="W72" s="28"/>
      <c r="X72" s="30"/>
      <c r="Y72" s="30"/>
      <c r="Z72" s="30"/>
      <c r="AA72" s="30"/>
      <c r="AB72" s="30"/>
      <c r="AC72" s="31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</row>
    <row r="73" spans="1:40" ht="14.4">
      <c r="A73" s="21">
        <v>526783</v>
      </c>
      <c r="B73" s="22" t="s">
        <v>65</v>
      </c>
      <c r="C73" s="23">
        <f ca="1">IFERROR(__xludf.DUMMYFUNCTION("GOOGLEFINANCE(""bom:""&amp;A73,""price"")"),3345)</f>
        <v>3345</v>
      </c>
      <c r="D73" s="24">
        <f ca="1">IFERROR(__xludf.DUMMYFUNCTION("GOOGLEFINANCE(""bom:""&amp;A73,""marketcap"")/10000000"),1572.15)</f>
        <v>1572.15</v>
      </c>
      <c r="E73" s="28"/>
      <c r="F73" s="28"/>
      <c r="G73" s="28"/>
      <c r="H73" s="28"/>
      <c r="I73" s="28"/>
      <c r="J73" s="28"/>
      <c r="K73" s="28"/>
      <c r="L73" s="28"/>
      <c r="M73" s="28"/>
      <c r="N73" s="29"/>
      <c r="O73" s="28"/>
      <c r="P73" s="28"/>
      <c r="Q73" s="28"/>
      <c r="R73" s="28"/>
      <c r="S73" s="28"/>
      <c r="T73" s="28"/>
      <c r="U73" s="28"/>
      <c r="V73" s="28"/>
      <c r="W73" s="28"/>
      <c r="X73" s="30"/>
      <c r="Y73" s="30"/>
      <c r="Z73" s="30"/>
      <c r="AA73" s="30"/>
      <c r="AB73" s="30"/>
      <c r="AC73" s="31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</row>
    <row r="74" spans="1:40" ht="14.4">
      <c r="A74" s="21">
        <v>524520</v>
      </c>
      <c r="B74" s="22" t="s">
        <v>66</v>
      </c>
      <c r="C74" s="23">
        <f ca="1">IFERROR(__xludf.DUMMYFUNCTION("GOOGLEFINANCE(""bom:""&amp;A74,""price"")"),92.95)</f>
        <v>92.95</v>
      </c>
      <c r="D74" s="24">
        <f ca="1">IFERROR(__xludf.DUMMYFUNCTION("GOOGLEFINANCE(""bom:""&amp;A74,""marketcap"")/10000000"),1515.8740957)</f>
        <v>1515.8740957</v>
      </c>
      <c r="E74" s="28"/>
      <c r="F74" s="28"/>
      <c r="G74" s="28"/>
      <c r="H74" s="28"/>
      <c r="I74" s="28"/>
      <c r="J74" s="28"/>
      <c r="K74" s="28"/>
      <c r="L74" s="28"/>
      <c r="M74" s="28"/>
      <c r="N74" s="29"/>
      <c r="O74" s="28"/>
      <c r="P74" s="28"/>
      <c r="Q74" s="28"/>
      <c r="R74" s="28"/>
      <c r="S74" s="28"/>
      <c r="T74" s="28"/>
      <c r="U74" s="28"/>
      <c r="V74" s="28"/>
      <c r="W74" s="28"/>
      <c r="X74" s="30"/>
      <c r="Y74" s="30"/>
      <c r="Z74" s="30"/>
      <c r="AA74" s="30"/>
      <c r="AB74" s="30"/>
      <c r="AC74" s="31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</row>
    <row r="75" spans="1:40" ht="14.4">
      <c r="A75" s="21">
        <v>543346</v>
      </c>
      <c r="B75" s="22" t="s">
        <v>67</v>
      </c>
      <c r="C75" s="23">
        <f ca="1">IFERROR(__xludf.DUMMYFUNCTION("GOOGLEFINANCE(""bom:""&amp;A75,""price"")"),77.5)</f>
        <v>77.5</v>
      </c>
      <c r="D75" s="24">
        <f ca="1">IFERROR(__xludf.DUMMYFUNCTION("GOOGLEFINANCE(""bom:""&amp;A75,""marketcap"")/10000000"),181.35)</f>
        <v>181.35</v>
      </c>
      <c r="E75" s="28"/>
      <c r="F75" s="28"/>
      <c r="G75" s="28"/>
      <c r="H75" s="28"/>
      <c r="I75" s="28"/>
      <c r="J75" s="28"/>
      <c r="K75" s="28"/>
      <c r="L75" s="28"/>
      <c r="M75" s="28"/>
      <c r="N75" s="32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</row>
    <row r="76" spans="1:40" ht="14.4">
      <c r="A76" s="21">
        <v>543943</v>
      </c>
      <c r="B76" s="22" t="s">
        <v>68</v>
      </c>
      <c r="C76" s="23">
        <f ca="1">IFERROR(__xludf.DUMMYFUNCTION("GOOGLEFINANCE(""bom:""&amp;A76,""price"")"),85)</f>
        <v>85</v>
      </c>
      <c r="D76" s="24">
        <f ca="1">IFERROR(__xludf.DUMMYFUNCTION("GOOGLEFINANCE(""bom:""&amp;A76,""marketcap"")/10000000"),167.25705)</f>
        <v>167.25704999999999</v>
      </c>
      <c r="E76" s="28"/>
      <c r="F76" s="28"/>
      <c r="G76" s="28"/>
      <c r="H76" s="28"/>
      <c r="I76" s="28"/>
      <c r="J76" s="28"/>
      <c r="K76" s="28"/>
      <c r="L76" s="28"/>
      <c r="M76" s="28"/>
      <c r="N76" s="32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</row>
    <row r="77" spans="1:40" ht="14.4">
      <c r="A77" s="21">
        <v>532998</v>
      </c>
      <c r="B77" s="22" t="s">
        <v>69</v>
      </c>
      <c r="C77" s="23">
        <f ca="1">IFERROR(__xludf.DUMMYFUNCTION("GOOGLEFINANCE(""bom:""&amp;A77,""price"")"),62.35)</f>
        <v>62.35</v>
      </c>
      <c r="D77" s="24">
        <f ca="1">IFERROR(__xludf.DUMMYFUNCTION("GOOGLEFINANCE(""bom:""&amp;A77,""marketcap"")/10000000"),127.6894079)</f>
        <v>127.68940790000001</v>
      </c>
      <c r="E77" s="28"/>
      <c r="F77" s="28"/>
      <c r="G77" s="28"/>
      <c r="H77" s="28"/>
      <c r="I77" s="28"/>
      <c r="J77" s="28"/>
      <c r="K77" s="28"/>
      <c r="L77" s="28"/>
      <c r="M77" s="28"/>
      <c r="N77" s="29"/>
      <c r="O77" s="28"/>
      <c r="P77" s="28"/>
      <c r="Q77" s="28"/>
      <c r="R77" s="28"/>
      <c r="S77" s="28"/>
      <c r="T77" s="28"/>
      <c r="U77" s="28"/>
      <c r="V77" s="28"/>
      <c r="W77" s="28"/>
      <c r="X77" s="30"/>
      <c r="Y77" s="30"/>
      <c r="Z77" s="30"/>
      <c r="AA77" s="30"/>
      <c r="AB77" s="30"/>
      <c r="AC77" s="31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</row>
    <row r="78" spans="1:40" ht="14.4">
      <c r="A78" s="21">
        <v>523696</v>
      </c>
      <c r="B78" s="22" t="s">
        <v>70</v>
      </c>
      <c r="C78" s="23">
        <f ca="1">IFERROR(__xludf.DUMMYFUNCTION("GOOGLEFINANCE(""bom:""&amp;A78,""price"")"),57.69)</f>
        <v>57.69</v>
      </c>
      <c r="D78" s="24">
        <f ca="1">IFERROR(__xludf.DUMMYFUNCTION("GOOGLEFINANCE(""bom:""&amp;A78,""marketcap"")/10000000"),108.1211531)</f>
        <v>108.1211531</v>
      </c>
      <c r="E78" s="28"/>
      <c r="F78" s="28"/>
      <c r="G78" s="28"/>
      <c r="H78" s="28"/>
      <c r="I78" s="28"/>
      <c r="J78" s="28"/>
      <c r="K78" s="28"/>
      <c r="L78" s="28"/>
      <c r="M78" s="28"/>
      <c r="N78" s="29"/>
      <c r="O78" s="28"/>
      <c r="P78" s="28"/>
      <c r="Q78" s="28"/>
      <c r="R78" s="28"/>
      <c r="S78" s="28"/>
      <c r="T78" s="28"/>
      <c r="U78" s="28"/>
      <c r="V78" s="28"/>
      <c r="W78" s="28"/>
      <c r="X78" s="30"/>
      <c r="Y78" s="30"/>
      <c r="Z78" s="30"/>
      <c r="AA78" s="30"/>
      <c r="AB78" s="30"/>
      <c r="AC78" s="31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</row>
    <row r="79" spans="1:40" ht="14.4">
      <c r="A79" s="21">
        <v>543520</v>
      </c>
      <c r="B79" s="22" t="s">
        <v>71</v>
      </c>
      <c r="C79" s="23">
        <f ca="1">IFERROR(__xludf.DUMMYFUNCTION("GOOGLEFINANCE(""bom:""&amp;A79,""price"")"),43)</f>
        <v>43</v>
      </c>
      <c r="D79" s="24">
        <f ca="1">IFERROR(__xludf.DUMMYFUNCTION("GOOGLEFINANCE(""bom:""&amp;A79,""marketcap"")/10000000"),45.15)</f>
        <v>45.15</v>
      </c>
      <c r="E79" s="28"/>
      <c r="F79" s="28"/>
      <c r="G79" s="28"/>
      <c r="H79" s="28"/>
      <c r="I79" s="28"/>
      <c r="J79" s="28"/>
      <c r="K79" s="28"/>
      <c r="L79" s="28"/>
      <c r="M79" s="28"/>
      <c r="N79" s="32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</row>
    <row r="80" spans="1:40" ht="14.4">
      <c r="A80" s="21">
        <v>544013</v>
      </c>
      <c r="B80" s="22" t="s">
        <v>72</v>
      </c>
      <c r="C80" s="23">
        <f ca="1">IFERROR(__xludf.DUMMYFUNCTION("GOOGLEFINANCE(""bom:""&amp;A80,""price"")"),52)</f>
        <v>52</v>
      </c>
      <c r="D80" s="24">
        <f ca="1">IFERROR(__xludf.DUMMYFUNCTION("GOOGLEFINANCE(""bom:""&amp;A80,""marketcap"")/10000000"),35.4044184)</f>
        <v>35.404418399999997</v>
      </c>
      <c r="E80" s="28"/>
      <c r="F80" s="28"/>
      <c r="G80" s="28"/>
      <c r="H80" s="28"/>
      <c r="I80" s="28"/>
      <c r="J80" s="28"/>
      <c r="K80" s="28"/>
      <c r="L80" s="28"/>
      <c r="M80" s="28"/>
      <c r="N80" s="32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</row>
    <row r="81" spans="1:40" ht="14.4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</row>
    <row r="82" spans="1:40" ht="14.4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</row>
    <row r="83" spans="1:40" ht="14.4">
      <c r="A83" s="34"/>
      <c r="B83" s="25"/>
      <c r="C83" s="25"/>
      <c r="D83" s="35">
        <f ca="1">SUM(D58:D80)</f>
        <v>358233.47766929999</v>
      </c>
      <c r="E83" s="25"/>
      <c r="F83" s="25"/>
      <c r="G83" s="25"/>
      <c r="H83" s="25"/>
      <c r="I83" s="25"/>
      <c r="J83" s="25"/>
      <c r="K83" s="25"/>
      <c r="L83" s="25"/>
      <c r="M83" s="25"/>
      <c r="N83" s="35">
        <f t="shared" ref="N83:W83" ca="1" si="6">SUM(N58:N80)</f>
        <v>225.39000000000001</v>
      </c>
      <c r="O83" s="36">
        <f t="shared" si="6"/>
        <v>25306</v>
      </c>
      <c r="P83" s="36">
        <f t="shared" si="6"/>
        <v>52574</v>
      </c>
      <c r="Q83" s="36">
        <f t="shared" si="6"/>
        <v>4654</v>
      </c>
      <c r="R83" s="36">
        <f t="shared" si="6"/>
        <v>44650</v>
      </c>
      <c r="S83" s="36">
        <f t="shared" si="6"/>
        <v>38652</v>
      </c>
      <c r="T83" s="36">
        <f t="shared" si="6"/>
        <v>3665</v>
      </c>
      <c r="U83" s="36">
        <f t="shared" si="6"/>
        <v>3489</v>
      </c>
      <c r="V83" s="36">
        <f t="shared" si="6"/>
        <v>1349</v>
      </c>
      <c r="W83" s="36">
        <f t="shared" si="6"/>
        <v>47571</v>
      </c>
      <c r="X83" s="37">
        <f>(R83/S83)-1</f>
        <v>0.15517955086412094</v>
      </c>
      <c r="Y83" s="37">
        <f>(T83/U83)-1</f>
        <v>5.0444253367727176E-2</v>
      </c>
      <c r="Z83" s="37">
        <f>(P83/O83)^(1/5)-1</f>
        <v>0.1574693600615813</v>
      </c>
      <c r="AA83" s="37">
        <f>Q83/P83</f>
        <v>8.8522843991326511E-2</v>
      </c>
      <c r="AB83" s="37">
        <f>T83/R83</f>
        <v>8.2082866741321384E-2</v>
      </c>
      <c r="AC83" s="24">
        <f>(P83-W83+V83)/V83</f>
        <v>4.7086730911786505</v>
      </c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</row>
    <row r="84" spans="1:40" ht="14.4">
      <c r="D84" s="16">
        <f ca="1">D83*80%</f>
        <v>286586.78213543998</v>
      </c>
    </row>
  </sheetData>
  <autoFilter ref="A57:AN80" xr:uid="{00000000-0009-0000-0000-000002000000}">
    <sortState xmlns:xlrd2="http://schemas.microsoft.com/office/spreadsheetml/2017/richdata2" ref="A57:AN80">
      <sortCondition descending="1" ref="D57:D80"/>
    </sortState>
  </autoFilter>
  <mergeCells count="1">
    <mergeCell ref="B2:M4"/>
  </mergeCells>
  <conditionalFormatting sqref="C38:C48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2024-04-09T11:39:12Z</dcterms:created>
  <dcterms:modified xsi:type="dcterms:W3CDTF">2024-04-09T11:39:46Z</dcterms:modified>
</cp:coreProperties>
</file>