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3_FY24\"/>
    </mc:Choice>
  </mc:AlternateContent>
  <xr:revisionPtr revIDLastSave="0" documentId="8_{FD1EDF49-FF45-4737-B6EB-D6ED4BE8904C}" xr6:coauthVersionLast="47" xr6:coauthVersionMax="47" xr10:uidLastSave="{00000000-0000-0000-0000-000000000000}"/>
  <bookViews>
    <workbookView xWindow="-108" yWindow="-108" windowWidth="23256" windowHeight="12456" xr2:uid="{BB2780D1-30CF-4452-8ED1-3E6CF21968FD}"/>
  </bookViews>
  <sheets>
    <sheet name="Apoll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1" l="1"/>
  <c r="I57" i="1"/>
  <c r="D55" i="1"/>
  <c r="C55" i="1"/>
  <c r="F55" i="1" s="1"/>
  <c r="F53" i="1"/>
  <c r="F52" i="1"/>
  <c r="E52" i="1"/>
  <c r="F51" i="1"/>
  <c r="F50" i="1"/>
  <c r="E50" i="1"/>
  <c r="O44" i="1"/>
  <c r="N44" i="1"/>
  <c r="K44" i="1"/>
  <c r="O43" i="1"/>
  <c r="N43" i="1"/>
  <c r="K43" i="1"/>
  <c r="O42" i="1"/>
  <c r="N42" i="1"/>
  <c r="K42" i="1"/>
  <c r="O41" i="1"/>
  <c r="N41" i="1"/>
  <c r="K41" i="1"/>
  <c r="O40" i="1"/>
  <c r="N40" i="1"/>
  <c r="K40" i="1"/>
  <c r="O39" i="1"/>
  <c r="N39" i="1"/>
  <c r="K39" i="1"/>
  <c r="O38" i="1"/>
  <c r="N38" i="1"/>
  <c r="K38" i="1"/>
  <c r="O37" i="1"/>
  <c r="N37" i="1"/>
  <c r="K37" i="1"/>
  <c r="V36" i="1"/>
  <c r="T36" i="1"/>
  <c r="S36" i="1"/>
  <c r="U31" i="1" s="1"/>
  <c r="O36" i="1"/>
  <c r="N36" i="1"/>
  <c r="K36" i="1"/>
  <c r="O35" i="1"/>
  <c r="N35" i="1"/>
  <c r="K35" i="1"/>
  <c r="V34" i="1"/>
  <c r="U34" i="1"/>
  <c r="O34" i="1"/>
  <c r="N34" i="1"/>
  <c r="K34" i="1"/>
  <c r="V33" i="1"/>
  <c r="U33" i="1"/>
  <c r="O33" i="1"/>
  <c r="N33" i="1"/>
  <c r="K33" i="1"/>
  <c r="V32" i="1"/>
  <c r="O32" i="1"/>
  <c r="N32" i="1"/>
  <c r="K32" i="1"/>
  <c r="V31" i="1"/>
  <c r="O31" i="1"/>
  <c r="N31" i="1"/>
  <c r="K31" i="1"/>
  <c r="V30" i="1"/>
  <c r="U30" i="1"/>
  <c r="O30" i="1"/>
  <c r="N30" i="1"/>
  <c r="K30" i="1"/>
  <c r="V29" i="1"/>
  <c r="U29" i="1"/>
  <c r="O29" i="1"/>
  <c r="N29" i="1"/>
  <c r="K29" i="1"/>
  <c r="V28" i="1"/>
  <c r="O28" i="1"/>
  <c r="N28" i="1"/>
  <c r="K28" i="1"/>
  <c r="O27" i="1"/>
  <c r="N27" i="1"/>
  <c r="K27" i="1"/>
  <c r="O26" i="1"/>
  <c r="N26" i="1"/>
  <c r="K26" i="1"/>
  <c r="O25" i="1"/>
  <c r="O19" i="1" s="1"/>
  <c r="N25" i="1"/>
  <c r="K25" i="1"/>
  <c r="O24" i="1"/>
  <c r="N24" i="1"/>
  <c r="K24" i="1"/>
  <c r="K20" i="1" s="1"/>
  <c r="Y23" i="1"/>
  <c r="X23" i="1"/>
  <c r="Z23" i="1" s="1"/>
  <c r="U23" i="1"/>
  <c r="T23" i="1"/>
  <c r="S23" i="1"/>
  <c r="Y22" i="1"/>
  <c r="Z22" i="1" s="1"/>
  <c r="X22" i="1"/>
  <c r="T22" i="1"/>
  <c r="S22" i="1"/>
  <c r="U22" i="1" s="1"/>
  <c r="Z21" i="1"/>
  <c r="U21" i="1"/>
  <c r="Z20" i="1"/>
  <c r="U20" i="1"/>
  <c r="O20" i="1"/>
  <c r="N20" i="1"/>
  <c r="M20" i="1"/>
  <c r="L20" i="1"/>
  <c r="J20" i="1"/>
  <c r="I20" i="1"/>
  <c r="H20" i="1"/>
  <c r="G20" i="1"/>
  <c r="F20" i="1"/>
  <c r="E20" i="1"/>
  <c r="D20" i="1"/>
  <c r="C20" i="1"/>
  <c r="Z19" i="1"/>
  <c r="U19" i="1"/>
  <c r="N19" i="1"/>
  <c r="P19" i="1" s="1"/>
  <c r="M19" i="1"/>
  <c r="L19" i="1"/>
  <c r="J19" i="1"/>
  <c r="I19" i="1"/>
  <c r="H19" i="1"/>
  <c r="G19" i="1"/>
  <c r="F19" i="1"/>
  <c r="E19" i="1"/>
  <c r="D19" i="1"/>
  <c r="C19" i="1"/>
  <c r="Z18" i="1"/>
  <c r="U18" i="1"/>
  <c r="N18" i="1"/>
  <c r="M18" i="1"/>
  <c r="L18" i="1"/>
  <c r="J18" i="1"/>
  <c r="I18" i="1"/>
  <c r="H18" i="1"/>
  <c r="G18" i="1"/>
  <c r="F18" i="1"/>
  <c r="E18" i="1"/>
  <c r="D18" i="1"/>
  <c r="C18" i="1"/>
  <c r="Z17" i="1"/>
  <c r="U17" i="1"/>
  <c r="N17" i="1"/>
  <c r="M17" i="1"/>
  <c r="L17" i="1"/>
  <c r="J17" i="1"/>
  <c r="I17" i="1"/>
  <c r="H17" i="1"/>
  <c r="G17" i="1"/>
  <c r="F17" i="1"/>
  <c r="E17" i="1"/>
  <c r="D17" i="1"/>
  <c r="C17" i="1"/>
  <c r="D13" i="1"/>
  <c r="C13" i="1"/>
  <c r="R11" i="1"/>
  <c r="S9" i="1" s="1"/>
  <c r="P11" i="1"/>
  <c r="F10" i="1"/>
  <c r="G10" i="1" s="1"/>
  <c r="E10" i="1"/>
  <c r="E14" i="1" s="1"/>
  <c r="D10" i="1"/>
  <c r="C10" i="1"/>
  <c r="D9" i="1"/>
  <c r="D8" i="1" s="1"/>
  <c r="C9" i="1"/>
  <c r="C8" i="1" s="1"/>
  <c r="N8" i="1"/>
  <c r="Q5" i="1"/>
  <c r="P5" i="1"/>
  <c r="O5" i="1"/>
  <c r="N5" i="1"/>
  <c r="M5" i="1"/>
  <c r="L5" i="1"/>
  <c r="K5" i="1"/>
  <c r="J5" i="1"/>
  <c r="H5" i="1"/>
  <c r="G5" i="1"/>
  <c r="F5" i="1"/>
  <c r="E5" i="1"/>
  <c r="I4" i="1"/>
  <c r="I3" i="1"/>
  <c r="I5" i="1" s="1"/>
  <c r="D3" i="1"/>
  <c r="D4" i="1" s="1"/>
  <c r="D5" i="1" s="1"/>
  <c r="C3" i="1"/>
  <c r="C5" i="1" s="1"/>
  <c r="Q11" i="1" l="1"/>
  <c r="U28" i="1"/>
  <c r="U36" i="1"/>
  <c r="E53" i="1"/>
  <c r="K17" i="1"/>
  <c r="G13" i="1" s="1"/>
  <c r="E9" i="1" s="1"/>
  <c r="K18" i="1"/>
  <c r="K19" i="1"/>
  <c r="U32" i="1"/>
  <c r="E51" i="1"/>
  <c r="E55" i="1"/>
  <c r="O17" i="1"/>
  <c r="P17" i="1" s="1"/>
  <c r="P20" i="1" s="1"/>
  <c r="O18" i="1"/>
  <c r="P18" i="1" s="1"/>
  <c r="E8" i="1" l="1"/>
  <c r="F9" i="1"/>
  <c r="F8" i="1" l="1"/>
  <c r="G8" i="1" s="1"/>
  <c r="G9" i="1"/>
</calcChain>
</file>

<file path=xl/sharedStrings.xml><?xml version="1.0" encoding="utf-8"?>
<sst xmlns="http://schemas.openxmlformats.org/spreadsheetml/2006/main" count="167" uniqueCount="121">
  <si>
    <t>All Figures are in million</t>
  </si>
  <si>
    <t>COMPANY</t>
  </si>
  <si>
    <t>PRICE</t>
  </si>
  <si>
    <t>MCAP</t>
  </si>
  <si>
    <t>SALES</t>
  </si>
  <si>
    <t>PROFIT</t>
  </si>
  <si>
    <t>TRAIL_EPS</t>
  </si>
  <si>
    <t>EQUITY</t>
  </si>
  <si>
    <t>TOTALEQ</t>
  </si>
  <si>
    <t>BORROWING</t>
  </si>
  <si>
    <t>LEASE</t>
  </si>
  <si>
    <t>FV</t>
  </si>
  <si>
    <t>CUR.ASSET</t>
  </si>
  <si>
    <t>CUR.LIABILITY</t>
  </si>
  <si>
    <t>ASSET</t>
  </si>
  <si>
    <t>LIABILITY</t>
  </si>
  <si>
    <t>TRADE REC</t>
  </si>
  <si>
    <t>APOLLOHOSP</t>
  </si>
  <si>
    <t>PREVIOUS YEAR</t>
  </si>
  <si>
    <t>GROWTH</t>
  </si>
  <si>
    <t>Estimate</t>
  </si>
  <si>
    <t>BED COUNT</t>
  </si>
  <si>
    <t>Revenue</t>
  </si>
  <si>
    <t>Net Profit</t>
  </si>
  <si>
    <t>EPS</t>
  </si>
  <si>
    <t>FairValue</t>
  </si>
  <si>
    <t>YEAR</t>
  </si>
  <si>
    <t>Q4_FY23</t>
  </si>
  <si>
    <t>Q1_FY24</t>
  </si>
  <si>
    <t>Q2_FY23</t>
  </si>
  <si>
    <t>Q3_FY24</t>
  </si>
  <si>
    <t>fy_2035</t>
  </si>
  <si>
    <t>TRAILEPS</t>
  </si>
  <si>
    <t>EPS_23</t>
  </si>
  <si>
    <t>T_EPS_24</t>
  </si>
  <si>
    <t>F_EPS_FY_24</t>
  </si>
  <si>
    <t>F_PEG</t>
  </si>
  <si>
    <t>fy_2030</t>
  </si>
  <si>
    <t>fy_2024</t>
  </si>
  <si>
    <t>PE_22</t>
  </si>
  <si>
    <t>TRAIL_PE</t>
  </si>
  <si>
    <t>F_PE23</t>
  </si>
  <si>
    <t>Trend</t>
  </si>
  <si>
    <t>FY_2023</t>
  </si>
  <si>
    <t>Q1_FY_2024</t>
  </si>
  <si>
    <t>H1_FY24</t>
  </si>
  <si>
    <t>9M_FY24</t>
  </si>
  <si>
    <t>EST_FY_2024</t>
  </si>
  <si>
    <t>Exp Growth</t>
  </si>
  <si>
    <t>Margin</t>
  </si>
  <si>
    <t>Sales</t>
  </si>
  <si>
    <t>LongTerm</t>
  </si>
  <si>
    <t>Profit</t>
  </si>
  <si>
    <t>Cy Year</t>
  </si>
  <si>
    <t>MARGIN</t>
  </si>
  <si>
    <t>Growth</t>
  </si>
  <si>
    <t>Expenditure</t>
  </si>
  <si>
    <t>Interest</t>
  </si>
  <si>
    <t>Equity</t>
  </si>
  <si>
    <t>Reserves</t>
  </si>
  <si>
    <t>NPM %</t>
  </si>
  <si>
    <t xml:space="preserve">HIGH PRICE </t>
  </si>
  <si>
    <t>LOW PRICE</t>
  </si>
  <si>
    <t>HIGH PE</t>
  </si>
  <si>
    <t>LOW PE</t>
  </si>
  <si>
    <t>FairPE</t>
  </si>
  <si>
    <t>RESULT</t>
  </si>
  <si>
    <t>9M_FY23</t>
  </si>
  <si>
    <t>20 Year</t>
  </si>
  <si>
    <t>10 Year</t>
  </si>
  <si>
    <t>Expense</t>
  </si>
  <si>
    <t>5 Year</t>
  </si>
  <si>
    <t>Finance</t>
  </si>
  <si>
    <t>Last Year</t>
  </si>
  <si>
    <t>Actual</t>
  </si>
  <si>
    <t>(in Million)</t>
  </si>
  <si>
    <t>ICR</t>
  </si>
  <si>
    <t>FY_2022</t>
  </si>
  <si>
    <t>FY_2021</t>
  </si>
  <si>
    <t>FY_2020</t>
  </si>
  <si>
    <t>MAJORCOST</t>
  </si>
  <si>
    <t>SHARE</t>
  </si>
  <si>
    <t>FY_2019</t>
  </si>
  <si>
    <t>MATERIAL</t>
  </si>
  <si>
    <t>FY_2018</t>
  </si>
  <si>
    <t>OTHER COST</t>
  </si>
  <si>
    <t>FY_2017</t>
  </si>
  <si>
    <t>EMPLOYEE</t>
  </si>
  <si>
    <t>FY_2016</t>
  </si>
  <si>
    <t>Stock Trade</t>
  </si>
  <si>
    <t>FY_2015</t>
  </si>
  <si>
    <t>D&amp;A</t>
  </si>
  <si>
    <t>FY_2014</t>
  </si>
  <si>
    <t>FY_2013</t>
  </si>
  <si>
    <t>Inventory</t>
  </si>
  <si>
    <t>FY_2012</t>
  </si>
  <si>
    <t>SPLIT10:5</t>
  </si>
  <si>
    <t>FY_2011</t>
  </si>
  <si>
    <t>TOTAL</t>
  </si>
  <si>
    <t>FY_2010</t>
  </si>
  <si>
    <t>FY_2009</t>
  </si>
  <si>
    <t>FY_2008</t>
  </si>
  <si>
    <t>FY_2007</t>
  </si>
  <si>
    <t>FY_2006</t>
  </si>
  <si>
    <t>FY_2005</t>
  </si>
  <si>
    <t>FY_2004</t>
  </si>
  <si>
    <t>FY_2003</t>
  </si>
  <si>
    <t>FY_1995</t>
  </si>
  <si>
    <t>Segment Revenue</t>
  </si>
  <si>
    <t>Year</t>
  </si>
  <si>
    <t>Bedcounts</t>
  </si>
  <si>
    <t>Pharmacy Store</t>
  </si>
  <si>
    <t>Segment</t>
  </si>
  <si>
    <t>fy_24</t>
  </si>
  <si>
    <t>fy_23</t>
  </si>
  <si>
    <t>Share</t>
  </si>
  <si>
    <t>Healthcare Services</t>
  </si>
  <si>
    <t>Retail Health &amp; Diagnostics</t>
  </si>
  <si>
    <t>Digital Health &amp; Pharmacy distribution</t>
  </si>
  <si>
    <t>Others</t>
  </si>
  <si>
    <t>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</si>
</sst>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"/>
    <numFmt numFmtId="165" formatCode="0.0"/>
    <numFmt numFmtId="166" formatCode="0.0%"/>
  </numFmts>
  <fonts count="15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sz val="11"/>
      <color rgb="FFFFFFFF"/>
      <name val="Calibri"/>
    </font>
    <font>
      <sz val="11"/>
      <color theme="1"/>
      <name val="Calibri"/>
    </font>
    <font>
      <sz val="11"/>
      <color theme="1"/>
      <name val="Arial"/>
    </font>
    <font>
      <b/>
      <i/>
      <sz val="11"/>
      <color theme="1"/>
      <name val="Calibri"/>
    </font>
    <font>
      <sz val="11"/>
      <color rgb="FFFFFFFF"/>
      <name val="Calibri"/>
      <scheme val="minor"/>
    </font>
    <font>
      <b/>
      <sz val="11"/>
      <color rgb="FFFFFFFF"/>
      <name val="Calibri"/>
    </font>
    <font>
      <sz val="26"/>
      <color theme="1"/>
      <name val="Arial"/>
    </font>
    <font>
      <i/>
      <sz val="11"/>
      <color theme="1"/>
      <name val="Calibri"/>
      <scheme val="minor"/>
    </font>
    <font>
      <sz val="11"/>
      <color rgb="FF006100"/>
      <name val="Calibri"/>
      <scheme val="minor"/>
    </font>
    <font>
      <sz val="11"/>
      <color rgb="FF9C6500"/>
      <name val="Calibri"/>
      <scheme val="minor"/>
    </font>
    <font>
      <b/>
      <i/>
      <sz val="11"/>
      <color theme="1"/>
      <name val="Calibri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4F81BD"/>
        <bgColor rgb="FF4F81BD"/>
      </patternFill>
    </fill>
    <fill>
      <patternFill patternType="solid">
        <fgColor rgb="FFB7B7B7"/>
        <bgColor rgb="FFB7B7B7"/>
      </patternFill>
    </fill>
    <fill>
      <patternFill patternType="solid">
        <fgColor rgb="FF073763"/>
        <bgColor rgb="FF073763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67C73"/>
        <bgColor rgb="FFE67C73"/>
      </patternFill>
    </fill>
    <fill>
      <patternFill patternType="solid">
        <fgColor rgb="FFFBFEFC"/>
        <bgColor rgb="FFFBFEFC"/>
      </patternFill>
    </fill>
    <fill>
      <patternFill patternType="solid">
        <fgColor rgb="FF57BB8A"/>
        <bgColor rgb="FF57BB8A"/>
      </patternFill>
    </fill>
    <fill>
      <patternFill patternType="solid">
        <fgColor rgb="FFFEFBFA"/>
        <bgColor rgb="FFFEFBFA"/>
      </patternFill>
    </fill>
    <fill>
      <patternFill patternType="solid">
        <fgColor rgb="FFCCCCCC"/>
        <bgColor rgb="FFCCCCCC"/>
      </patternFill>
    </fill>
    <fill>
      <patternFill patternType="solid">
        <fgColor rgb="FFFFD666"/>
        <bgColor rgb="FFFFD666"/>
      </patternFill>
    </fill>
    <fill>
      <patternFill patternType="solid">
        <fgColor rgb="FFFCF4F3"/>
        <bgColor rgb="FFFCF4F3"/>
      </patternFill>
    </fill>
    <fill>
      <patternFill patternType="solid">
        <fgColor rgb="FFFEFCFC"/>
        <bgColor rgb="FFFEFCFC"/>
      </patternFill>
    </fill>
    <fill>
      <patternFill patternType="solid">
        <fgColor rgb="FFC8E9D9"/>
        <bgColor rgb="FFC8E9D9"/>
      </patternFill>
    </fill>
    <fill>
      <patternFill patternType="solid">
        <fgColor rgb="FFFDF7F6"/>
        <bgColor rgb="FFFDF7F6"/>
      </patternFill>
    </fill>
    <fill>
      <patternFill patternType="solid">
        <fgColor rgb="FFFEFEFE"/>
        <bgColor rgb="FFFEFEFE"/>
      </patternFill>
    </fill>
    <fill>
      <patternFill patternType="solid">
        <fgColor rgb="FFFAE5E3"/>
        <bgColor rgb="FFFAE5E3"/>
      </patternFill>
    </fill>
    <fill>
      <patternFill patternType="solid">
        <fgColor rgb="FFE99089"/>
        <bgColor rgb="FFE99089"/>
      </patternFill>
    </fill>
    <fill>
      <patternFill patternType="solid">
        <fgColor rgb="FFF5FBF8"/>
        <bgColor rgb="FFF5FBF8"/>
      </patternFill>
    </fill>
    <fill>
      <patternFill patternType="solid">
        <fgColor rgb="FFF6FBF9"/>
        <bgColor rgb="FFF6FBF9"/>
      </patternFill>
    </fill>
    <fill>
      <patternFill patternType="solid">
        <fgColor rgb="FFFAE6E5"/>
        <bgColor rgb="FFFAE6E5"/>
      </patternFill>
    </fill>
    <fill>
      <patternFill patternType="solid">
        <fgColor rgb="FFFAE6E4"/>
        <bgColor rgb="FFFAE6E4"/>
      </patternFill>
    </fill>
    <fill>
      <patternFill patternType="solid">
        <fgColor rgb="FF66C195"/>
        <bgColor rgb="FF66C195"/>
      </patternFill>
    </fill>
    <fill>
      <patternFill patternType="solid">
        <fgColor rgb="FFFEFBFB"/>
        <bgColor rgb="FFFEFBFB"/>
      </patternFill>
    </fill>
    <fill>
      <patternFill patternType="solid">
        <fgColor rgb="FFF8FCFA"/>
        <bgColor rgb="FFF8FCFA"/>
      </patternFill>
    </fill>
    <fill>
      <patternFill patternType="solid">
        <fgColor rgb="FF67C296"/>
        <bgColor rgb="FF67C296"/>
      </patternFill>
    </fill>
    <fill>
      <patternFill patternType="solid">
        <fgColor rgb="FFF7D8D5"/>
        <bgColor rgb="FFF7D8D5"/>
      </patternFill>
    </fill>
    <fill>
      <patternFill patternType="solid">
        <fgColor rgb="FF1C4587"/>
        <bgColor rgb="FF1C4587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2" borderId="0" xfId="0" applyFont="1" applyFill="1"/>
    <xf numFmtId="0" fontId="3" fillId="0" borderId="0" xfId="0" applyFont="1"/>
    <xf numFmtId="0" fontId="4" fillId="3" borderId="1" xfId="0" applyFont="1" applyFill="1" applyBorder="1"/>
    <xf numFmtId="0" fontId="4" fillId="3" borderId="2" xfId="0" applyFont="1" applyFill="1" applyBorder="1"/>
    <xf numFmtId="0" fontId="5" fillId="0" borderId="3" xfId="0" applyFont="1" applyBorder="1"/>
    <xf numFmtId="1" fontId="6" fillId="0" borderId="4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1" fillId="0" borderId="0" xfId="0" applyFont="1"/>
    <xf numFmtId="165" fontId="5" fillId="0" borderId="4" xfId="0" applyNumberFormat="1" applyFont="1" applyBorder="1" applyAlignment="1">
      <alignment horizontal="right"/>
    </xf>
    <xf numFmtId="9" fontId="1" fillId="0" borderId="0" xfId="0" applyNumberFormat="1" applyFont="1"/>
    <xf numFmtId="9" fontId="7" fillId="4" borderId="4" xfId="0" applyNumberFormat="1" applyFont="1" applyFill="1" applyBorder="1" applyAlignment="1">
      <alignment horizontal="right"/>
    </xf>
    <xf numFmtId="9" fontId="5" fillId="4" borderId="4" xfId="0" applyNumberFormat="1" applyFont="1" applyFill="1" applyBorder="1" applyAlignment="1">
      <alignment horizontal="right"/>
    </xf>
    <xf numFmtId="0" fontId="8" fillId="5" borderId="0" xfId="0" applyFont="1" applyFill="1"/>
    <xf numFmtId="0" fontId="1" fillId="6" borderId="0" xfId="0" applyFont="1" applyFill="1"/>
    <xf numFmtId="3" fontId="1" fillId="6" borderId="0" xfId="0" applyNumberFormat="1" applyFont="1" applyFill="1"/>
    <xf numFmtId="1" fontId="1" fillId="6" borderId="0" xfId="0" applyNumberFormat="1" applyFont="1" applyFill="1"/>
    <xf numFmtId="3" fontId="5" fillId="7" borderId="3" xfId="0" applyNumberFormat="1" applyFont="1" applyFill="1" applyBorder="1"/>
    <xf numFmtId="3" fontId="5" fillId="8" borderId="4" xfId="0" applyNumberFormat="1" applyFont="1" applyFill="1" applyBorder="1" applyAlignment="1">
      <alignment horizontal="right"/>
    </xf>
    <xf numFmtId="3" fontId="5" fillId="9" borderId="4" xfId="0" applyNumberFormat="1" applyFont="1" applyFill="1" applyBorder="1" applyAlignment="1">
      <alignment horizontal="right"/>
    </xf>
    <xf numFmtId="3" fontId="5" fillId="10" borderId="4" xfId="0" applyNumberFormat="1" applyFont="1" applyFill="1" applyBorder="1" applyAlignment="1">
      <alignment horizontal="right"/>
    </xf>
    <xf numFmtId="3" fontId="5" fillId="11" borderId="4" xfId="0" applyNumberFormat="1" applyFont="1" applyFill="1" applyBorder="1" applyAlignment="1">
      <alignment horizontal="right"/>
    </xf>
    <xf numFmtId="4" fontId="5" fillId="7" borderId="4" xfId="0" applyNumberFormat="1" applyFont="1" applyFill="1" applyBorder="1" applyAlignment="1">
      <alignment horizontal="right"/>
    </xf>
    <xf numFmtId="164" fontId="1" fillId="0" borderId="0" xfId="0" applyNumberFormat="1" applyFont="1"/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" fillId="0" borderId="0" xfId="0" applyNumberFormat="1" applyFont="1"/>
    <xf numFmtId="3" fontId="6" fillId="0" borderId="0" xfId="0" applyNumberFormat="1" applyFont="1"/>
    <xf numFmtId="166" fontId="6" fillId="0" borderId="0" xfId="0" applyNumberFormat="1" applyFont="1"/>
    <xf numFmtId="165" fontId="5" fillId="8" borderId="3" xfId="0" applyNumberFormat="1" applyFont="1" applyFill="1" applyBorder="1" applyAlignment="1">
      <alignment horizontal="center"/>
    </xf>
    <xf numFmtId="165" fontId="5" fillId="7" borderId="4" xfId="0" applyNumberFormat="1" applyFont="1" applyFill="1" applyBorder="1" applyAlignment="1">
      <alignment horizontal="center"/>
    </xf>
    <xf numFmtId="165" fontId="5" fillId="10" borderId="4" xfId="0" applyNumberFormat="1" applyFont="1" applyFill="1" applyBorder="1" applyAlignment="1">
      <alignment horizontal="center"/>
    </xf>
    <xf numFmtId="1" fontId="10" fillId="12" borderId="0" xfId="0" applyNumberFormat="1" applyFont="1" applyFill="1" applyAlignment="1">
      <alignment horizontal="center"/>
    </xf>
    <xf numFmtId="166" fontId="1" fillId="0" borderId="0" xfId="0" applyNumberFormat="1" applyFont="1"/>
    <xf numFmtId="0" fontId="1" fillId="6" borderId="5" xfId="0" applyFont="1" applyFill="1" applyBorder="1" applyAlignment="1">
      <alignment horizontal="left"/>
    </xf>
    <xf numFmtId="3" fontId="1" fillId="6" borderId="5" xfId="0" applyNumberFormat="1" applyFont="1" applyFill="1" applyBorder="1"/>
    <xf numFmtId="1" fontId="1" fillId="6" borderId="5" xfId="0" applyNumberFormat="1" applyFont="1" applyFill="1" applyBorder="1"/>
    <xf numFmtId="9" fontId="6" fillId="0" borderId="6" xfId="0" applyNumberFormat="1" applyFont="1" applyBorder="1"/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0" fillId="0" borderId="0" xfId="0"/>
    <xf numFmtId="1" fontId="5" fillId="8" borderId="3" xfId="0" applyNumberFormat="1" applyFont="1" applyFill="1" applyBorder="1" applyAlignment="1">
      <alignment horizontal="center"/>
    </xf>
    <xf numFmtId="1" fontId="5" fillId="13" borderId="4" xfId="0" applyNumberFormat="1" applyFont="1" applyFill="1" applyBorder="1" applyAlignment="1">
      <alignment horizontal="center"/>
    </xf>
    <xf numFmtId="1" fontId="5" fillId="10" borderId="4" xfId="0" applyNumberFormat="1" applyFont="1" applyFill="1" applyBorder="1" applyAlignment="1">
      <alignment horizontal="center"/>
    </xf>
    <xf numFmtId="0" fontId="5" fillId="7" borderId="3" xfId="0" applyFont="1" applyFill="1" applyBorder="1"/>
    <xf numFmtId="9" fontId="5" fillId="8" borderId="4" xfId="0" applyNumberFormat="1" applyFont="1" applyFill="1" applyBorder="1" applyAlignment="1">
      <alignment horizontal="right"/>
    </xf>
    <xf numFmtId="9" fontId="5" fillId="14" borderId="4" xfId="0" applyNumberFormat="1" applyFont="1" applyFill="1" applyBorder="1" applyAlignment="1">
      <alignment horizontal="right"/>
    </xf>
    <xf numFmtId="9" fontId="5" fillId="10" borderId="4" xfId="0" applyNumberFormat="1" applyFont="1" applyFill="1" applyBorder="1" applyAlignment="1">
      <alignment horizontal="right"/>
    </xf>
    <xf numFmtId="9" fontId="5" fillId="7" borderId="4" xfId="0" applyNumberFormat="1" applyFont="1" applyFill="1" applyBorder="1" applyAlignment="1">
      <alignment horizontal="right"/>
    </xf>
    <xf numFmtId="166" fontId="11" fillId="0" borderId="0" xfId="0" applyNumberFormat="1" applyFont="1"/>
    <xf numFmtId="165" fontId="11" fillId="0" borderId="0" xfId="0" applyNumberFormat="1" applyFont="1"/>
    <xf numFmtId="9" fontId="5" fillId="15" borderId="4" xfId="0" applyNumberFormat="1" applyFont="1" applyFill="1" applyBorder="1" applyAlignment="1">
      <alignment horizontal="right"/>
    </xf>
    <xf numFmtId="9" fontId="5" fillId="16" borderId="4" xfId="0" applyNumberFormat="1" applyFont="1" applyFill="1" applyBorder="1" applyAlignment="1">
      <alignment horizontal="right"/>
    </xf>
    <xf numFmtId="0" fontId="1" fillId="0" borderId="5" xfId="0" applyFont="1" applyBorder="1"/>
    <xf numFmtId="9" fontId="1" fillId="0" borderId="5" xfId="0" applyNumberFormat="1" applyFont="1" applyBorder="1"/>
    <xf numFmtId="9" fontId="11" fillId="0" borderId="5" xfId="0" applyNumberFormat="1" applyFont="1" applyBorder="1"/>
    <xf numFmtId="164" fontId="11" fillId="0" borderId="5" xfId="0" applyNumberFormat="1" applyFont="1" applyBorder="1"/>
    <xf numFmtId="166" fontId="6" fillId="8" borderId="4" xfId="0" applyNumberFormat="1" applyFont="1" applyFill="1" applyBorder="1" applyAlignment="1">
      <alignment horizontal="right"/>
    </xf>
    <xf numFmtId="166" fontId="6" fillId="17" borderId="4" xfId="0" applyNumberFormat="1" applyFont="1" applyFill="1" applyBorder="1" applyAlignment="1">
      <alignment horizontal="right"/>
    </xf>
    <xf numFmtId="166" fontId="6" fillId="10" borderId="4" xfId="0" applyNumberFormat="1" applyFont="1" applyFill="1" applyBorder="1" applyAlignment="1">
      <alignment horizontal="right"/>
    </xf>
    <xf numFmtId="166" fontId="6" fillId="16" borderId="4" xfId="0" applyNumberFormat="1" applyFont="1" applyFill="1" applyBorder="1" applyAlignment="1">
      <alignment horizontal="right"/>
    </xf>
    <xf numFmtId="166" fontId="6" fillId="0" borderId="4" xfId="0" applyNumberFormat="1" applyFont="1" applyBorder="1" applyAlignment="1">
      <alignment horizontal="right"/>
    </xf>
    <xf numFmtId="0" fontId="9" fillId="3" borderId="2" xfId="0" applyFont="1" applyFill="1" applyBorder="1"/>
    <xf numFmtId="0" fontId="9" fillId="3" borderId="4" xfId="0" applyFont="1" applyFill="1" applyBorder="1"/>
    <xf numFmtId="0" fontId="6" fillId="0" borderId="0" xfId="0" applyFont="1"/>
    <xf numFmtId="9" fontId="11" fillId="0" borderId="0" xfId="0" applyNumberFormat="1" applyFont="1"/>
    <xf numFmtId="164" fontId="11" fillId="0" borderId="0" xfId="0" applyNumberFormat="1" applyFont="1"/>
    <xf numFmtId="0" fontId="9" fillId="3" borderId="3" xfId="0" applyFont="1" applyFill="1" applyBorder="1"/>
    <xf numFmtId="0" fontId="5" fillId="7" borderId="4" xfId="0" applyFont="1" applyFill="1" applyBorder="1" applyAlignment="1">
      <alignment horizontal="right"/>
    </xf>
    <xf numFmtId="0" fontId="6" fillId="0" borderId="7" xfId="0" applyFont="1" applyBorder="1"/>
    <xf numFmtId="9" fontId="5" fillId="18" borderId="4" xfId="0" applyNumberFormat="1" applyFont="1" applyFill="1" applyBorder="1" applyAlignment="1">
      <alignment horizontal="right"/>
    </xf>
    <xf numFmtId="9" fontId="5" fillId="19" borderId="4" xfId="0" applyNumberFormat="1" applyFont="1" applyFill="1" applyBorder="1" applyAlignment="1">
      <alignment horizontal="right"/>
    </xf>
    <xf numFmtId="166" fontId="6" fillId="0" borderId="7" xfId="0" applyNumberFormat="1" applyFont="1" applyBorder="1"/>
    <xf numFmtId="1" fontId="11" fillId="0" borderId="0" xfId="0" applyNumberFormat="1" applyFont="1"/>
    <xf numFmtId="9" fontId="5" fillId="20" borderId="4" xfId="0" applyNumberFormat="1" applyFont="1" applyFill="1" applyBorder="1" applyAlignment="1">
      <alignment horizontal="right"/>
    </xf>
    <xf numFmtId="164" fontId="1" fillId="0" borderId="5" xfId="0" applyNumberFormat="1" applyFont="1" applyBorder="1"/>
    <xf numFmtId="9" fontId="5" fillId="21" borderId="4" xfId="0" applyNumberFormat="1" applyFont="1" applyFill="1" applyBorder="1" applyAlignment="1">
      <alignment horizontal="right"/>
    </xf>
    <xf numFmtId="9" fontId="5" fillId="22" borderId="4" xfId="0" applyNumberFormat="1" applyFont="1" applyFill="1" applyBorder="1" applyAlignment="1">
      <alignment horizontal="right"/>
    </xf>
    <xf numFmtId="1" fontId="5" fillId="7" borderId="4" xfId="0" applyNumberFormat="1" applyFont="1" applyFill="1" applyBorder="1" applyAlignment="1">
      <alignment horizontal="right"/>
    </xf>
    <xf numFmtId="166" fontId="5" fillId="7" borderId="4" xfId="0" applyNumberFormat="1" applyFont="1" applyFill="1" applyBorder="1" applyAlignment="1">
      <alignment horizontal="right"/>
    </xf>
    <xf numFmtId="166" fontId="5" fillId="23" borderId="4" xfId="0" applyNumberFormat="1" applyFont="1" applyFill="1" applyBorder="1" applyAlignment="1">
      <alignment horizontal="right"/>
    </xf>
    <xf numFmtId="166" fontId="5" fillId="24" borderId="4" xfId="0" applyNumberFormat="1" applyFont="1" applyFill="1" applyBorder="1" applyAlignment="1">
      <alignment horizontal="right"/>
    </xf>
    <xf numFmtId="0" fontId="1" fillId="0" borderId="8" xfId="0" applyFont="1" applyBorder="1"/>
    <xf numFmtId="0" fontId="8" fillId="5" borderId="0" xfId="0" applyFont="1" applyFill="1" applyAlignment="1">
      <alignment horizontal="left"/>
    </xf>
    <xf numFmtId="164" fontId="5" fillId="10" borderId="4" xfId="0" applyNumberFormat="1" applyFont="1" applyFill="1" applyBorder="1" applyAlignment="1">
      <alignment horizontal="right"/>
    </xf>
    <xf numFmtId="164" fontId="5" fillId="25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165" fontId="1" fillId="0" borderId="0" xfId="0" applyNumberFormat="1" applyFont="1"/>
    <xf numFmtId="1" fontId="0" fillId="7" borderId="0" xfId="0" applyNumberFormat="1" applyFill="1"/>
    <xf numFmtId="1" fontId="6" fillId="0" borderId="0" xfId="0" applyNumberFormat="1" applyFont="1"/>
    <xf numFmtId="9" fontId="6" fillId="0" borderId="0" xfId="0" applyNumberFormat="1" applyFont="1"/>
    <xf numFmtId="3" fontId="0" fillId="7" borderId="0" xfId="0" applyNumberFormat="1" applyFill="1"/>
    <xf numFmtId="3" fontId="12" fillId="7" borderId="0" xfId="0" applyNumberFormat="1" applyFont="1" applyFill="1"/>
    <xf numFmtId="1" fontId="1" fillId="7" borderId="0" xfId="0" applyNumberFormat="1" applyFont="1" applyFill="1"/>
    <xf numFmtId="165" fontId="1" fillId="7" borderId="0" xfId="0" applyNumberFormat="1" applyFont="1" applyFill="1"/>
    <xf numFmtId="0" fontId="6" fillId="0" borderId="6" xfId="0" applyFont="1" applyBorder="1"/>
    <xf numFmtId="9" fontId="9" fillId="3" borderId="4" xfId="0" applyNumberFormat="1" applyFont="1" applyFill="1" applyBorder="1"/>
    <xf numFmtId="9" fontId="6" fillId="10" borderId="4" xfId="0" applyNumberFormat="1" applyFont="1" applyFill="1" applyBorder="1" applyAlignment="1">
      <alignment horizontal="right"/>
    </xf>
    <xf numFmtId="9" fontId="5" fillId="26" borderId="4" xfId="0" applyNumberFormat="1" applyFont="1" applyFill="1" applyBorder="1" applyAlignment="1">
      <alignment horizontal="right"/>
    </xf>
    <xf numFmtId="3" fontId="13" fillId="7" borderId="0" xfId="0" applyNumberFormat="1" applyFont="1" applyFill="1"/>
    <xf numFmtId="9" fontId="5" fillId="27" borderId="4" xfId="0" applyNumberFormat="1" applyFont="1" applyFill="1" applyBorder="1" applyAlignment="1">
      <alignment horizontal="right"/>
    </xf>
    <xf numFmtId="9" fontId="5" fillId="28" borderId="4" xfId="0" applyNumberFormat="1" applyFont="1" applyFill="1" applyBorder="1" applyAlignment="1">
      <alignment horizontal="right"/>
    </xf>
    <xf numFmtId="3" fontId="1" fillId="7" borderId="0" xfId="0" applyNumberFormat="1" applyFont="1" applyFill="1"/>
    <xf numFmtId="9" fontId="5" fillId="29" borderId="4" xfId="0" applyNumberFormat="1" applyFont="1" applyFill="1" applyBorder="1" applyAlignment="1">
      <alignment horizontal="right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9" fontId="6" fillId="10" borderId="1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left"/>
    </xf>
    <xf numFmtId="0" fontId="0" fillId="7" borderId="5" xfId="0" applyFill="1" applyBorder="1"/>
    <xf numFmtId="0" fontId="1" fillId="7" borderId="5" xfId="0" applyFont="1" applyFill="1" applyBorder="1"/>
    <xf numFmtId="0" fontId="12" fillId="7" borderId="5" xfId="0" applyFont="1" applyFill="1" applyBorder="1"/>
    <xf numFmtId="2" fontId="0" fillId="0" borderId="5" xfId="0" applyNumberFormat="1" applyBorder="1"/>
    <xf numFmtId="2" fontId="0" fillId="0" borderId="0" xfId="0" applyNumberFormat="1"/>
    <xf numFmtId="0" fontId="8" fillId="30" borderId="1" xfId="0" applyFont="1" applyFill="1" applyBorder="1" applyAlignment="1">
      <alignment horizontal="left"/>
    </xf>
    <xf numFmtId="0" fontId="8" fillId="30" borderId="0" xfId="0" applyFont="1" applyFill="1" applyAlignment="1">
      <alignment horizontal="left"/>
    </xf>
    <xf numFmtId="0" fontId="1" fillId="0" borderId="3" xfId="0" applyFont="1" applyBorder="1"/>
    <xf numFmtId="9" fontId="1" fillId="0" borderId="3" xfId="0" applyNumberFormat="1" applyFont="1" applyBorder="1"/>
    <xf numFmtId="0" fontId="14" fillId="0" borderId="9" xfId="0" applyFont="1" applyBorder="1"/>
    <xf numFmtId="9" fontId="14" fillId="0" borderId="9" xfId="0" applyNumberFormat="1" applyFont="1" applyBorder="1"/>
  </cellXfs>
  <cellStyles count="1">
    <cellStyle name="Normal" xfId="0" builtinId="0"/>
  </cellStyles>
  <dxfs count="12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4" defaultTableStyle="TableStyleMedium2" defaultPivotStyle="PivotStyleLight16">
    <tableStyle name="Apollo-style" pivot="0" count="3" xr9:uid="{F926D725-60A0-4931-BD15-545495060B46}">
      <tableStyleElement type="headerRow" dxfId="11"/>
      <tableStyleElement type="firstRowStripe" dxfId="10"/>
      <tableStyleElement type="secondRowStripe" dxfId="9"/>
    </tableStyle>
    <tableStyle name="Apollo-style 2" pivot="0" count="3" xr9:uid="{97DC76F3-F6A1-4787-B3E9-8342024DF98F}">
      <tableStyleElement type="headerRow" dxfId="8"/>
      <tableStyleElement type="firstRowStripe" dxfId="7"/>
      <tableStyleElement type="secondRowStripe" dxfId="6"/>
    </tableStyle>
    <tableStyle name="Apollo-style 3" pivot="0" count="3" xr9:uid="{63A4A87C-1766-419F-AC3B-EAF5BE59392E}">
      <tableStyleElement type="headerRow" dxfId="5"/>
      <tableStyleElement type="firstRowStripe" dxfId="4"/>
      <tableStyleElement type="secondRowStripe" dxfId="3"/>
    </tableStyle>
    <tableStyle name="Apollo-style 4" pivot="0" count="3" xr9:uid="{8EC96732-DD3F-4009-BA3B-E1033F82AD9C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447675</xdr:colOff>
      <xdr:row>55</xdr:row>
      <xdr:rowOff>114300</xdr:rowOff>
    </xdr:from>
    <xdr:ext cx="5781675" cy="5781675"/>
    <xdr:pic>
      <xdr:nvPicPr>
        <xdr:cNvPr id="2" name="image10.png" title="Image">
          <a:extLst>
            <a:ext uri="{FF2B5EF4-FFF2-40B4-BE49-F238E27FC236}">
              <a16:creationId xmlns:a16="http://schemas.microsoft.com/office/drawing/2014/main" id="{8BB025F1-FCC5-4AD9-B0F5-21A390B2C61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5" y="10523220"/>
          <a:ext cx="5781675" cy="578167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0A10BE-5692-4A17-A080-F22811236AC3}" name="Table_2" displayName="Table_2" ref="I7:O14" headerRowCount="0">
  <tableColumns count="7">
    <tableColumn id="1" xr3:uid="{47BBE30A-AB53-4FB7-8F7B-0269F6844799}" name="Column1"/>
    <tableColumn id="2" xr3:uid="{5161F5D1-1ACD-4296-969B-8D6B25E413E0}" name="Column2"/>
    <tableColumn id="3" xr3:uid="{3CDACB1E-57E9-4F3F-985C-BEF98CFC6787}" name="Column3"/>
    <tableColumn id="4" xr3:uid="{101F23CC-0755-4128-821E-3D6EEE45A306}" name="Column4"/>
    <tableColumn id="5" xr3:uid="{A5AE1C32-2F09-47CB-983B-3B796280143B}" name="Column5"/>
    <tableColumn id="6" xr3:uid="{8638F3C0-72AB-41D9-BC3A-6FD2787849C8}" name="Column6"/>
    <tableColumn id="7" xr3:uid="{29477DF5-9AFD-4038-8D47-E4E9CB107949}" name="Column7"/>
  </tableColumns>
  <tableStyleInfo name="Apollo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386A69-AB6D-407C-8A07-687F8C0B30E0}" name="Table_3" displayName="Table_3" ref="C16:P16" headerRowCount="0">
  <tableColumns count="14">
    <tableColumn id="1" xr3:uid="{541D5D97-BA35-422D-B3D6-8C0DC85591B3}" name="Column1"/>
    <tableColumn id="2" xr3:uid="{DDD5DAF4-56A7-4C0A-8120-D46D893774B3}" name="Column2"/>
    <tableColumn id="3" xr3:uid="{D57B0AA1-A637-46D8-A522-C0612B671040}" name="Column3"/>
    <tableColumn id="4" xr3:uid="{9D731457-171B-4929-B26A-03CF69C9CC42}" name="Column4"/>
    <tableColumn id="5" xr3:uid="{9135A0A0-0D24-434A-A4BF-658A79F9E676}" name="Column5"/>
    <tableColumn id="6" xr3:uid="{0962EA99-05B2-45FD-A89B-267BE56B627A}" name="Column6"/>
    <tableColumn id="7" xr3:uid="{6DD8358F-F313-4000-9437-B232ED11BBCC}" name="Column7"/>
    <tableColumn id="8" xr3:uid="{91D1583E-05E2-45C3-8F51-9414C43A58CD}" name="Column8"/>
    <tableColumn id="9" xr3:uid="{EFC60154-1491-4498-A6E4-21CC23FB1CCB}" name="Column9"/>
    <tableColumn id="10" xr3:uid="{59DE32E7-986D-48B1-AE2C-9E4D69BA0DEE}" name="Column10"/>
    <tableColumn id="11" xr3:uid="{F1C050B8-961C-4DE2-BE09-A07AE6C99D53}" name="Column11"/>
    <tableColumn id="12" xr3:uid="{C4405CE6-3A4E-4A22-A17B-6A652FF1DF6B}" name="Column12"/>
    <tableColumn id="13" xr3:uid="{B800C380-CD3D-451D-9D90-9F84F777B14B}" name="Column13"/>
    <tableColumn id="14" xr3:uid="{34AAD641-D3A3-48AF-88C4-4A1F555E93E9}" name="Column14"/>
  </tableColumns>
  <tableStyleInfo name="Apollo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66C818-EBBC-414A-9241-3AAB0A80FAF9}" name="Table_4" displayName="Table_4" ref="B23:K45">
  <tableColumns count="10">
    <tableColumn id="1" xr3:uid="{3FE72E8A-7CD9-4FDB-A5B6-EA0CF41999EA}" name="(in Million)"/>
    <tableColumn id="2" xr3:uid="{0987B840-3F58-41DC-AACD-6FAD103F406E}" name="BED COUNT"/>
    <tableColumn id="3" xr3:uid="{8AD6C8D8-0824-43AC-B6DB-290EEC19543C}" name="Revenue"/>
    <tableColumn id="4" xr3:uid="{CB7071BD-3772-4858-81CB-D7123DF81E72}" name="Expenditure"/>
    <tableColumn id="5" xr3:uid="{DF4CE312-E4B4-4F94-BA16-A7DD88F3E61E}" name="Interest"/>
    <tableColumn id="6" xr3:uid="{6800A8D9-BE9A-4E8B-8010-A9786968BA06}" name="Net Profit"/>
    <tableColumn id="7" xr3:uid="{5596DDCA-7996-4972-A77B-971B971D3160}" name="Equity"/>
    <tableColumn id="8" xr3:uid="{37A769DE-91A4-463F-A453-BC12656EC324}" name="Reserves"/>
    <tableColumn id="9" xr3:uid="{AE765871-F9A6-471A-967B-E893448F57CC}" name="EPS"/>
    <tableColumn id="10" xr3:uid="{12DE0835-3915-44DB-83D9-634DF7D9BB5D}" name="NPM %"/>
  </tableColumns>
  <tableStyleInfo name="Apollo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524AD07-4180-44E4-8891-57C46CFE7525}" name="Table_5" displayName="Table_5" ref="L23:O44">
  <tableColumns count="4">
    <tableColumn id="1" xr3:uid="{AB5D003F-625C-407C-B150-57933C8B0997}" name="HIGH PRICE "/>
    <tableColumn id="2" xr3:uid="{7989C018-A6F8-489C-B5F1-520ECB4732ED}" name="LOW PRICE"/>
    <tableColumn id="3" xr3:uid="{5FBCD55B-809D-4E0F-A49B-8EDD50AF390B}" name="HIGH PE">
      <calculatedColumnFormula>Apollo!$L24/Apollo!$J24</calculatedColumnFormula>
    </tableColumn>
    <tableColumn id="4" xr3:uid="{275E8D52-8DEC-400F-9DA1-6F3C93EBE2E9}" name="LOW PE">
      <calculatedColumnFormula>Apollo!$M24/Apollo!$J24</calculatedColumnFormula>
    </tableColumn>
  </tableColumns>
  <tableStyleInfo name="Apollo-style 4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06B91-B3AF-4BD4-94CC-6E31CD3D2327}">
  <dimension ref="A1:Z1007"/>
  <sheetViews>
    <sheetView showGridLines="0" tabSelected="1" workbookViewId="0"/>
  </sheetViews>
  <sheetFormatPr defaultColWidth="14.44140625" defaultRowHeight="15" customHeight="1" x14ac:dyDescent="0.3"/>
  <cols>
    <col min="1" max="1" width="10.33203125" customWidth="1"/>
    <col min="2" max="3" width="13.33203125" customWidth="1"/>
    <col min="4" max="4" width="15.33203125" customWidth="1"/>
    <col min="5" max="5" width="14.5546875" customWidth="1"/>
    <col min="6" max="6" width="14" customWidth="1"/>
    <col min="7" max="16" width="15.33203125" customWidth="1"/>
    <col min="17" max="17" width="10.33203125" customWidth="1"/>
    <col min="18" max="18" width="12.5546875" customWidth="1"/>
    <col min="19" max="19" width="11.6640625" customWidth="1"/>
    <col min="20" max="20" width="11.5546875" customWidth="1"/>
    <col min="21" max="23" width="8.6640625" customWidth="1"/>
    <col min="24" max="24" width="11.88671875" customWidth="1"/>
    <col min="25" max="25" width="10.44140625" customWidth="1"/>
    <col min="26" max="27" width="8.6640625" customWidth="1"/>
  </cols>
  <sheetData>
    <row r="1" spans="2:26" ht="14.4" x14ac:dyDescent="0.3">
      <c r="B1" s="1" t="s">
        <v>0</v>
      </c>
      <c r="C1" s="1"/>
      <c r="G1" s="2"/>
    </row>
    <row r="2" spans="2:26" ht="14.4" x14ac:dyDescent="0.3"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</row>
    <row r="3" spans="2:26" ht="14.4" x14ac:dyDescent="0.3">
      <c r="B3" s="5" t="s">
        <v>17</v>
      </c>
      <c r="C3" s="6">
        <f ca="1">IFERROR(__xludf.DUMMYFUNCTION("GOOGLEFINANCE(""NSE:""&amp;B3,""PRICE"")"),6505.1)</f>
        <v>6505.1</v>
      </c>
      <c r="D3" s="6">
        <f ca="1">IFERROR(__xludf.DUMMYFUNCTION("GOOGLEFINANCE(""NSE:""&amp;B3,""MARKETCAP"")/10000000"),93618.4656)</f>
        <v>93618.465599999996</v>
      </c>
      <c r="E3" s="7">
        <v>166125</v>
      </c>
      <c r="F3" s="7">
        <v>8310</v>
      </c>
      <c r="G3" s="8">
        <v>56.97</v>
      </c>
      <c r="H3" s="9">
        <v>719</v>
      </c>
      <c r="I3" s="9">
        <f>61255+719</f>
        <v>61974</v>
      </c>
      <c r="J3" s="10">
        <v>27103</v>
      </c>
      <c r="K3" s="7">
        <v>16221</v>
      </c>
      <c r="L3" s="7">
        <v>5</v>
      </c>
      <c r="M3" s="7">
        <v>43370</v>
      </c>
      <c r="N3" s="11">
        <v>33249</v>
      </c>
      <c r="O3" s="11">
        <v>144278</v>
      </c>
      <c r="P3" s="11">
        <v>78965</v>
      </c>
      <c r="Q3" s="11">
        <v>22342</v>
      </c>
      <c r="W3" s="12"/>
      <c r="X3" s="12"/>
    </row>
    <row r="4" spans="2:26" ht="14.4" x14ac:dyDescent="0.3">
      <c r="B4" s="5" t="s">
        <v>18</v>
      </c>
      <c r="C4" s="9">
        <v>4310</v>
      </c>
      <c r="D4" s="10">
        <f ca="1">C4*D3/C3</f>
        <v>62027.576322577668</v>
      </c>
      <c r="E4" s="9">
        <v>146626</v>
      </c>
      <c r="F4" s="13">
        <v>11084</v>
      </c>
      <c r="G4" s="9">
        <v>73.42</v>
      </c>
      <c r="H4" s="9">
        <v>719</v>
      </c>
      <c r="I4" s="9">
        <f>719+55514</f>
        <v>56233</v>
      </c>
      <c r="J4" s="9">
        <v>26357</v>
      </c>
      <c r="K4" s="9">
        <v>14324</v>
      </c>
      <c r="L4" s="9">
        <v>5</v>
      </c>
      <c r="M4" s="9">
        <v>40606</v>
      </c>
      <c r="N4" s="9">
        <v>24343</v>
      </c>
      <c r="O4" s="9">
        <v>132693</v>
      </c>
      <c r="P4" s="9">
        <v>73663</v>
      </c>
      <c r="Q4" s="9">
        <v>17647</v>
      </c>
      <c r="W4" s="12"/>
      <c r="X4" s="12"/>
      <c r="Y4" s="14"/>
    </row>
    <row r="5" spans="2:26" ht="14.4" x14ac:dyDescent="0.3">
      <c r="B5" s="5" t="s">
        <v>19</v>
      </c>
      <c r="C5" s="15">
        <f t="shared" ref="C5:Q5" ca="1" si="0">(C3/C4)-1</f>
        <v>0.50930394431554538</v>
      </c>
      <c r="D5" s="15">
        <f t="shared" ca="1" si="0"/>
        <v>0.50930394431554515</v>
      </c>
      <c r="E5" s="15">
        <f t="shared" si="0"/>
        <v>0.13298460027553105</v>
      </c>
      <c r="F5" s="15">
        <f t="shared" si="0"/>
        <v>-0.25027066041140378</v>
      </c>
      <c r="G5" s="15">
        <f t="shared" si="0"/>
        <v>-0.22405339144647241</v>
      </c>
      <c r="H5" s="15">
        <f t="shared" si="0"/>
        <v>0</v>
      </c>
      <c r="I5" s="15">
        <f t="shared" si="0"/>
        <v>0.10209307701883241</v>
      </c>
      <c r="J5" s="15">
        <f t="shared" si="0"/>
        <v>2.8303676442690717E-2</v>
      </c>
      <c r="K5" s="15">
        <f t="shared" si="0"/>
        <v>0.13243507400167553</v>
      </c>
      <c r="L5" s="15">
        <f t="shared" si="0"/>
        <v>0</v>
      </c>
      <c r="M5" s="15">
        <f t="shared" si="0"/>
        <v>6.8068758311579547E-2</v>
      </c>
      <c r="N5" s="15">
        <f t="shared" si="0"/>
        <v>0.36585466047734472</v>
      </c>
      <c r="O5" s="15">
        <f t="shared" si="0"/>
        <v>8.7306790863120209E-2</v>
      </c>
      <c r="P5" s="15">
        <f t="shared" si="0"/>
        <v>7.1976433216133007E-2</v>
      </c>
      <c r="Q5" s="16">
        <f t="shared" si="0"/>
        <v>0.26605088683628941</v>
      </c>
      <c r="W5" s="12"/>
      <c r="X5" s="12"/>
      <c r="Y5" s="14"/>
    </row>
    <row r="6" spans="2:26" ht="14.4" x14ac:dyDescent="0.3">
      <c r="W6" s="12"/>
      <c r="X6" s="12"/>
      <c r="Y6" s="14"/>
    </row>
    <row r="7" spans="2:26" ht="14.4" x14ac:dyDescent="0.3">
      <c r="B7" s="17" t="s">
        <v>20</v>
      </c>
      <c r="C7" s="17" t="s">
        <v>21</v>
      </c>
      <c r="D7" s="17" t="s">
        <v>22</v>
      </c>
      <c r="E7" s="17" t="s">
        <v>23</v>
      </c>
      <c r="F7" s="17" t="s">
        <v>24</v>
      </c>
      <c r="G7" s="17" t="s">
        <v>25</v>
      </c>
      <c r="I7" s="17" t="s">
        <v>26</v>
      </c>
      <c r="J7" s="17" t="s">
        <v>27</v>
      </c>
      <c r="K7" s="17" t="s">
        <v>28</v>
      </c>
      <c r="L7" s="17" t="s">
        <v>29</v>
      </c>
      <c r="M7" s="17" t="s">
        <v>30</v>
      </c>
      <c r="N7" s="17" t="s">
        <v>6</v>
      </c>
      <c r="W7" s="12"/>
      <c r="X7" s="12"/>
      <c r="Y7" s="14"/>
    </row>
    <row r="8" spans="2:26" ht="14.4" x14ac:dyDescent="0.3">
      <c r="B8" s="18" t="s">
        <v>31</v>
      </c>
      <c r="C8" s="19">
        <f>FV(C13,5,0,-C9)</f>
        <v>12307.832031591211</v>
      </c>
      <c r="D8" s="19">
        <f t="shared" ref="D8:F8" si="1">FV(12%,5,0,-D9)</f>
        <v>854996.50757729716</v>
      </c>
      <c r="E8" s="19">
        <f t="shared" si="1"/>
        <v>45527.229533455044</v>
      </c>
      <c r="F8" s="19">
        <f t="shared" si="1"/>
        <v>311.12582122038225</v>
      </c>
      <c r="G8" s="20">
        <f t="shared" ref="G8:G10" si="2">F8*50</f>
        <v>15556.291061019112</v>
      </c>
      <c r="I8" s="21" t="s">
        <v>32</v>
      </c>
      <c r="J8" s="22">
        <v>10.050000000000001</v>
      </c>
      <c r="K8" s="23">
        <v>11.59</v>
      </c>
      <c r="L8" s="24">
        <v>16.2</v>
      </c>
      <c r="M8" s="25">
        <v>17.059999999999999</v>
      </c>
      <c r="N8" s="26">
        <f>SUM(J8:M8)</f>
        <v>54.900000000000006</v>
      </c>
      <c r="O8" s="27"/>
      <c r="P8" s="28" t="s">
        <v>33</v>
      </c>
      <c r="Q8" s="29" t="s">
        <v>34</v>
      </c>
      <c r="R8" s="29" t="s">
        <v>35</v>
      </c>
      <c r="S8" s="29" t="s">
        <v>36</v>
      </c>
      <c r="W8" s="30"/>
      <c r="X8" s="30"/>
      <c r="Y8" s="14"/>
    </row>
    <row r="9" spans="2:26" ht="14.4" x14ac:dyDescent="0.3">
      <c r="B9" s="18" t="s">
        <v>37</v>
      </c>
      <c r="C9" s="19">
        <f t="shared" ref="C9:D9" si="3">FV(C13,6,0,-C10)</f>
        <v>11278.424394945398</v>
      </c>
      <c r="D9" s="19">
        <f t="shared" si="3"/>
        <v>485147.97994496924</v>
      </c>
      <c r="E9" s="19">
        <f t="shared" ref="E9:E10" si="4">D9*G13%</f>
        <v>25833.372703747344</v>
      </c>
      <c r="F9" s="20">
        <f>(E9*F10)/E10</f>
        <v>176.54114646794855</v>
      </c>
      <c r="G9" s="20">
        <f t="shared" si="2"/>
        <v>8827.0573233974283</v>
      </c>
      <c r="I9" s="31"/>
      <c r="J9" s="31"/>
      <c r="K9" s="31"/>
      <c r="L9" s="31"/>
      <c r="M9" s="31"/>
      <c r="N9" s="32"/>
      <c r="O9" s="27"/>
      <c r="P9" s="33">
        <v>56.97</v>
      </c>
      <c r="Q9" s="34">
        <v>54.9</v>
      </c>
      <c r="R9" s="35">
        <v>63</v>
      </c>
      <c r="S9" s="36">
        <f ca="1">R11/10</f>
        <v>10.325555555555557</v>
      </c>
      <c r="W9" s="37"/>
      <c r="X9" s="37"/>
      <c r="Y9" s="37"/>
    </row>
    <row r="10" spans="2:26" thickBot="1" x14ac:dyDescent="0.35">
      <c r="B10" s="38" t="s">
        <v>38</v>
      </c>
      <c r="C10" s="39">
        <f t="shared" ref="C10:D10" si="5">FV(C14,1,0,-C24,0)</f>
        <v>10156.14</v>
      </c>
      <c r="D10" s="39">
        <f t="shared" si="5"/>
        <v>191043.74999999997</v>
      </c>
      <c r="E10" s="39">
        <f t="shared" si="4"/>
        <v>9170.0999999999985</v>
      </c>
      <c r="F10" s="39">
        <f>FV(F14,1,0,-J24,0)</f>
        <v>62.667000000000002</v>
      </c>
      <c r="G10" s="40">
        <f t="shared" si="2"/>
        <v>3133.35</v>
      </c>
      <c r="I10" s="41"/>
      <c r="J10" s="41"/>
      <c r="K10" s="41"/>
      <c r="L10" s="41"/>
      <c r="M10" s="41"/>
      <c r="N10" s="41"/>
      <c r="O10" s="14"/>
      <c r="P10" s="42" t="s">
        <v>39</v>
      </c>
      <c r="Q10" s="43" t="s">
        <v>40</v>
      </c>
      <c r="R10" s="43" t="s">
        <v>41</v>
      </c>
      <c r="S10" s="44"/>
      <c r="W10" s="30"/>
      <c r="X10" s="30"/>
      <c r="Y10" s="27"/>
    </row>
    <row r="11" spans="2:26" thickTop="1" x14ac:dyDescent="0.3">
      <c r="I11" s="17" t="s">
        <v>42</v>
      </c>
      <c r="J11" s="17" t="s">
        <v>43</v>
      </c>
      <c r="K11" s="17" t="s">
        <v>44</v>
      </c>
      <c r="L11" s="17" t="s">
        <v>45</v>
      </c>
      <c r="M11" s="17" t="s">
        <v>46</v>
      </c>
      <c r="N11" s="17" t="s">
        <v>47</v>
      </c>
      <c r="P11" s="45">
        <f>C4/P9</f>
        <v>75.653852905037738</v>
      </c>
      <c r="Q11" s="46">
        <f ca="1">C3/Q9</f>
        <v>118.48998178506376</v>
      </c>
      <c r="R11" s="47">
        <f ca="1">C3/R9</f>
        <v>103.25555555555556</v>
      </c>
      <c r="S11" s="44"/>
    </row>
    <row r="12" spans="2:26" ht="14.4" x14ac:dyDescent="0.3">
      <c r="B12" s="17" t="s">
        <v>48</v>
      </c>
      <c r="C12" s="17" t="s">
        <v>21</v>
      </c>
      <c r="D12" s="17" t="s">
        <v>22</v>
      </c>
      <c r="E12" s="17" t="s">
        <v>5</v>
      </c>
      <c r="F12" s="17" t="s">
        <v>24</v>
      </c>
      <c r="G12" s="17" t="s">
        <v>49</v>
      </c>
      <c r="I12" s="48" t="s">
        <v>50</v>
      </c>
      <c r="J12" s="49">
        <v>0.13</v>
      </c>
      <c r="K12" s="50">
        <v>0.16</v>
      </c>
      <c r="L12" s="51">
        <v>0.15</v>
      </c>
      <c r="M12" s="51">
        <v>0.15</v>
      </c>
      <c r="N12" s="52">
        <v>0.15</v>
      </c>
    </row>
    <row r="13" spans="2:26" ht="14.4" x14ac:dyDescent="0.3">
      <c r="B13" s="12" t="s">
        <v>51</v>
      </c>
      <c r="C13" s="14">
        <f t="shared" ref="C13:D13" si="6">AVERAGE(C17:C20)</f>
        <v>1.7622323792278849E-2</v>
      </c>
      <c r="D13" s="14">
        <f t="shared" si="6"/>
        <v>0.16803780329066254</v>
      </c>
      <c r="E13" s="14">
        <v>0.17</v>
      </c>
      <c r="F13" s="53">
        <v>0.17</v>
      </c>
      <c r="G13" s="54">
        <f>AVERAGE(K17:K20)</f>
        <v>5.3248439180716876</v>
      </c>
      <c r="I13" s="21" t="s">
        <v>52</v>
      </c>
      <c r="J13" s="49">
        <v>-0.25</v>
      </c>
      <c r="K13" s="55">
        <v>-0.46</v>
      </c>
      <c r="L13" s="56">
        <v>-0.21</v>
      </c>
      <c r="M13" s="51">
        <v>-0.03</v>
      </c>
      <c r="N13" s="52">
        <v>0.1</v>
      </c>
      <c r="O13" s="27"/>
    </row>
    <row r="14" spans="2:26" thickBot="1" x14ac:dyDescent="0.35">
      <c r="B14" s="57" t="s">
        <v>53</v>
      </c>
      <c r="C14" s="58">
        <v>0.02</v>
      </c>
      <c r="D14" s="59">
        <v>0.15</v>
      </c>
      <c r="E14" s="59">
        <f>(E10/G24)-1</f>
        <v>0.10350180505415141</v>
      </c>
      <c r="F14" s="59">
        <v>0.1</v>
      </c>
      <c r="G14" s="60">
        <v>4.8</v>
      </c>
      <c r="I14" s="21" t="s">
        <v>54</v>
      </c>
      <c r="J14" s="61">
        <v>0.05</v>
      </c>
      <c r="K14" s="62">
        <v>3.9E-2</v>
      </c>
      <c r="L14" s="63">
        <v>4.5999999999999999E-2</v>
      </c>
      <c r="M14" s="64">
        <v>4.8000000000000001E-2</v>
      </c>
      <c r="N14" s="65">
        <v>4.8000000000000001E-2</v>
      </c>
      <c r="O14" s="27"/>
      <c r="P14" s="14"/>
      <c r="Q14" s="14"/>
      <c r="R14" s="14"/>
      <c r="S14" s="14"/>
      <c r="T14" s="14"/>
    </row>
    <row r="16" spans="2:26" ht="14.4" x14ac:dyDescent="0.3">
      <c r="B16" s="17" t="s">
        <v>55</v>
      </c>
      <c r="C16" s="17" t="s">
        <v>21</v>
      </c>
      <c r="D16" s="17" t="s">
        <v>22</v>
      </c>
      <c r="E16" s="17" t="s">
        <v>56</v>
      </c>
      <c r="F16" s="17" t="s">
        <v>57</v>
      </c>
      <c r="G16" s="17" t="s">
        <v>23</v>
      </c>
      <c r="H16" s="17" t="s">
        <v>58</v>
      </c>
      <c r="I16" s="17" t="s">
        <v>59</v>
      </c>
      <c r="J16" s="17" t="s">
        <v>24</v>
      </c>
      <c r="K16" s="17" t="s">
        <v>60</v>
      </c>
      <c r="L16" s="17" t="s">
        <v>61</v>
      </c>
      <c r="M16" s="17" t="s">
        <v>62</v>
      </c>
      <c r="N16" s="17" t="s">
        <v>63</v>
      </c>
      <c r="O16" s="17" t="s">
        <v>64</v>
      </c>
      <c r="P16" s="17" t="s">
        <v>65</v>
      </c>
      <c r="R16" s="66" t="s">
        <v>66</v>
      </c>
      <c r="S16" s="67" t="s">
        <v>46</v>
      </c>
      <c r="T16" s="67" t="s">
        <v>67</v>
      </c>
      <c r="U16" s="67" t="s">
        <v>55</v>
      </c>
      <c r="V16" s="68"/>
      <c r="W16" s="66" t="s">
        <v>66</v>
      </c>
      <c r="X16" s="67" t="s">
        <v>45</v>
      </c>
      <c r="Y16" s="67" t="s">
        <v>45</v>
      </c>
      <c r="Z16" s="67" t="s">
        <v>55</v>
      </c>
    </row>
    <row r="17" spans="1:26" ht="14.4" x14ac:dyDescent="0.3">
      <c r="B17" s="12" t="s">
        <v>68</v>
      </c>
      <c r="C17" s="69">
        <f t="shared" ref="C17:I17" si="7">(C24/C42)^(1/20)-1</f>
        <v>4.6654694712958023E-2</v>
      </c>
      <c r="D17" s="69">
        <f t="shared" si="7"/>
        <v>0.18181416413319051</v>
      </c>
      <c r="E17" s="69">
        <f t="shared" si="7"/>
        <v>0.1892342547277992</v>
      </c>
      <c r="F17" s="69">
        <f t="shared" si="7"/>
        <v>0.17321772872510466</v>
      </c>
      <c r="G17" s="69">
        <f t="shared" si="7"/>
        <v>0.15181252298757508</v>
      </c>
      <c r="H17" s="69">
        <f t="shared" si="7"/>
        <v>2.7736493477530155E-2</v>
      </c>
      <c r="I17" s="69">
        <f t="shared" si="7"/>
        <v>0.16553037377672841</v>
      </c>
      <c r="J17" s="69">
        <f>((2*J24)/J42)^(1/20)-1</f>
        <v>0.11855844172286334</v>
      </c>
      <c r="K17" s="70">
        <f>MEDIAN(K24:K44)</f>
        <v>7.5593687340580793</v>
      </c>
      <c r="L17" s="69">
        <f t="shared" ref="L17:M17" si="8">((2*L24)/L42)^(1/20)-1</f>
        <v>0.15528783516380229</v>
      </c>
      <c r="M17" s="69">
        <f t="shared" si="8"/>
        <v>0.18239219208754021</v>
      </c>
      <c r="N17" s="70">
        <f t="shared" ref="N17:O17" si="9">MEDIAN(N24:N44)</f>
        <v>52.282288599074462</v>
      </c>
      <c r="O17" s="70">
        <f t="shared" si="9"/>
        <v>32.018348623853207</v>
      </c>
      <c r="P17" s="27">
        <f t="shared" ref="P17:P19" si="10">AVERAGE(N17:O17)</f>
        <v>42.150318611463831</v>
      </c>
      <c r="R17" s="71" t="s">
        <v>22</v>
      </c>
      <c r="S17" s="72">
        <v>141153</v>
      </c>
      <c r="T17" s="72">
        <v>123103</v>
      </c>
      <c r="U17" s="52">
        <f t="shared" ref="U17:U21" si="11">(S17/T17)^(1/1)-1</f>
        <v>0.14662518378918477</v>
      </c>
      <c r="V17" s="73"/>
      <c r="W17" s="67" t="s">
        <v>22</v>
      </c>
      <c r="X17" s="72">
        <v>92647</v>
      </c>
      <c r="Y17" s="72">
        <v>80467</v>
      </c>
      <c r="Z17" s="74">
        <f t="shared" ref="Z17:Z21" si="12">(X17/Y17)^(1/1)-1</f>
        <v>0.15136639864789303</v>
      </c>
    </row>
    <row r="18" spans="1:26" ht="14.4" x14ac:dyDescent="0.3">
      <c r="B18" s="12" t="s">
        <v>69</v>
      </c>
      <c r="C18" s="69">
        <f t="shared" ref="C18:J18" si="13">(C24/C34)^(1/10)-1</f>
        <v>1.6907947613227448E-2</v>
      </c>
      <c r="D18" s="69">
        <f t="shared" si="13"/>
        <v>0.17478558787579268</v>
      </c>
      <c r="E18" s="69">
        <f t="shared" si="13"/>
        <v>0.18861451548311958</v>
      </c>
      <c r="F18" s="69">
        <f t="shared" si="13"/>
        <v>0.18020673741396753</v>
      </c>
      <c r="G18" s="69">
        <f t="shared" si="13"/>
        <v>0.1039448858629175</v>
      </c>
      <c r="H18" s="69">
        <f t="shared" si="13"/>
        <v>3.3141371731584268E-3</v>
      </c>
      <c r="I18" s="69">
        <f t="shared" si="13"/>
        <v>8.7071641905844599E-2</v>
      </c>
      <c r="J18" s="69">
        <f t="shared" si="13"/>
        <v>9.8728061379802945E-2</v>
      </c>
      <c r="K18" s="70">
        <f>MEDIAN(K24:K34)</f>
        <v>5.0022573363431153</v>
      </c>
      <c r="L18" s="69">
        <f t="shared" ref="L18:M18" si="14">(L24/L34)^(1/10)-1</f>
        <v>0.16155952760695325</v>
      </c>
      <c r="M18" s="69">
        <f t="shared" si="14"/>
        <v>0.15920875622606334</v>
      </c>
      <c r="N18" s="70">
        <f t="shared" ref="N18:O18" si="15">MEDIAN(N24:N34)</f>
        <v>66.182926829268297</v>
      </c>
      <c r="O18" s="70">
        <f t="shared" si="15"/>
        <v>43.356081894821358</v>
      </c>
      <c r="P18" s="27">
        <f t="shared" si="10"/>
        <v>54.769504362044827</v>
      </c>
      <c r="R18" s="71" t="s">
        <v>70</v>
      </c>
      <c r="S18" s="72">
        <v>131925</v>
      </c>
      <c r="T18" s="72">
        <v>114903</v>
      </c>
      <c r="U18" s="75">
        <f t="shared" si="11"/>
        <v>0.14814234615284194</v>
      </c>
      <c r="V18" s="76"/>
      <c r="W18" s="67" t="s">
        <v>70</v>
      </c>
      <c r="X18" s="72">
        <v>86760</v>
      </c>
      <c r="Y18" s="72">
        <v>74788</v>
      </c>
      <c r="Z18" s="75">
        <f t="shared" si="12"/>
        <v>0.16007915708402409</v>
      </c>
    </row>
    <row r="19" spans="1:26" ht="14.4" x14ac:dyDescent="0.3">
      <c r="B19" s="12" t="s">
        <v>71</v>
      </c>
      <c r="C19" s="69">
        <f t="shared" ref="C19:J19" si="16">(C24/C29)^(1/5)-1</f>
        <v>2.2853452049518275E-3</v>
      </c>
      <c r="D19" s="69">
        <f t="shared" si="16"/>
        <v>0.18256686087813589</v>
      </c>
      <c r="E19" s="69">
        <f t="shared" si="16"/>
        <v>0.18733723495125365</v>
      </c>
      <c r="F19" s="69">
        <f t="shared" si="16"/>
        <v>9.6568172097048821E-2</v>
      </c>
      <c r="G19" s="69">
        <f t="shared" si="16"/>
        <v>0.28936089848244384</v>
      </c>
      <c r="H19" s="69">
        <f t="shared" si="16"/>
        <v>6.639257851519309E-3</v>
      </c>
      <c r="I19" s="69">
        <f t="shared" si="16"/>
        <v>0.10647266209103767</v>
      </c>
      <c r="J19" s="69">
        <f t="shared" si="16"/>
        <v>0.27724567582495396</v>
      </c>
      <c r="K19" s="54">
        <f>MEDIAN(K24:K29)</f>
        <v>3.7354922655424376</v>
      </c>
      <c r="L19" s="69">
        <f t="shared" ref="L19:M19" si="17">(L24/L29)^(1/5)-1</f>
        <v>0.29862199979910087</v>
      </c>
      <c r="M19" s="69">
        <f t="shared" si="17"/>
        <v>0.2983162509448618</v>
      </c>
      <c r="N19" s="77">
        <f t="shared" ref="N19:O19" si="18">MEDIAN(N24:N29)</f>
        <v>83.432009143103272</v>
      </c>
      <c r="O19" s="77">
        <f t="shared" si="18"/>
        <v>56.678768983214795</v>
      </c>
      <c r="P19" s="30">
        <f t="shared" si="10"/>
        <v>70.055389063159026</v>
      </c>
      <c r="R19" s="71" t="s">
        <v>72</v>
      </c>
      <c r="S19" s="72">
        <v>3301</v>
      </c>
      <c r="T19" s="72">
        <v>2854</v>
      </c>
      <c r="U19" s="49">
        <f t="shared" si="11"/>
        <v>0.15662228451296434</v>
      </c>
      <c r="V19" s="73"/>
      <c r="W19" s="67" t="s">
        <v>72</v>
      </c>
      <c r="X19" s="72">
        <v>2175</v>
      </c>
      <c r="Y19" s="72">
        <v>1854</v>
      </c>
      <c r="Z19" s="78">
        <f t="shared" si="12"/>
        <v>0.17313915857605178</v>
      </c>
    </row>
    <row r="20" spans="1:26" thickBot="1" x14ac:dyDescent="0.35">
      <c r="B20" s="57" t="s">
        <v>73</v>
      </c>
      <c r="C20" s="59">
        <f t="shared" ref="C20:J20" si="19">(C24/C25)-1</f>
        <v>4.6413076379780982E-3</v>
      </c>
      <c r="D20" s="59">
        <f t="shared" si="19"/>
        <v>0.13298460027553105</v>
      </c>
      <c r="E20" s="59">
        <f t="shared" si="19"/>
        <v>0.15622584864157907</v>
      </c>
      <c r="F20" s="59">
        <f t="shared" si="19"/>
        <v>5.8108821975699776E-3</v>
      </c>
      <c r="G20" s="59">
        <f t="shared" si="19"/>
        <v>-0.25027066041140378</v>
      </c>
      <c r="H20" s="59">
        <f t="shared" si="19"/>
        <v>0</v>
      </c>
      <c r="I20" s="59">
        <f t="shared" si="19"/>
        <v>0.10341535468530472</v>
      </c>
      <c r="J20" s="59">
        <f t="shared" si="19"/>
        <v>-0.22405339144647241</v>
      </c>
      <c r="K20" s="60">
        <f>K24</f>
        <v>5.0022573363431153</v>
      </c>
      <c r="L20" s="59">
        <f t="shared" ref="L20:M20" si="20">(L24/L25)-1</f>
        <v>-0.17422072451558546</v>
      </c>
      <c r="M20" s="59">
        <f t="shared" si="20"/>
        <v>0.18220189940204001</v>
      </c>
      <c r="N20" s="60">
        <f t="shared" ref="N20:O20" si="21">N24</f>
        <v>86.027733895032469</v>
      </c>
      <c r="O20" s="60">
        <f t="shared" si="21"/>
        <v>58.995962787431985</v>
      </c>
      <c r="P20" s="79">
        <f>AVERAGE(P17:P19)</f>
        <v>55.658404012222569</v>
      </c>
      <c r="R20" s="71" t="s">
        <v>52</v>
      </c>
      <c r="S20" s="72">
        <v>6766</v>
      </c>
      <c r="T20" s="72">
        <v>6990</v>
      </c>
      <c r="U20" s="80">
        <f t="shared" si="11"/>
        <v>-3.2045779685264675E-2</v>
      </c>
      <c r="V20" s="73"/>
      <c r="W20" s="67" t="s">
        <v>52</v>
      </c>
      <c r="X20" s="72">
        <v>4222</v>
      </c>
      <c r="Y20" s="72">
        <v>5366</v>
      </c>
      <c r="Z20" s="81">
        <f t="shared" si="12"/>
        <v>-0.21319418561311965</v>
      </c>
    </row>
    <row r="21" spans="1:26" thickTop="1" x14ac:dyDescent="0.3">
      <c r="B21" s="12"/>
      <c r="R21" s="71" t="s">
        <v>24</v>
      </c>
      <c r="S21" s="82">
        <v>44.84</v>
      </c>
      <c r="T21" s="82">
        <v>46.91</v>
      </c>
      <c r="U21" s="80">
        <f t="shared" si="11"/>
        <v>-4.4127051801321593E-2</v>
      </c>
      <c r="V21" s="76"/>
      <c r="W21" s="67" t="s">
        <v>24</v>
      </c>
      <c r="X21" s="82">
        <v>27.78</v>
      </c>
      <c r="Y21" s="82">
        <v>36.24</v>
      </c>
      <c r="Z21" s="81">
        <f t="shared" si="12"/>
        <v>-0.23344370860927155</v>
      </c>
    </row>
    <row r="22" spans="1:26" ht="14.4" x14ac:dyDescent="0.3">
      <c r="B22" s="12" t="s">
        <v>74</v>
      </c>
      <c r="R22" s="71" t="s">
        <v>54</v>
      </c>
      <c r="S22" s="83">
        <f t="shared" ref="S22:T22" si="22">S20/S17</f>
        <v>4.7933802327970357E-2</v>
      </c>
      <c r="T22" s="83">
        <f t="shared" si="22"/>
        <v>5.6781719373207799E-2</v>
      </c>
      <c r="U22" s="84">
        <f t="shared" ref="U22:U23" si="23">S22-T22</f>
        <v>-8.8479170452374425E-3</v>
      </c>
      <c r="V22" s="73"/>
      <c r="W22" s="67" t="s">
        <v>54</v>
      </c>
      <c r="X22" s="83">
        <f t="shared" ref="X22:Y22" si="24">X20/X17</f>
        <v>4.5570822584649263E-2</v>
      </c>
      <c r="Y22" s="83">
        <f t="shared" si="24"/>
        <v>6.6685722097257261E-2</v>
      </c>
      <c r="Z22" s="85">
        <f t="shared" ref="Z22:Z23" si="25">X22-Y22</f>
        <v>-2.1114899512607997E-2</v>
      </c>
    </row>
    <row r="23" spans="1:26" ht="18.75" customHeight="1" x14ac:dyDescent="0.3">
      <c r="A23" s="86"/>
      <c r="B23" s="87" t="s">
        <v>75</v>
      </c>
      <c r="C23" s="17" t="s">
        <v>21</v>
      </c>
      <c r="D23" s="17" t="s">
        <v>22</v>
      </c>
      <c r="E23" s="17" t="s">
        <v>56</v>
      </c>
      <c r="F23" s="17" t="s">
        <v>57</v>
      </c>
      <c r="G23" s="17" t="s">
        <v>23</v>
      </c>
      <c r="H23" s="17" t="s">
        <v>58</v>
      </c>
      <c r="I23" s="17" t="s">
        <v>59</v>
      </c>
      <c r="J23" s="17" t="s">
        <v>24</v>
      </c>
      <c r="K23" s="17" t="s">
        <v>60</v>
      </c>
      <c r="L23" s="17" t="s">
        <v>61</v>
      </c>
      <c r="M23" s="17" t="s">
        <v>62</v>
      </c>
      <c r="N23" s="17" t="s">
        <v>63</v>
      </c>
      <c r="O23" s="17" t="s">
        <v>64</v>
      </c>
      <c r="R23" s="71" t="s">
        <v>76</v>
      </c>
      <c r="S23" s="82">
        <f t="shared" ref="S23:T23" si="26">(S17-S18+S19)/S19</f>
        <v>3.79551651014844</v>
      </c>
      <c r="T23" s="82">
        <f t="shared" si="26"/>
        <v>3.8731604765241765</v>
      </c>
      <c r="U23" s="88">
        <f t="shared" si="23"/>
        <v>-7.7643966375736451E-2</v>
      </c>
      <c r="V23" s="73"/>
      <c r="W23" s="67" t="s">
        <v>76</v>
      </c>
      <c r="X23" s="82">
        <f t="shared" ref="X23:Y23" si="27">(X17-X18+X19)/X19</f>
        <v>3.7066666666666666</v>
      </c>
      <c r="Y23" s="82">
        <f t="shared" si="27"/>
        <v>4.0631067961165046</v>
      </c>
      <c r="Z23" s="89">
        <f t="shared" si="25"/>
        <v>-0.35644012944983805</v>
      </c>
    </row>
    <row r="24" spans="1:26" ht="14.4" x14ac:dyDescent="0.3">
      <c r="B24" s="90" t="s">
        <v>43</v>
      </c>
      <c r="C24" s="12">
        <v>9957</v>
      </c>
      <c r="D24" s="12">
        <v>166125</v>
      </c>
      <c r="E24" s="12">
        <v>-155591</v>
      </c>
      <c r="F24" s="12">
        <v>-3808</v>
      </c>
      <c r="G24" s="12">
        <v>8310</v>
      </c>
      <c r="H24" s="12">
        <v>719</v>
      </c>
      <c r="I24" s="12">
        <v>61255</v>
      </c>
      <c r="J24" s="12">
        <v>56.97</v>
      </c>
      <c r="K24" s="91">
        <f t="shared" ref="K24:K44" si="28">(100*G24)/D24</f>
        <v>5.0022573363431153</v>
      </c>
      <c r="L24" s="12">
        <v>4901</v>
      </c>
      <c r="M24" s="12">
        <v>3361</v>
      </c>
      <c r="N24" s="92">
        <f>Apollo!$L24/Apollo!$J24</f>
        <v>86.027733895032469</v>
      </c>
      <c r="O24" s="92">
        <f>Apollo!$M24/Apollo!$J24</f>
        <v>58.995962787431985</v>
      </c>
      <c r="R24" s="68"/>
      <c r="S24" s="93"/>
      <c r="T24" s="93"/>
      <c r="U24" s="94"/>
      <c r="V24" s="32"/>
      <c r="W24" s="68"/>
      <c r="X24" s="68"/>
      <c r="Y24" s="68"/>
      <c r="Z24" s="68"/>
    </row>
    <row r="25" spans="1:26" ht="14.4" x14ac:dyDescent="0.3">
      <c r="B25" s="90" t="s">
        <v>77</v>
      </c>
      <c r="C25" s="12">
        <v>9911</v>
      </c>
      <c r="D25" s="12">
        <v>146626</v>
      </c>
      <c r="E25" s="12">
        <v>-134568</v>
      </c>
      <c r="F25" s="12">
        <v>-3786</v>
      </c>
      <c r="G25" s="12">
        <v>11084</v>
      </c>
      <c r="H25" s="12">
        <v>719</v>
      </c>
      <c r="I25" s="12">
        <v>55514</v>
      </c>
      <c r="J25" s="12">
        <v>73.42</v>
      </c>
      <c r="K25" s="91">
        <f t="shared" si="28"/>
        <v>7.5593687340580793</v>
      </c>
      <c r="L25" s="12">
        <v>5935</v>
      </c>
      <c r="M25" s="12">
        <v>2843</v>
      </c>
      <c r="N25" s="92">
        <f>Apollo!$L25/Apollo!$J25</f>
        <v>80.836284391174061</v>
      </c>
      <c r="O25" s="92">
        <f>Apollo!$M25/Apollo!$J25</f>
        <v>38.722418959411605</v>
      </c>
      <c r="R25" s="68"/>
      <c r="S25" s="32"/>
      <c r="T25" s="32"/>
      <c r="U25" s="94"/>
      <c r="V25" s="94"/>
      <c r="W25" s="68"/>
      <c r="X25" s="32"/>
      <c r="Y25" s="32"/>
      <c r="Z25" s="94"/>
    </row>
    <row r="26" spans="1:26" ht="14.4" x14ac:dyDescent="0.3">
      <c r="B26" s="90" t="s">
        <v>78</v>
      </c>
      <c r="C26" s="12">
        <v>10209</v>
      </c>
      <c r="D26" s="95">
        <v>105600</v>
      </c>
      <c r="E26" s="95">
        <v>-104450</v>
      </c>
      <c r="F26" s="95">
        <v>-4492</v>
      </c>
      <c r="G26" s="96">
        <v>1368</v>
      </c>
      <c r="H26" s="97">
        <v>719</v>
      </c>
      <c r="I26" s="95">
        <v>45229</v>
      </c>
      <c r="J26" s="98">
        <v>10.74</v>
      </c>
      <c r="K26" s="98">
        <f t="shared" si="28"/>
        <v>1.2954545454545454</v>
      </c>
      <c r="L26" s="92">
        <v>3284</v>
      </c>
      <c r="M26" s="92">
        <v>1080</v>
      </c>
      <c r="N26" s="92">
        <f>Apollo!$L26/Apollo!$J26</f>
        <v>305.77281191806333</v>
      </c>
      <c r="O26" s="92">
        <f>Apollo!$M26/Apollo!$J26</f>
        <v>100.55865921787709</v>
      </c>
      <c r="R26" s="99"/>
      <c r="S26" s="68"/>
      <c r="T26" s="68"/>
      <c r="U26" s="99"/>
      <c r="V26" s="41"/>
      <c r="W26" s="68"/>
      <c r="X26" s="68"/>
      <c r="Y26" s="68"/>
      <c r="Z26" s="68"/>
    </row>
    <row r="27" spans="1:26" ht="14.4" x14ac:dyDescent="0.3">
      <c r="B27" s="90" t="s">
        <v>79</v>
      </c>
      <c r="C27" s="12">
        <v>10261</v>
      </c>
      <c r="D27" s="95">
        <v>112468</v>
      </c>
      <c r="E27" s="95">
        <v>-112468</v>
      </c>
      <c r="F27" s="95">
        <v>-5328</v>
      </c>
      <c r="G27" s="96">
        <v>4318</v>
      </c>
      <c r="H27" s="97">
        <v>696</v>
      </c>
      <c r="I27" s="95">
        <v>32617</v>
      </c>
      <c r="J27" s="98">
        <v>32.700000000000003</v>
      </c>
      <c r="K27" s="98">
        <f t="shared" si="28"/>
        <v>3.8393142938435822</v>
      </c>
      <c r="L27" s="92">
        <v>1814</v>
      </c>
      <c r="M27" s="92">
        <v>1047</v>
      </c>
      <c r="N27" s="92">
        <f>Apollo!$L27/Apollo!$J27</f>
        <v>55.474006116207946</v>
      </c>
      <c r="O27" s="92">
        <f>Apollo!$M27/Apollo!$J27</f>
        <v>32.018348623853207</v>
      </c>
      <c r="R27" s="71" t="s">
        <v>80</v>
      </c>
      <c r="S27" s="67" t="s">
        <v>46</v>
      </c>
      <c r="T27" s="67" t="s">
        <v>67</v>
      </c>
      <c r="U27" s="67" t="s">
        <v>81</v>
      </c>
      <c r="V27" s="100" t="s">
        <v>55</v>
      </c>
      <c r="W27" s="68"/>
      <c r="X27" s="68"/>
      <c r="Y27" s="68"/>
      <c r="Z27" s="68"/>
    </row>
    <row r="28" spans="1:26" ht="14.4" x14ac:dyDescent="0.3">
      <c r="B28" s="90" t="s">
        <v>82</v>
      </c>
      <c r="C28" s="12">
        <v>10167</v>
      </c>
      <c r="D28" s="95">
        <v>83366.600000000006</v>
      </c>
      <c r="E28" s="95">
        <v>-75865.399999999994</v>
      </c>
      <c r="F28" s="95">
        <v>-2680.2</v>
      </c>
      <c r="G28" s="96">
        <v>3027.6</v>
      </c>
      <c r="H28" s="97">
        <v>695.6</v>
      </c>
      <c r="I28" s="95">
        <v>38830</v>
      </c>
      <c r="J28" s="98">
        <v>16.97</v>
      </c>
      <c r="K28" s="98">
        <f t="shared" si="28"/>
        <v>3.631670237241293</v>
      </c>
      <c r="L28" s="92">
        <v>1508.2</v>
      </c>
      <c r="M28" s="92">
        <v>1083</v>
      </c>
      <c r="N28" s="92">
        <f>Apollo!$L28/Apollo!$J28</f>
        <v>88.874484384207435</v>
      </c>
      <c r="O28" s="92">
        <f>Apollo!$M28/Apollo!$J28</f>
        <v>63.818503241013559</v>
      </c>
      <c r="R28" s="71" t="s">
        <v>83</v>
      </c>
      <c r="S28" s="72">
        <v>18166</v>
      </c>
      <c r="T28" s="72">
        <v>17958</v>
      </c>
      <c r="U28" s="101">
        <f t="shared" ref="U28:U34" si="29">S28/$S$36</f>
        <v>0.13769945044532877</v>
      </c>
      <c r="V28" s="102">
        <f t="shared" ref="V28:V34" si="30">(S28/T28)^(1/1)-1</f>
        <v>1.1582581579240525E-2</v>
      </c>
      <c r="W28" s="68"/>
      <c r="X28" s="68"/>
      <c r="Y28" s="68"/>
      <c r="Z28" s="68"/>
    </row>
    <row r="29" spans="1:26" ht="14.4" x14ac:dyDescent="0.3">
      <c r="B29" s="90" t="s">
        <v>84</v>
      </c>
      <c r="C29" s="12">
        <v>9844</v>
      </c>
      <c r="D29" s="95">
        <v>71830.100000000006</v>
      </c>
      <c r="E29" s="95">
        <v>-65934.7</v>
      </c>
      <c r="F29" s="95">
        <v>-2401.6999999999998</v>
      </c>
      <c r="G29" s="103">
        <v>2332</v>
      </c>
      <c r="H29" s="97">
        <v>695.6</v>
      </c>
      <c r="I29" s="95">
        <v>36935</v>
      </c>
      <c r="J29" s="98">
        <v>16.760000000000002</v>
      </c>
      <c r="K29" s="98">
        <f t="shared" si="28"/>
        <v>3.2465498447029866</v>
      </c>
      <c r="L29" s="92">
        <v>1327</v>
      </c>
      <c r="M29" s="92">
        <v>911.1</v>
      </c>
      <c r="N29" s="92">
        <f>Apollo!$L29/Apollo!$J29</f>
        <v>79.176610978520273</v>
      </c>
      <c r="O29" s="92">
        <f>Apollo!$M29/Apollo!$J29</f>
        <v>54.361575178997612</v>
      </c>
      <c r="R29" s="71" t="s">
        <v>85</v>
      </c>
      <c r="S29" s="82">
        <v>32565</v>
      </c>
      <c r="T29" s="82">
        <v>28315</v>
      </c>
      <c r="U29" s="101">
        <f t="shared" si="29"/>
        <v>0.24684479818078453</v>
      </c>
      <c r="V29" s="104">
        <f t="shared" si="30"/>
        <v>0.15009712166696088</v>
      </c>
      <c r="W29" s="68"/>
      <c r="X29" s="68"/>
      <c r="Y29" s="68"/>
      <c r="Z29" s="68"/>
    </row>
    <row r="30" spans="1:26" ht="14.4" x14ac:dyDescent="0.3">
      <c r="B30" s="90" t="s">
        <v>86</v>
      </c>
      <c r="C30" s="12">
        <v>10084</v>
      </c>
      <c r="D30" s="95">
        <v>64417.7</v>
      </c>
      <c r="E30" s="95">
        <v>-58681.5</v>
      </c>
      <c r="F30" s="95">
        <v>-2003.9</v>
      </c>
      <c r="G30" s="96">
        <v>2851.5</v>
      </c>
      <c r="H30" s="97">
        <v>695.6</v>
      </c>
      <c r="I30" s="95">
        <v>35790</v>
      </c>
      <c r="J30" s="98">
        <v>20.5</v>
      </c>
      <c r="K30" s="98">
        <f t="shared" si="28"/>
        <v>4.426578409350225</v>
      </c>
      <c r="L30" s="92">
        <v>1356.75</v>
      </c>
      <c r="M30" s="92">
        <v>959</v>
      </c>
      <c r="N30" s="92">
        <f>Apollo!$L30/Apollo!$J30</f>
        <v>66.182926829268297</v>
      </c>
      <c r="O30" s="92">
        <f>Apollo!$M30/Apollo!$J30</f>
        <v>46.780487804878049</v>
      </c>
      <c r="R30" s="71" t="s">
        <v>87</v>
      </c>
      <c r="S30" s="72">
        <v>18488</v>
      </c>
      <c r="T30" s="82">
        <v>15772</v>
      </c>
      <c r="U30" s="101">
        <f t="shared" si="29"/>
        <v>0.14014023119196514</v>
      </c>
      <c r="V30" s="51">
        <f t="shared" si="30"/>
        <v>0.17220390565559218</v>
      </c>
      <c r="W30" s="68"/>
      <c r="X30" s="68"/>
      <c r="Y30" s="68"/>
      <c r="Z30" s="68"/>
    </row>
    <row r="31" spans="1:26" ht="14.4" x14ac:dyDescent="0.3">
      <c r="B31" s="90" t="s">
        <v>88</v>
      </c>
      <c r="D31" s="95">
        <v>54090.7</v>
      </c>
      <c r="E31" s="95">
        <v>-46941.2</v>
      </c>
      <c r="F31" s="95">
        <v>-1335.8</v>
      </c>
      <c r="G31" s="96">
        <v>3694.4</v>
      </c>
      <c r="H31" s="97">
        <v>695.6</v>
      </c>
      <c r="I31" s="95">
        <v>34301</v>
      </c>
      <c r="J31" s="98">
        <v>26.55</v>
      </c>
      <c r="K31" s="98">
        <f t="shared" si="28"/>
        <v>6.8300095949950732</v>
      </c>
      <c r="L31" s="92">
        <v>1544</v>
      </c>
      <c r="M31" s="92">
        <v>1110.75</v>
      </c>
      <c r="N31" s="92">
        <f>Apollo!$L31/Apollo!$J31</f>
        <v>58.154425612052727</v>
      </c>
      <c r="O31" s="92">
        <f>Apollo!$M31/Apollo!$J31</f>
        <v>41.836158192090394</v>
      </c>
      <c r="R31" s="71" t="s">
        <v>89</v>
      </c>
      <c r="S31" s="82">
        <v>54708</v>
      </c>
      <c r="T31" s="82">
        <v>45652</v>
      </c>
      <c r="U31" s="101">
        <f t="shared" si="29"/>
        <v>0.41469016486640137</v>
      </c>
      <c r="V31" s="105">
        <f t="shared" si="30"/>
        <v>0.19837027950582664</v>
      </c>
      <c r="W31" s="68"/>
      <c r="X31" s="68"/>
      <c r="Y31" s="68"/>
      <c r="Z31" s="68"/>
    </row>
    <row r="32" spans="1:26" ht="14.4" x14ac:dyDescent="0.3">
      <c r="B32" s="90" t="s">
        <v>90</v>
      </c>
      <c r="C32" s="12">
        <v>9215</v>
      </c>
      <c r="D32" s="95">
        <v>45927.9</v>
      </c>
      <c r="E32" s="95">
        <v>-39294</v>
      </c>
      <c r="F32" s="106">
        <v>-832.9</v>
      </c>
      <c r="G32" s="96">
        <v>3465.9</v>
      </c>
      <c r="H32" s="97">
        <v>695.6</v>
      </c>
      <c r="I32" s="95">
        <v>31610</v>
      </c>
      <c r="J32" s="98">
        <v>24.91</v>
      </c>
      <c r="K32" s="98">
        <f t="shared" si="28"/>
        <v>7.5463933687366502</v>
      </c>
      <c r="L32" s="92">
        <v>1515.7</v>
      </c>
      <c r="M32" s="92">
        <v>1080</v>
      </c>
      <c r="N32" s="92">
        <f>Apollo!$L32/Apollo!$J32</f>
        <v>60.847049377759937</v>
      </c>
      <c r="O32" s="92">
        <f>Apollo!$M32/Apollo!$J32</f>
        <v>43.356081894821358</v>
      </c>
      <c r="R32" s="71" t="s">
        <v>91</v>
      </c>
      <c r="S32" s="72">
        <v>4973</v>
      </c>
      <c r="T32" s="72">
        <v>4562</v>
      </c>
      <c r="U32" s="101">
        <f t="shared" si="29"/>
        <v>3.7695660413113515E-2</v>
      </c>
      <c r="V32" s="107">
        <f t="shared" si="30"/>
        <v>9.009206488382282E-2</v>
      </c>
      <c r="W32" s="68"/>
      <c r="X32" s="68"/>
      <c r="Y32" s="68"/>
      <c r="Z32" s="68"/>
    </row>
    <row r="33" spans="1:26" ht="14.4" x14ac:dyDescent="0.3">
      <c r="B33" s="90" t="s">
        <v>92</v>
      </c>
      <c r="D33" s="95">
        <v>38616.300000000003</v>
      </c>
      <c r="E33" s="95">
        <v>-32477.7</v>
      </c>
      <c r="F33" s="106">
        <v>-870.7</v>
      </c>
      <c r="G33" s="96">
        <v>3307.2</v>
      </c>
      <c r="H33" s="97">
        <v>695.6</v>
      </c>
      <c r="I33" s="95">
        <v>28951.599999999999</v>
      </c>
      <c r="J33" s="98">
        <v>23.77</v>
      </c>
      <c r="K33" s="98">
        <f t="shared" si="28"/>
        <v>8.5642591340962237</v>
      </c>
      <c r="L33" s="92">
        <v>1242.75</v>
      </c>
      <c r="M33" s="92">
        <v>852.5</v>
      </c>
      <c r="N33" s="92">
        <f>Apollo!$L33/Apollo!$J33</f>
        <v>52.282288599074462</v>
      </c>
      <c r="O33" s="92">
        <f>Apollo!$M33/Apollo!$J33</f>
        <v>35.864535128313001</v>
      </c>
      <c r="R33" s="71" t="s">
        <v>72</v>
      </c>
      <c r="S33" s="72">
        <v>3301</v>
      </c>
      <c r="T33" s="72">
        <v>2854</v>
      </c>
      <c r="U33" s="101">
        <f t="shared" si="29"/>
        <v>2.5021792685237826E-2</v>
      </c>
      <c r="V33" s="49">
        <f t="shared" si="30"/>
        <v>0.15662228451296434</v>
      </c>
      <c r="W33" s="68"/>
      <c r="X33" s="68"/>
      <c r="Y33" s="68"/>
      <c r="Z33" s="68"/>
    </row>
    <row r="34" spans="1:26" ht="14.4" x14ac:dyDescent="0.3">
      <c r="B34" s="90" t="s">
        <v>93</v>
      </c>
      <c r="C34" s="12">
        <v>8420</v>
      </c>
      <c r="D34" s="95">
        <v>33177.9</v>
      </c>
      <c r="E34" s="95">
        <v>-27642.3</v>
      </c>
      <c r="F34" s="106">
        <v>-726.3</v>
      </c>
      <c r="G34" s="96">
        <v>3091.2</v>
      </c>
      <c r="H34" s="97">
        <v>695.6</v>
      </c>
      <c r="I34" s="95">
        <v>26580.3</v>
      </c>
      <c r="J34" s="98">
        <v>22.22</v>
      </c>
      <c r="K34" s="98">
        <f t="shared" si="28"/>
        <v>9.3170453826191526</v>
      </c>
      <c r="L34" s="92">
        <v>1096.1500000000001</v>
      </c>
      <c r="M34" s="92">
        <v>767.1</v>
      </c>
      <c r="N34" s="92">
        <f>Apollo!$L34/Apollo!$J34</f>
        <v>49.331683168316836</v>
      </c>
      <c r="O34" s="92">
        <f>Apollo!$M34/Apollo!$J34</f>
        <v>34.522952295229523</v>
      </c>
      <c r="R34" s="71" t="s">
        <v>94</v>
      </c>
      <c r="S34" s="108">
        <v>-276</v>
      </c>
      <c r="T34" s="108">
        <v>-210</v>
      </c>
      <c r="U34" s="101">
        <f t="shared" si="29"/>
        <v>-2.0920977828311539E-3</v>
      </c>
      <c r="V34" s="49">
        <f t="shared" si="30"/>
        <v>0.31428571428571428</v>
      </c>
      <c r="W34" s="68"/>
      <c r="X34" s="68"/>
      <c r="Y34" s="68"/>
      <c r="Z34" s="68"/>
    </row>
    <row r="35" spans="1:26" ht="14.4" x14ac:dyDescent="0.3">
      <c r="B35" s="90" t="s">
        <v>95</v>
      </c>
      <c r="D35" s="95">
        <v>28000.7</v>
      </c>
      <c r="E35" s="95">
        <v>-23356.7</v>
      </c>
      <c r="F35" s="106">
        <v>-636</v>
      </c>
      <c r="G35" s="96">
        <v>2309.9</v>
      </c>
      <c r="H35" s="97">
        <v>672.3</v>
      </c>
      <c r="I35" s="95">
        <v>22463.3</v>
      </c>
      <c r="J35" s="98">
        <v>17.16</v>
      </c>
      <c r="K35" s="98">
        <f t="shared" si="28"/>
        <v>8.2494366212273267</v>
      </c>
      <c r="L35" s="92">
        <v>902.85</v>
      </c>
      <c r="M35" s="92">
        <v>548</v>
      </c>
      <c r="N35" s="92">
        <f>Apollo!$L35/Apollo!$J35</f>
        <v>52.613636363636367</v>
      </c>
      <c r="O35" s="92">
        <f>Apollo!$M35/Apollo!$J35</f>
        <v>31.934731934731936</v>
      </c>
    </row>
    <row r="36" spans="1:26" ht="14.4" x14ac:dyDescent="0.3">
      <c r="A36" s="12" t="s">
        <v>96</v>
      </c>
      <c r="B36" s="90" t="s">
        <v>97</v>
      </c>
      <c r="D36" s="95">
        <v>23319.599999999999</v>
      </c>
      <c r="E36" s="95">
        <v>-19550.099999999999</v>
      </c>
      <c r="F36" s="106">
        <v>-587.29999999999995</v>
      </c>
      <c r="G36" s="96">
        <v>1817.2</v>
      </c>
      <c r="H36" s="97">
        <v>623.6</v>
      </c>
      <c r="I36" s="95">
        <v>16413</v>
      </c>
      <c r="J36" s="98">
        <v>14.24</v>
      </c>
      <c r="K36" s="98">
        <f t="shared" si="28"/>
        <v>7.7925864937649019</v>
      </c>
      <c r="L36" s="92">
        <v>716.9</v>
      </c>
      <c r="M36" s="92">
        <v>432.3</v>
      </c>
      <c r="N36" s="92">
        <f>Apollo!$L36/Apollo!$J36</f>
        <v>50.3441011235955</v>
      </c>
      <c r="O36" s="92">
        <f>Apollo!$M36/Apollo!$J36</f>
        <v>30.358146067415731</v>
      </c>
      <c r="R36" s="109" t="s">
        <v>98</v>
      </c>
      <c r="S36" s="110">
        <f t="shared" ref="S36:T36" si="31">SUM(S28:S34)</f>
        <v>131925</v>
      </c>
      <c r="T36" s="110">
        <f t="shared" si="31"/>
        <v>114903</v>
      </c>
      <c r="U36" s="111">
        <f>S36/$S$36</f>
        <v>1</v>
      </c>
      <c r="V36" s="49">
        <f>(S36/T36)^(1/1)-1</f>
        <v>0.14814234615284194</v>
      </c>
    </row>
    <row r="37" spans="1:26" ht="15.75" customHeight="1" x14ac:dyDescent="0.3">
      <c r="B37" s="90" t="s">
        <v>99</v>
      </c>
      <c r="C37" s="12">
        <v>7984</v>
      </c>
      <c r="D37" s="95">
        <v>18257.8</v>
      </c>
      <c r="E37" s="95">
        <v>-15445.2</v>
      </c>
      <c r="F37" s="106">
        <v>-377.5</v>
      </c>
      <c r="G37" s="96">
        <v>1519.7</v>
      </c>
      <c r="H37" s="97">
        <v>617.79999999999995</v>
      </c>
      <c r="I37" s="95">
        <v>14800</v>
      </c>
      <c r="J37" s="98">
        <v>24.52</v>
      </c>
      <c r="K37" s="98">
        <f t="shared" si="28"/>
        <v>8.3235658184447203</v>
      </c>
      <c r="L37" s="92">
        <v>858.8</v>
      </c>
      <c r="M37" s="92">
        <v>406</v>
      </c>
      <c r="N37" s="92">
        <f>Apollo!$L37/Apollo!$J37</f>
        <v>35.02446982055465</v>
      </c>
      <c r="O37" s="92">
        <f>Apollo!$M37/Apollo!$J37</f>
        <v>16.557911908646002</v>
      </c>
    </row>
    <row r="38" spans="1:26" ht="15.75" customHeight="1" x14ac:dyDescent="0.3">
      <c r="B38" s="90" t="s">
        <v>100</v>
      </c>
      <c r="D38" s="95">
        <v>14579.8</v>
      </c>
      <c r="E38" s="95">
        <v>-12378.6</v>
      </c>
      <c r="F38" s="106">
        <v>-223.1</v>
      </c>
      <c r="G38" s="96">
        <v>1180.7</v>
      </c>
      <c r="H38" s="97">
        <v>602.4</v>
      </c>
      <c r="I38" s="95">
        <v>13106.2</v>
      </c>
      <c r="J38" s="98">
        <v>19.11</v>
      </c>
      <c r="K38" s="98">
        <f t="shared" si="28"/>
        <v>8.0981906473339826</v>
      </c>
      <c r="L38" s="92">
        <v>694</v>
      </c>
      <c r="M38" s="92">
        <v>350</v>
      </c>
      <c r="N38" s="92">
        <f>Apollo!$L38/Apollo!$J38</f>
        <v>36.316064887493461</v>
      </c>
      <c r="O38" s="92">
        <f>Apollo!$M38/Apollo!$J38</f>
        <v>18.315018315018314</v>
      </c>
    </row>
    <row r="39" spans="1:26" ht="15.75" customHeight="1" x14ac:dyDescent="0.3">
      <c r="B39" s="90" t="s">
        <v>101</v>
      </c>
      <c r="D39" s="95">
        <v>11238</v>
      </c>
      <c r="E39" s="95">
        <v>-9483</v>
      </c>
      <c r="F39" s="106">
        <v>-199</v>
      </c>
      <c r="G39" s="96">
        <v>1018</v>
      </c>
      <c r="H39" s="97">
        <v>586</v>
      </c>
      <c r="I39" s="95">
        <v>11793</v>
      </c>
      <c r="J39" s="98">
        <v>17.88</v>
      </c>
      <c r="K39" s="98">
        <f t="shared" si="28"/>
        <v>9.0585513436554539</v>
      </c>
      <c r="L39" s="92">
        <v>630.29999999999995</v>
      </c>
      <c r="M39" s="92">
        <v>350</v>
      </c>
      <c r="N39" s="92">
        <f>Apollo!$L39/Apollo!$J39</f>
        <v>35.25167785234899</v>
      </c>
      <c r="O39" s="92">
        <f>Apollo!$M39/Apollo!$J39</f>
        <v>19.574944071588369</v>
      </c>
    </row>
    <row r="40" spans="1:26" ht="15.75" customHeight="1" x14ac:dyDescent="0.3">
      <c r="B40" s="90" t="s">
        <v>102</v>
      </c>
      <c r="D40" s="95">
        <v>8910</v>
      </c>
      <c r="E40" s="95">
        <v>-7492</v>
      </c>
      <c r="F40" s="106">
        <v>-164</v>
      </c>
      <c r="G40" s="96">
        <v>1001</v>
      </c>
      <c r="H40" s="97">
        <v>516</v>
      </c>
      <c r="I40" s="95">
        <v>7017</v>
      </c>
      <c r="J40" s="98">
        <v>19.63</v>
      </c>
      <c r="K40" s="98">
        <f t="shared" si="28"/>
        <v>11.234567901234568</v>
      </c>
      <c r="L40" s="92">
        <v>559.70000000000005</v>
      </c>
      <c r="M40" s="92">
        <v>402</v>
      </c>
      <c r="N40" s="92">
        <f>Apollo!$L40/Apollo!$J40</f>
        <v>28.512480896586862</v>
      </c>
      <c r="O40" s="92">
        <f>Apollo!$M40/Apollo!$J40</f>
        <v>20.478858889454916</v>
      </c>
    </row>
    <row r="41" spans="1:26" ht="15.75" customHeight="1" x14ac:dyDescent="0.3">
      <c r="B41" s="90" t="s">
        <v>103</v>
      </c>
      <c r="D41" s="95">
        <v>7078</v>
      </c>
      <c r="E41" s="95">
        <v>-5929</v>
      </c>
      <c r="F41" s="106">
        <v>-117</v>
      </c>
      <c r="G41" s="96">
        <v>602</v>
      </c>
      <c r="H41" s="97">
        <v>506</v>
      </c>
      <c r="I41" s="95">
        <v>6039</v>
      </c>
      <c r="J41" s="98">
        <v>12.53</v>
      </c>
      <c r="K41" s="98">
        <f t="shared" si="28"/>
        <v>8.505227465385703</v>
      </c>
      <c r="L41" s="92">
        <v>589</v>
      </c>
      <c r="M41" s="92">
        <v>340</v>
      </c>
      <c r="N41" s="92">
        <f>Apollo!$L41/Apollo!$J41</f>
        <v>47.007182761372711</v>
      </c>
      <c r="O41" s="92">
        <f>Apollo!$M41/Apollo!$J41</f>
        <v>27.134876296887473</v>
      </c>
    </row>
    <row r="42" spans="1:26" ht="15.75" customHeight="1" x14ac:dyDescent="0.3">
      <c r="B42" s="90" t="s">
        <v>104</v>
      </c>
      <c r="C42" s="12">
        <v>4000</v>
      </c>
      <c r="D42" s="95">
        <v>5881</v>
      </c>
      <c r="E42" s="95">
        <v>-4860</v>
      </c>
      <c r="F42" s="106">
        <v>-156</v>
      </c>
      <c r="G42" s="96">
        <v>492</v>
      </c>
      <c r="H42" s="97">
        <v>416</v>
      </c>
      <c r="I42" s="95">
        <v>2862</v>
      </c>
      <c r="J42" s="98">
        <v>12.12</v>
      </c>
      <c r="K42" s="98">
        <f t="shared" si="28"/>
        <v>8.3659241625573877</v>
      </c>
      <c r="L42" s="92">
        <v>546.4</v>
      </c>
      <c r="M42" s="92">
        <v>235.65</v>
      </c>
      <c r="N42" s="92">
        <f>Apollo!$L42/Apollo!$J42</f>
        <v>45.082508250825086</v>
      </c>
      <c r="O42" s="92">
        <f>Apollo!$M42/Apollo!$J42</f>
        <v>19.443069306930695</v>
      </c>
    </row>
    <row r="43" spans="1:26" ht="15.75" customHeight="1" x14ac:dyDescent="0.3">
      <c r="B43" s="90" t="s">
        <v>105</v>
      </c>
      <c r="D43" s="95">
        <v>4946</v>
      </c>
      <c r="E43" s="95">
        <v>-4009</v>
      </c>
      <c r="F43" s="106">
        <v>-192</v>
      </c>
      <c r="G43" s="96">
        <v>371</v>
      </c>
      <c r="H43" s="97">
        <v>395</v>
      </c>
      <c r="I43" s="95">
        <v>2228</v>
      </c>
      <c r="J43" s="98">
        <v>9.4</v>
      </c>
      <c r="K43" s="98">
        <f t="shared" si="28"/>
        <v>7.5010109179134652</v>
      </c>
      <c r="L43" s="92">
        <v>291</v>
      </c>
      <c r="M43" s="92">
        <v>154.1</v>
      </c>
      <c r="N43" s="92">
        <f>Apollo!$L43/Apollo!$J43</f>
        <v>30.957446808510639</v>
      </c>
      <c r="O43" s="92">
        <f>Apollo!$M43/Apollo!$J43</f>
        <v>16.393617021276594</v>
      </c>
    </row>
    <row r="44" spans="1:26" ht="15.75" customHeight="1" x14ac:dyDescent="0.3">
      <c r="B44" s="90" t="s">
        <v>106</v>
      </c>
      <c r="D44" s="95">
        <v>4382</v>
      </c>
      <c r="E44" s="95">
        <v>-3579</v>
      </c>
      <c r="F44" s="106">
        <v>-243</v>
      </c>
      <c r="G44" s="96">
        <v>275</v>
      </c>
      <c r="H44" s="97">
        <v>395</v>
      </c>
      <c r="I44" s="95">
        <v>1998</v>
      </c>
      <c r="J44" s="98">
        <v>6.96</v>
      </c>
      <c r="K44" s="98">
        <f t="shared" si="28"/>
        <v>6.2756732085805567</v>
      </c>
      <c r="L44" s="92">
        <v>197.8</v>
      </c>
      <c r="M44" s="92">
        <v>90.95</v>
      </c>
      <c r="N44" s="92">
        <f>Apollo!$L44/Apollo!$J44</f>
        <v>28.419540229885058</v>
      </c>
      <c r="O44" s="92">
        <f>Apollo!$M44/Apollo!$J44</f>
        <v>13.067528735632184</v>
      </c>
    </row>
    <row r="45" spans="1:26" ht="15.75" customHeight="1" thickBot="1" x14ac:dyDescent="0.35">
      <c r="B45" s="112" t="s">
        <v>107</v>
      </c>
      <c r="C45" s="57">
        <v>750</v>
      </c>
      <c r="D45" s="113">
        <v>457</v>
      </c>
      <c r="E45" s="113"/>
      <c r="F45" s="114"/>
      <c r="G45" s="115"/>
      <c r="H45" s="114"/>
      <c r="I45" s="113"/>
      <c r="J45" s="114"/>
      <c r="K45" s="114"/>
      <c r="L45" s="57"/>
      <c r="M45" s="116"/>
      <c r="N45" s="116"/>
      <c r="O45" s="116"/>
    </row>
    <row r="46" spans="1:26" ht="15.75" customHeight="1" thickTop="1" x14ac:dyDescent="0.3">
      <c r="M46" s="117"/>
      <c r="N46" s="117"/>
      <c r="O46" s="117"/>
    </row>
    <row r="47" spans="1:26" ht="15.75" customHeight="1" x14ac:dyDescent="0.3">
      <c r="B47" s="12" t="s">
        <v>108</v>
      </c>
    </row>
    <row r="48" spans="1:26" ht="15.75" customHeight="1" x14ac:dyDescent="0.3">
      <c r="H48" s="118" t="s">
        <v>109</v>
      </c>
      <c r="I48" s="118" t="s">
        <v>110</v>
      </c>
      <c r="J48" s="118" t="s">
        <v>111</v>
      </c>
    </row>
    <row r="49" spans="2:10" ht="15.75" customHeight="1" x14ac:dyDescent="0.3">
      <c r="B49" s="119" t="s">
        <v>112</v>
      </c>
      <c r="C49" s="119" t="s">
        <v>113</v>
      </c>
      <c r="D49" s="119" t="s">
        <v>114</v>
      </c>
      <c r="E49" s="119" t="s">
        <v>115</v>
      </c>
      <c r="F49" s="119" t="s">
        <v>55</v>
      </c>
      <c r="H49" s="110">
        <v>1995</v>
      </c>
      <c r="I49" s="110">
        <v>750</v>
      </c>
      <c r="J49" s="110">
        <v>0</v>
      </c>
    </row>
    <row r="50" spans="2:10" ht="15.75" customHeight="1" x14ac:dyDescent="0.3">
      <c r="B50" s="12" t="s">
        <v>116</v>
      </c>
      <c r="C50" s="12">
        <v>73598</v>
      </c>
      <c r="D50" s="12">
        <v>65157</v>
      </c>
      <c r="E50" s="14">
        <f t="shared" ref="E50:E53" si="32">C50/$C$55</f>
        <v>0.51923918104725486</v>
      </c>
      <c r="F50" s="14">
        <f t="shared" ref="F50:F53" si="33">(C50/D50)^(1/1)-1</f>
        <v>0.12954862869683992</v>
      </c>
      <c r="H50" s="110">
        <v>2000</v>
      </c>
      <c r="I50" s="110">
        <v>1500</v>
      </c>
      <c r="J50" s="110">
        <v>25</v>
      </c>
    </row>
    <row r="51" spans="2:10" ht="15.75" customHeight="1" x14ac:dyDescent="0.3">
      <c r="B51" s="12" t="s">
        <v>117</v>
      </c>
      <c r="C51" s="12">
        <v>10107</v>
      </c>
      <c r="D51" s="12">
        <v>9227</v>
      </c>
      <c r="E51" s="14">
        <f t="shared" si="32"/>
        <v>7.1305611604182251E-2</v>
      </c>
      <c r="F51" s="14">
        <f t="shared" si="33"/>
        <v>9.5372277013113793E-2</v>
      </c>
      <c r="H51" s="110">
        <v>2005</v>
      </c>
      <c r="I51" s="110">
        <v>4000</v>
      </c>
      <c r="J51" s="110">
        <v>170</v>
      </c>
    </row>
    <row r="52" spans="2:10" ht="15.75" customHeight="1" x14ac:dyDescent="0.3">
      <c r="B52" s="12" t="s">
        <v>118</v>
      </c>
      <c r="C52" s="12">
        <v>58002</v>
      </c>
      <c r="D52" s="12">
        <v>49053</v>
      </c>
      <c r="E52" s="14">
        <f t="shared" si="32"/>
        <v>0.40920827983237151</v>
      </c>
      <c r="F52" s="14">
        <f t="shared" si="33"/>
        <v>0.18243532505657156</v>
      </c>
      <c r="H52" s="110">
        <v>2010</v>
      </c>
      <c r="I52" s="110">
        <v>7984</v>
      </c>
      <c r="J52" s="110">
        <v>1049</v>
      </c>
    </row>
    <row r="53" spans="2:10" ht="15.75" customHeight="1" thickBot="1" x14ac:dyDescent="0.35">
      <c r="B53" s="57" t="s">
        <v>119</v>
      </c>
      <c r="C53" s="57">
        <v>35</v>
      </c>
      <c r="D53" s="57">
        <v>35</v>
      </c>
      <c r="E53" s="58">
        <f t="shared" si="32"/>
        <v>2.4692751619139001E-4</v>
      </c>
      <c r="F53" s="58">
        <f t="shared" si="33"/>
        <v>0</v>
      </c>
      <c r="H53" s="110">
        <v>2015</v>
      </c>
      <c r="I53" s="110">
        <v>9215</v>
      </c>
      <c r="J53" s="110">
        <v>1822</v>
      </c>
    </row>
    <row r="54" spans="2:10" ht="15.75" customHeight="1" thickTop="1" x14ac:dyDescent="0.3">
      <c r="B54" s="120"/>
      <c r="C54" s="120"/>
      <c r="D54" s="120"/>
      <c r="E54" s="121"/>
      <c r="F54" s="120"/>
      <c r="H54" s="110">
        <v>2020</v>
      </c>
      <c r="I54" s="110">
        <v>10261</v>
      </c>
      <c r="J54" s="110">
        <v>3766</v>
      </c>
    </row>
    <row r="55" spans="2:10" ht="15.75" customHeight="1" thickBot="1" x14ac:dyDescent="0.35">
      <c r="B55" s="122" t="s">
        <v>120</v>
      </c>
      <c r="C55" s="122">
        <f t="shared" ref="C55:D55" si="34">SUM(C50:C53)</f>
        <v>141742</v>
      </c>
      <c r="D55" s="122">
        <f t="shared" si="34"/>
        <v>123472</v>
      </c>
      <c r="E55" s="123">
        <f>C55/$C$55</f>
        <v>1</v>
      </c>
      <c r="F55" s="58">
        <f>(C55/D55)^(1/1)-1</f>
        <v>0.14796877024750543</v>
      </c>
      <c r="H55" s="110">
        <v>2023</v>
      </c>
      <c r="I55" s="110">
        <v>9957</v>
      </c>
      <c r="J55" s="110">
        <v>5541</v>
      </c>
    </row>
    <row r="56" spans="2:10" ht="15.75" customHeight="1" thickTop="1" x14ac:dyDescent="0.3"/>
    <row r="57" spans="2:10" ht="15.75" customHeight="1" x14ac:dyDescent="0.3">
      <c r="H57" s="122" t="s">
        <v>55</v>
      </c>
      <c r="I57" s="123">
        <f>(I55/I49)^(1/28)-1</f>
        <v>9.6754801584380878E-2</v>
      </c>
      <c r="J57" s="123">
        <f>(J55/J50)^(1/23)-1</f>
        <v>0.26469179741399951</v>
      </c>
    </row>
    <row r="58" spans="2:10" ht="15.75" customHeight="1" x14ac:dyDescent="0.3"/>
    <row r="59" spans="2:10" ht="15.75" customHeight="1" x14ac:dyDescent="0.3"/>
    <row r="60" spans="2:10" ht="15.75" customHeight="1" x14ac:dyDescent="0.3"/>
    <row r="61" spans="2:10" ht="15.75" customHeight="1" x14ac:dyDescent="0.3"/>
    <row r="62" spans="2:10" ht="15.75" customHeight="1" x14ac:dyDescent="0.3"/>
    <row r="63" spans="2:10" ht="15.75" customHeight="1" x14ac:dyDescent="0.3"/>
    <row r="64" spans="2:10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</sheetData>
  <mergeCells count="1">
    <mergeCell ref="S9:S11"/>
  </mergeCells>
  <conditionalFormatting sqref="C24:C45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3:F14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7:J20 L17:M20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24:D45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50:E53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50:F53 F55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3:G14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24:G44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24:J44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8:M8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12:N13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N17:P20">
    <cfRule type="colorScale" priority="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pageMargins left="0.7" right="0.7" top="0.75" bottom="0.75" header="0" footer="0"/>
  <pageSetup paperSize="9" orientation="portrait"/>
  <drawing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Apollo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2024-04-09T15:50:43Z</dcterms:created>
  <dcterms:modified xsi:type="dcterms:W3CDTF">2024-04-09T15:50:56Z</dcterms:modified>
</cp:coreProperties>
</file>