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profi\Desktop\Documents\Annual Result\Q1_fy26\"/>
    </mc:Choice>
  </mc:AlternateContent>
  <xr:revisionPtr revIDLastSave="0" documentId="8_{7C3E8B8C-A785-48DC-83CE-AFDC2DDDE43E}" xr6:coauthVersionLast="47" xr6:coauthVersionMax="47" xr10:uidLastSave="{00000000-0000-0000-0000-000000000000}"/>
  <bookViews>
    <workbookView xWindow="-108" yWindow="-108" windowWidth="23256" windowHeight="12456" xr2:uid="{8F6CF7C6-1286-4974-82CD-7D9FE37B7187}"/>
  </bookViews>
  <sheets>
    <sheet name="NAUKRI" sheetId="1" r:id="rId1"/>
  </sheets>
  <definedNames>
    <definedName name="_xlnm._FilterDatabase" localSheetId="0" hidden="1">NAUKRI!$Q$50:$U$56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2" i="1" l="1"/>
  <c r="U69" i="1"/>
  <c r="U67" i="1"/>
  <c r="D67" i="1"/>
  <c r="D68" i="1" s="1"/>
  <c r="U66" i="1"/>
  <c r="T66" i="1"/>
  <c r="S66" i="1"/>
  <c r="U65" i="1"/>
  <c r="T64" i="1"/>
  <c r="U64" i="1" s="1"/>
  <c r="S64" i="1"/>
  <c r="U63" i="1"/>
  <c r="N60" i="1"/>
  <c r="M60" i="1"/>
  <c r="O60" i="1" s="1"/>
  <c r="I60" i="1"/>
  <c r="H60" i="1"/>
  <c r="J60" i="1" s="1"/>
  <c r="E60" i="1"/>
  <c r="D60" i="1"/>
  <c r="C60" i="1"/>
  <c r="N59" i="1"/>
  <c r="M59" i="1"/>
  <c r="O59" i="1" s="1"/>
  <c r="I59" i="1"/>
  <c r="H59" i="1"/>
  <c r="J59" i="1" s="1"/>
  <c r="E59" i="1"/>
  <c r="D59" i="1"/>
  <c r="C59" i="1"/>
  <c r="S58" i="1"/>
  <c r="R58" i="1"/>
  <c r="T53" i="1" s="1"/>
  <c r="O58" i="1"/>
  <c r="N58" i="1"/>
  <c r="M58" i="1"/>
  <c r="I58" i="1"/>
  <c r="H58" i="1"/>
  <c r="J58" i="1" s="1"/>
  <c r="D58" i="1"/>
  <c r="C58" i="1"/>
  <c r="E58" i="1" s="1"/>
  <c r="O57" i="1"/>
  <c r="J57" i="1"/>
  <c r="E57" i="1"/>
  <c r="U56" i="1"/>
  <c r="O56" i="1"/>
  <c r="J56" i="1"/>
  <c r="E56" i="1"/>
  <c r="AA55" i="1"/>
  <c r="Y55" i="1"/>
  <c r="X55" i="1"/>
  <c r="Z55" i="1" s="1"/>
  <c r="U55" i="1"/>
  <c r="O55" i="1"/>
  <c r="J55" i="1"/>
  <c r="E55" i="1"/>
  <c r="U54" i="1"/>
  <c r="O54" i="1"/>
  <c r="J54" i="1"/>
  <c r="E54" i="1"/>
  <c r="AA53" i="1"/>
  <c r="Z53" i="1"/>
  <c r="U53" i="1"/>
  <c r="O53" i="1"/>
  <c r="J53" i="1"/>
  <c r="E53" i="1"/>
  <c r="AA52" i="1"/>
  <c r="Z52" i="1"/>
  <c r="U52" i="1"/>
  <c r="T52" i="1"/>
  <c r="O52" i="1"/>
  <c r="J52" i="1"/>
  <c r="E52" i="1"/>
  <c r="AA51" i="1"/>
  <c r="Z51" i="1"/>
  <c r="U51" i="1"/>
  <c r="T51" i="1"/>
  <c r="O51" i="1"/>
  <c r="J51" i="1"/>
  <c r="E51" i="1"/>
  <c r="O47" i="1"/>
  <c r="J45" i="1"/>
  <c r="I45" i="1"/>
  <c r="M45" i="1" s="1"/>
  <c r="L42" i="1"/>
  <c r="K42" i="1"/>
  <c r="I42" i="1"/>
  <c r="H42" i="1"/>
  <c r="G42" i="1"/>
  <c r="F42" i="1"/>
  <c r="E42" i="1"/>
  <c r="D42" i="1"/>
  <c r="L41" i="1"/>
  <c r="K41" i="1"/>
  <c r="J41" i="1"/>
  <c r="I41" i="1"/>
  <c r="H41" i="1"/>
  <c r="D41" i="1"/>
  <c r="L40" i="1"/>
  <c r="K40" i="1"/>
  <c r="H40" i="1"/>
  <c r="F40" i="1"/>
  <c r="E40" i="1"/>
  <c r="D40" i="1"/>
  <c r="L39" i="1"/>
  <c r="K39" i="1"/>
  <c r="J39" i="1"/>
  <c r="I39" i="1"/>
  <c r="H39" i="1"/>
  <c r="E39" i="1"/>
  <c r="D39" i="1"/>
  <c r="P36" i="1"/>
  <c r="O36" i="1"/>
  <c r="J36" i="1"/>
  <c r="E36" i="1"/>
  <c r="D36" i="1"/>
  <c r="P35" i="1"/>
  <c r="P42" i="1" s="1"/>
  <c r="O35" i="1"/>
  <c r="O42" i="1" s="1"/>
  <c r="N35" i="1"/>
  <c r="N42" i="1" s="1"/>
  <c r="J35" i="1"/>
  <c r="J42" i="1" s="1"/>
  <c r="F35" i="1"/>
  <c r="M35" i="1" s="1"/>
  <c r="M42" i="1" s="1"/>
  <c r="N34" i="1"/>
  <c r="M34" i="1"/>
  <c r="J34" i="1"/>
  <c r="P34" i="1" s="1"/>
  <c r="W33" i="1"/>
  <c r="S33" i="1"/>
  <c r="N33" i="1"/>
  <c r="M33" i="1"/>
  <c r="J33" i="1"/>
  <c r="P33" i="1" s="1"/>
  <c r="P32" i="1"/>
  <c r="N32" i="1"/>
  <c r="M32" i="1"/>
  <c r="J32" i="1"/>
  <c r="O32" i="1" s="1"/>
  <c r="G32" i="1"/>
  <c r="G41" i="1" s="1"/>
  <c r="P31" i="1"/>
  <c r="O31" i="1"/>
  <c r="N31" i="1"/>
  <c r="M31" i="1"/>
  <c r="J31" i="1"/>
  <c r="G31" i="1"/>
  <c r="N30" i="1"/>
  <c r="N41" i="1" s="1"/>
  <c r="M30" i="1"/>
  <c r="J30" i="1"/>
  <c r="P30" i="1" s="1"/>
  <c r="G30" i="1"/>
  <c r="N29" i="1"/>
  <c r="M29" i="1"/>
  <c r="J29" i="1"/>
  <c r="P29" i="1" s="1"/>
  <c r="G29" i="1"/>
  <c r="P28" i="1"/>
  <c r="N28" i="1"/>
  <c r="M28" i="1"/>
  <c r="J28" i="1"/>
  <c r="O28" i="1" s="1"/>
  <c r="G28" i="1"/>
  <c r="P27" i="1"/>
  <c r="O27" i="1"/>
  <c r="N27" i="1"/>
  <c r="M27" i="1"/>
  <c r="J27" i="1"/>
  <c r="G27" i="1"/>
  <c r="N26" i="1"/>
  <c r="M26" i="1"/>
  <c r="M40" i="1" s="1"/>
  <c r="J26" i="1"/>
  <c r="P26" i="1" s="1"/>
  <c r="I26" i="1"/>
  <c r="G26" i="1"/>
  <c r="N25" i="1"/>
  <c r="N40" i="1" s="1"/>
  <c r="M25" i="1"/>
  <c r="J25" i="1"/>
  <c r="P25" i="1" s="1"/>
  <c r="I25" i="1"/>
  <c r="I40" i="1" s="1"/>
  <c r="G25" i="1"/>
  <c r="G40" i="1" s="1"/>
  <c r="N24" i="1"/>
  <c r="M24" i="1"/>
  <c r="J24" i="1"/>
  <c r="P24" i="1" s="1"/>
  <c r="G24" i="1"/>
  <c r="N23" i="1"/>
  <c r="M23" i="1"/>
  <c r="I23" i="1"/>
  <c r="J23" i="1" s="1"/>
  <c r="G23" i="1"/>
  <c r="N22" i="1"/>
  <c r="M22" i="1"/>
  <c r="I22" i="1"/>
  <c r="J22" i="1" s="1"/>
  <c r="H22" i="1"/>
  <c r="G22" i="1"/>
  <c r="N21" i="1"/>
  <c r="M21" i="1"/>
  <c r="I21" i="1"/>
  <c r="J21" i="1" s="1"/>
  <c r="G21" i="1"/>
  <c r="P20" i="1"/>
  <c r="O20" i="1"/>
  <c r="N20" i="1"/>
  <c r="N39" i="1" s="1"/>
  <c r="M20" i="1"/>
  <c r="J20" i="1"/>
  <c r="I20" i="1"/>
  <c r="G20" i="1"/>
  <c r="G39" i="1" s="1"/>
  <c r="G64" i="1" s="1"/>
  <c r="N19" i="1"/>
  <c r="M19" i="1"/>
  <c r="I19" i="1"/>
  <c r="J19" i="1" s="1"/>
  <c r="G19" i="1"/>
  <c r="N18" i="1"/>
  <c r="M18" i="1"/>
  <c r="J18" i="1"/>
  <c r="P18" i="1" s="1"/>
  <c r="I18" i="1"/>
  <c r="G18" i="1"/>
  <c r="N17" i="1"/>
  <c r="M17" i="1"/>
  <c r="J17" i="1"/>
  <c r="P17" i="1" s="1"/>
  <c r="I17" i="1"/>
  <c r="G17" i="1"/>
  <c r="I16" i="1"/>
  <c r="G16" i="1"/>
  <c r="G15" i="1"/>
  <c r="G14" i="1"/>
  <c r="G13" i="1"/>
  <c r="G12" i="1"/>
  <c r="Q9" i="1"/>
  <c r="O9" i="1"/>
  <c r="J9" i="1"/>
  <c r="I9" i="1"/>
  <c r="H9" i="1"/>
  <c r="G9" i="1"/>
  <c r="E9" i="1"/>
  <c r="D9" i="1"/>
  <c r="C9" i="1"/>
  <c r="B9" i="1"/>
  <c r="AC6" i="1"/>
  <c r="AA6" i="1"/>
  <c r="AC5" i="1"/>
  <c r="S5" i="1"/>
  <c r="R5" i="1"/>
  <c r="Q5" i="1"/>
  <c r="P5" i="1"/>
  <c r="O5" i="1"/>
  <c r="N5" i="1"/>
  <c r="M5" i="1"/>
  <c r="L5" i="1"/>
  <c r="K5" i="1"/>
  <c r="J5" i="1"/>
  <c r="I5" i="1"/>
  <c r="H5" i="1"/>
  <c r="E5" i="1"/>
  <c r="AC4" i="1"/>
  <c r="U4" i="1"/>
  <c r="D4" i="1"/>
  <c r="U3" i="1"/>
  <c r="U5" i="1" s="1"/>
  <c r="F3" i="1"/>
  <c r="F5" i="1" s="1"/>
  <c r="E3" i="1"/>
  <c r="F9" i="1" s="1"/>
  <c r="D3" i="1"/>
  <c r="D5" i="1" s="1"/>
  <c r="C3" i="1"/>
  <c r="P9" i="1" s="1"/>
  <c r="O23" i="1" l="1"/>
  <c r="P23" i="1"/>
  <c r="P40" i="1"/>
  <c r="P41" i="1"/>
  <c r="M41" i="1"/>
  <c r="E68" i="1"/>
  <c r="D69" i="1"/>
  <c r="M39" i="1"/>
  <c r="P19" i="1"/>
  <c r="O19" i="1"/>
  <c r="P22" i="1"/>
  <c r="P39" i="1" s="1"/>
  <c r="O22" i="1"/>
  <c r="O39" i="1" s="1"/>
  <c r="F36" i="1"/>
  <c r="P45" i="1"/>
  <c r="P47" i="1" s="1"/>
  <c r="R45" i="1" s="1"/>
  <c r="P21" i="1"/>
  <c r="O21" i="1"/>
  <c r="K9" i="1"/>
  <c r="L9" i="1"/>
  <c r="O18" i="1"/>
  <c r="O26" i="1"/>
  <c r="O30" i="1"/>
  <c r="O34" i="1"/>
  <c r="T55" i="1"/>
  <c r="E67" i="1"/>
  <c r="E63" i="1" s="1"/>
  <c r="C5" i="1"/>
  <c r="O17" i="1"/>
  <c r="O25" i="1"/>
  <c r="O40" i="1" s="1"/>
  <c r="O33" i="1"/>
  <c r="T56" i="1"/>
  <c r="T58" i="1"/>
  <c r="F67" i="1"/>
  <c r="O24" i="1"/>
  <c r="O29" i="1"/>
  <c r="O41" i="1" s="1"/>
  <c r="F39" i="1"/>
  <c r="U58" i="1"/>
  <c r="J40" i="1"/>
  <c r="T54" i="1"/>
  <c r="M36" i="1" l="1"/>
  <c r="G3" i="1"/>
  <c r="N36" i="1"/>
  <c r="E69" i="1"/>
  <c r="F68" i="1"/>
  <c r="H67" i="1"/>
  <c r="I67" i="1" s="1"/>
  <c r="G67" i="1"/>
  <c r="Q45" i="1"/>
  <c r="Q47" i="1" s="1"/>
  <c r="J67" i="1"/>
  <c r="K67" i="1" l="1"/>
  <c r="G68" i="1"/>
  <c r="M67" i="1"/>
  <c r="J68" i="1"/>
  <c r="F69" i="1"/>
  <c r="H68" i="1"/>
  <c r="I68" i="1" s="1"/>
  <c r="N9" i="1"/>
  <c r="G5" i="1"/>
  <c r="M9" i="1"/>
  <c r="J69" i="1" l="1"/>
  <c r="H69" i="1"/>
  <c r="I69" i="1" s="1"/>
  <c r="L67" i="1"/>
  <c r="N67" i="1" s="1"/>
  <c r="F72" i="1" s="1"/>
  <c r="G72" i="1" s="1"/>
  <c r="M68" i="1"/>
  <c r="K68" i="1"/>
  <c r="L68" i="1" s="1"/>
  <c r="N68" i="1" s="1"/>
  <c r="G69" i="1"/>
  <c r="M69" i="1" l="1"/>
  <c r="K69" i="1"/>
  <c r="L69" i="1" s="1"/>
  <c r="N69" i="1" s="1"/>
</calcChain>
</file>

<file path=xl/sharedStrings.xml><?xml version="1.0" encoding="utf-8"?>
<sst xmlns="http://schemas.openxmlformats.org/spreadsheetml/2006/main" count="358" uniqueCount="259">
  <si>
    <t>IC</t>
  </si>
  <si>
    <t>BS</t>
  </si>
  <si>
    <t>CASHFLOW</t>
  </si>
  <si>
    <t>COMPANY</t>
  </si>
  <si>
    <t>PRICE</t>
  </si>
  <si>
    <t>MCAP</t>
  </si>
  <si>
    <t>SALES</t>
  </si>
  <si>
    <t>PROFIT</t>
  </si>
  <si>
    <t>EPS</t>
  </si>
  <si>
    <t>EQUITY</t>
  </si>
  <si>
    <t>TOTAL EQUITY</t>
  </si>
  <si>
    <t>BORROWING</t>
  </si>
  <si>
    <t>LEASE</t>
  </si>
  <si>
    <t>FV</t>
  </si>
  <si>
    <t>CUR.ASSET</t>
  </si>
  <si>
    <t>CUR.LIABILITY</t>
  </si>
  <si>
    <t>ASSET</t>
  </si>
  <si>
    <t>LIABILITY</t>
  </si>
  <si>
    <t>TRADE REC</t>
  </si>
  <si>
    <t>CFO</t>
  </si>
  <si>
    <t>CFI</t>
  </si>
  <si>
    <t>CFF</t>
  </si>
  <si>
    <t>NET</t>
  </si>
  <si>
    <t>LISTED</t>
  </si>
  <si>
    <t>NAUKRI</t>
  </si>
  <si>
    <t>CORE BUSINESS</t>
  </si>
  <si>
    <t>CASH</t>
  </si>
  <si>
    <t>FIN. INVESTMENT</t>
  </si>
  <si>
    <t>IN CR</t>
  </si>
  <si>
    <t>SHARE%</t>
  </si>
  <si>
    <t>Value</t>
  </si>
  <si>
    <t>Last Year_FY_25</t>
  </si>
  <si>
    <t>STRATEGIC INV.</t>
  </si>
  <si>
    <t>STRENGTH</t>
  </si>
  <si>
    <t>PolicyBazar</t>
  </si>
  <si>
    <t>NA</t>
  </si>
  <si>
    <t>FINANCIAL INV.</t>
  </si>
  <si>
    <t>VALUE</t>
  </si>
  <si>
    <t>Zomato</t>
  </si>
  <si>
    <t>TOTAL</t>
  </si>
  <si>
    <t>GROWTH</t>
  </si>
  <si>
    <t>LIQUIDITY</t>
  </si>
  <si>
    <t>SOLVENCY</t>
  </si>
  <si>
    <t>PROFITABILITY</t>
  </si>
  <si>
    <t>VALUATIONS</t>
  </si>
  <si>
    <t>SALES GROWTH</t>
  </si>
  <si>
    <t>PROFIT GROWTH</t>
  </si>
  <si>
    <t>P-MARGIN</t>
  </si>
  <si>
    <t>CUR.RATIO</t>
  </si>
  <si>
    <t>TR. REC. DAYS</t>
  </si>
  <si>
    <t>DEBT2EQUITY</t>
  </si>
  <si>
    <t>DEBTRATIO</t>
  </si>
  <si>
    <t>ICR</t>
  </si>
  <si>
    <t>ROE</t>
  </si>
  <si>
    <t>ROPE</t>
  </si>
  <si>
    <t>ROA</t>
  </si>
  <si>
    <t>PE</t>
  </si>
  <si>
    <t>YIELD</t>
  </si>
  <si>
    <t>BOOKVALUE</t>
  </si>
  <si>
    <t>PBV</t>
  </si>
  <si>
    <t>FCF</t>
  </si>
  <si>
    <t>UNLISTED</t>
  </si>
  <si>
    <t>INV.FUND</t>
  </si>
  <si>
    <t>DISCRIPTION</t>
  </si>
  <si>
    <t>1K</t>
  </si>
  <si>
    <t>Hyperlocal omni-channel grocery chain</t>
  </si>
  <si>
    <t>Shop-Kirana</t>
  </si>
  <si>
    <t>AfterShoot</t>
  </si>
  <si>
    <t>AI powered culling and editing software for photographers</t>
  </si>
  <si>
    <t>Actual</t>
  </si>
  <si>
    <t>Years</t>
  </si>
  <si>
    <t>Sales</t>
  </si>
  <si>
    <t>Profit</t>
  </si>
  <si>
    <t>NPM%</t>
  </si>
  <si>
    <t>TOTAL EQ</t>
  </si>
  <si>
    <t>Low Price</t>
  </si>
  <si>
    <t>High Price</t>
  </si>
  <si>
    <t>Low Pe</t>
  </si>
  <si>
    <t>High PE</t>
  </si>
  <si>
    <t>L_BV</t>
  </si>
  <si>
    <t>H_BV</t>
  </si>
  <si>
    <t>SEGMENT</t>
  </si>
  <si>
    <t>CASH FLOW CR</t>
  </si>
  <si>
    <t>SHIPSY</t>
  </si>
  <si>
    <t>Airblack</t>
  </si>
  <si>
    <t>An edtech company focused on creators</t>
  </si>
  <si>
    <t>FY_2002</t>
  </si>
  <si>
    <t>RECRUITMENT</t>
  </si>
  <si>
    <t>adda247</t>
  </si>
  <si>
    <t>Attentive</t>
  </si>
  <si>
    <t>An aerial intelligence start-up focusing on property insights</t>
  </si>
  <si>
    <t>FY_2003</t>
  </si>
  <si>
    <t>SHIKSHA</t>
  </si>
  <si>
    <t>EDUCATION</t>
  </si>
  <si>
    <t>Gramophone</t>
  </si>
  <si>
    <t>Bandhoo</t>
  </si>
  <si>
    <t>A tech solution to connect stakeholders in construction ecosystem</t>
  </si>
  <si>
    <t>FY_2004</t>
  </si>
  <si>
    <t>99 ACRE</t>
  </si>
  <si>
    <t>REALESTATE</t>
  </si>
  <si>
    <t>PRINTO</t>
  </si>
  <si>
    <t>Bulbul</t>
  </si>
  <si>
    <t>A video shopping app</t>
  </si>
  <si>
    <t>FY_2005</t>
  </si>
  <si>
    <t>JEEVANSATHI</t>
  </si>
  <si>
    <t>MARTIMONAL</t>
  </si>
  <si>
    <t>UNBOXROBOTIX</t>
  </si>
  <si>
    <t>DGV</t>
  </si>
  <si>
    <t>Neobank focussed on dairy farmers</t>
  </si>
  <si>
    <t>FY_2006</t>
  </si>
  <si>
    <t>LEGITQUEST</t>
  </si>
  <si>
    <t>FanClash</t>
  </si>
  <si>
    <t>Fantasy platform for e-sports</t>
  </si>
  <si>
    <t>IPO</t>
  </si>
  <si>
    <t>FY_2007</t>
  </si>
  <si>
    <t>DIVERSIFIED</t>
  </si>
  <si>
    <t>ATTENTIVE</t>
  </si>
  <si>
    <t>Firsthive</t>
  </si>
  <si>
    <t>Enterprise SaaS offering customer data platform</t>
  </si>
  <si>
    <t>FY_2008</t>
  </si>
  <si>
    <t>RAYIOT</t>
  </si>
  <si>
    <t>Ixigo</t>
  </si>
  <si>
    <t>Full stack OTA focused on next billion users</t>
  </si>
  <si>
    <t>FY_2009</t>
  </si>
  <si>
    <t>LUMIQ</t>
  </si>
  <si>
    <t>Lumiq</t>
  </si>
  <si>
    <t>AI/ML based enterprise SaaS platform focused on BFSI secto</t>
  </si>
  <si>
    <t>FY_2010</t>
  </si>
  <si>
    <t>STRINGBIO</t>
  </si>
  <si>
    <t>NextLeap</t>
  </si>
  <si>
    <t>Growth focused L&amp;D courses for experienced professionals</t>
  </si>
  <si>
    <t>Bonus 1:1</t>
  </si>
  <si>
    <t>FY_2011</t>
  </si>
  <si>
    <t>STRATEGIC. INV</t>
  </si>
  <si>
    <t>BRAINSIGHTAI</t>
  </si>
  <si>
    <t>NowPurchase</t>
  </si>
  <si>
    <t>A B2B foundry procurement and optimization platform</t>
  </si>
  <si>
    <t>FY_2012</t>
  </si>
  <si>
    <t>AISLE</t>
  </si>
  <si>
    <t>SKYLARKDRONES</t>
  </si>
  <si>
    <t>OneBanc</t>
  </si>
  <si>
    <t>A neo-bank focused on corporate employees</t>
  </si>
  <si>
    <t>FY_2013</t>
  </si>
  <si>
    <t>Zwayam</t>
  </si>
  <si>
    <t>SPLOOT</t>
  </si>
  <si>
    <t>Polymerize</t>
  </si>
  <si>
    <t>informatics SaaS start-up focused on polymers industry</t>
  </si>
  <si>
    <t>FY_2014</t>
  </si>
  <si>
    <t>DOSELECT</t>
  </si>
  <si>
    <t>VYUTI</t>
  </si>
  <si>
    <t>Quicksell</t>
  </si>
  <si>
    <t>Catalogue management SaaS enabling SMB digitization</t>
  </si>
  <si>
    <t>FY_2015</t>
  </si>
  <si>
    <t>TEALINDIA</t>
  </si>
  <si>
    <t>UBILFY</t>
  </si>
  <si>
    <t>Qyuki</t>
  </si>
  <si>
    <t>Digital creator focused platform for monetization of influencer led products</t>
  </si>
  <si>
    <t>FY_2016</t>
  </si>
  <si>
    <t>CODINGNINJA</t>
  </si>
  <si>
    <t>VLCC</t>
  </si>
  <si>
    <t>Rusk</t>
  </si>
  <si>
    <t>Digital media company targeting GenZ audience</t>
  </si>
  <si>
    <t>FY_2017</t>
  </si>
  <si>
    <t>NOPAPERFORMS</t>
  </si>
  <si>
    <t>SKYSERCE</t>
  </si>
  <si>
    <t>Skylark</t>
  </si>
  <si>
    <t>A drones company providing worksite intelligence for large infra cos</t>
  </si>
  <si>
    <t>FY_2018</t>
  </si>
  <si>
    <t>UNIVARIETY</t>
  </si>
  <si>
    <t>NEXTSTEM</t>
  </si>
  <si>
    <t>Tartan</t>
  </si>
  <si>
    <t>Consent-driven employment and income verification API</t>
  </si>
  <si>
    <t>FY_2019</t>
  </si>
  <si>
    <t>GREYTHR</t>
  </si>
  <si>
    <t>Udayy</t>
  </si>
  <si>
    <t>An edtech company focusing primarily on communication for kids</t>
  </si>
  <si>
    <t>FY_2020</t>
  </si>
  <si>
    <t>Yojak</t>
  </si>
  <si>
    <t>B2B e-commerce marketplace for finishing building materials</t>
  </si>
  <si>
    <t>FY_2021</t>
  </si>
  <si>
    <t>Zingbus</t>
  </si>
  <si>
    <t>App-based intercity bus ticket booking platform</t>
  </si>
  <si>
    <t>FY_2022</t>
  </si>
  <si>
    <t>FY_2023</t>
  </si>
  <si>
    <t>LOSS 52 CR</t>
  </si>
  <si>
    <t>TOTAL FIN.INV</t>
  </si>
  <si>
    <t>LOSS 490 CR</t>
  </si>
  <si>
    <t>3400 CR</t>
  </si>
  <si>
    <t>FY_2024</t>
  </si>
  <si>
    <t>FY_2025</t>
  </si>
  <si>
    <t>Split 10:2</t>
  </si>
  <si>
    <t>Tr.FY_26</t>
  </si>
  <si>
    <t>15 Years</t>
  </si>
  <si>
    <t>10 Years</t>
  </si>
  <si>
    <t>5 Years</t>
  </si>
  <si>
    <t>CYear</t>
  </si>
  <si>
    <t>Trend</t>
  </si>
  <si>
    <t>H1_FY_25</t>
  </si>
  <si>
    <t>9M_FY_25</t>
  </si>
  <si>
    <t>FY_25</t>
  </si>
  <si>
    <t>Q1_FY_26</t>
  </si>
  <si>
    <t>EST_FY26</t>
  </si>
  <si>
    <t>Q2FY_25</t>
  </si>
  <si>
    <t>Q3FY_25</t>
  </si>
  <si>
    <t>Q4FY_25</t>
  </si>
  <si>
    <t>Q1FY_26</t>
  </si>
  <si>
    <t>FY_26</t>
  </si>
  <si>
    <t>EPS_25</t>
  </si>
  <si>
    <t>T_EPS</t>
  </si>
  <si>
    <t>F_EPS_26</t>
  </si>
  <si>
    <t>PEG</t>
  </si>
  <si>
    <t>PE_25</t>
  </si>
  <si>
    <t>F_PE</t>
  </si>
  <si>
    <t>Margin</t>
  </si>
  <si>
    <t>RESULT</t>
  </si>
  <si>
    <t>COST</t>
  </si>
  <si>
    <t>Q1_FY26</t>
  </si>
  <si>
    <t>Q1_FY25</t>
  </si>
  <si>
    <t>Q4_FY25</t>
  </si>
  <si>
    <t>Q4_FY24</t>
  </si>
  <si>
    <t>FY25</t>
  </si>
  <si>
    <t>FY24</t>
  </si>
  <si>
    <t>SHARE</t>
  </si>
  <si>
    <t>EMPLOYEE</t>
  </si>
  <si>
    <t>ADVERTISING</t>
  </si>
  <si>
    <t>99ACRES</t>
  </si>
  <si>
    <t>FINANCE</t>
  </si>
  <si>
    <t>OTHER EXP</t>
  </si>
  <si>
    <t>OTHERS</t>
  </si>
  <si>
    <t>EBITDA</t>
  </si>
  <si>
    <t>D&amp;A</t>
  </si>
  <si>
    <t>NETWORK, INTERNET</t>
  </si>
  <si>
    <t>EBITDA %</t>
  </si>
  <si>
    <t>MARGIN</t>
  </si>
  <si>
    <t>BOOVALUE</t>
  </si>
  <si>
    <t>SHP</t>
  </si>
  <si>
    <t>FY_07 (PO_IPO)</t>
  </si>
  <si>
    <t>FY_22</t>
  </si>
  <si>
    <t>CYEAR</t>
  </si>
  <si>
    <t>PROMOTER</t>
  </si>
  <si>
    <t>Long Term</t>
  </si>
  <si>
    <t>MF, AIF, INSURANCE, INST</t>
  </si>
  <si>
    <t>FPI</t>
  </si>
  <si>
    <t>Expectation</t>
  </si>
  <si>
    <t>Low Price Range</t>
  </si>
  <si>
    <t>FairPrice@EPS</t>
  </si>
  <si>
    <t>HIgh Price Range</t>
  </si>
  <si>
    <t>FairPrice@PBV</t>
  </si>
  <si>
    <t>Blended Fairvalue</t>
  </si>
  <si>
    <t>RETAIL</t>
  </si>
  <si>
    <t>SPLIT 10:2</t>
  </si>
  <si>
    <t>FY_2026</t>
  </si>
  <si>
    <t>FY_2030</t>
  </si>
  <si>
    <t>FY_2035</t>
  </si>
  <si>
    <t>Company</t>
  </si>
  <si>
    <t>Price</t>
  </si>
  <si>
    <t>STR. WEIGHTAGE</t>
  </si>
  <si>
    <t>FACTOR</t>
  </si>
  <si>
    <t>TECH. WEIGHT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</si>
</sst>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#,##0.0"/>
  </numFmts>
  <fonts count="17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rgb="FF000000"/>
      <name val="Calibri"/>
    </font>
    <font>
      <sz val="11"/>
      <color rgb="FFFFFFFF"/>
      <name val="Calibri"/>
    </font>
    <font>
      <sz val="11"/>
      <color theme="1"/>
      <name val="Calibri"/>
    </font>
    <font>
      <sz val="11"/>
      <color rgb="FF000000"/>
      <name val="Arial"/>
    </font>
    <font>
      <b/>
      <i/>
      <sz val="11"/>
      <color rgb="FFFFFFFF"/>
      <name val="Calibri"/>
      <scheme val="minor"/>
    </font>
    <font>
      <sz val="11"/>
      <color rgb="FFFFFFFF"/>
      <name val="Calibri"/>
      <scheme val="minor"/>
    </font>
    <font>
      <sz val="11"/>
      <color theme="0"/>
      <name val="Calibri"/>
      <scheme val="minor"/>
    </font>
    <font>
      <i/>
      <sz val="11"/>
      <color rgb="FF000000"/>
      <name val="Calibri"/>
      <scheme val="minor"/>
    </font>
    <font>
      <sz val="11"/>
      <color rgb="FF000000"/>
      <name val="Calibri"/>
      <scheme val="minor"/>
    </font>
    <font>
      <b/>
      <i/>
      <sz val="11"/>
      <color theme="1"/>
      <name val="Calibri"/>
      <scheme val="minor"/>
    </font>
    <font>
      <b/>
      <sz val="11"/>
      <color theme="1"/>
      <name val="Calibri"/>
      <scheme val="minor"/>
    </font>
    <font>
      <sz val="29"/>
      <color theme="1"/>
      <name val="Calibri"/>
      <scheme val="minor"/>
    </font>
    <font>
      <sz val="11"/>
      <name val="Calibri"/>
    </font>
    <font>
      <b/>
      <sz val="11"/>
      <color rgb="FFFFFFFF"/>
      <name val="Calibri"/>
      <scheme val="minor"/>
    </font>
    <font>
      <sz val="11"/>
      <color theme="1"/>
      <name val="Arial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4F81BD"/>
        <bgColor rgb="FF4F81BD"/>
      </patternFill>
    </fill>
    <fill>
      <patternFill patternType="solid">
        <fgColor theme="0"/>
        <bgColor theme="0"/>
      </patternFill>
    </fill>
    <fill>
      <patternFill patternType="solid">
        <fgColor rgb="FF1C4587"/>
        <bgColor rgb="FF1C4587"/>
      </patternFill>
    </fill>
    <fill>
      <patternFill patternType="solid">
        <fgColor rgb="FFB7B7B7"/>
        <bgColor rgb="FFB7B7B7"/>
      </patternFill>
    </fill>
    <fill>
      <patternFill patternType="solid">
        <fgColor rgb="FFCCCCCC"/>
        <bgColor rgb="FFCCCCCC"/>
      </patternFill>
    </fill>
    <fill>
      <patternFill patternType="solid">
        <fgColor theme="4"/>
        <bgColor theme="4"/>
      </patternFill>
    </fill>
    <fill>
      <patternFill patternType="solid">
        <fgColor rgb="FFBAE3CF"/>
        <bgColor rgb="FFBAE3CF"/>
      </patternFill>
    </fill>
    <fill>
      <patternFill patternType="solid">
        <fgColor rgb="FFD9D9D9"/>
        <bgColor rgb="FFD9D9D9"/>
      </patternFill>
    </fill>
    <fill>
      <patternFill patternType="solid">
        <fgColor rgb="FF84CEAA"/>
        <bgColor rgb="FF84CEAA"/>
      </patternFill>
    </fill>
  </fills>
  <borders count="8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3" fillId="3" borderId="1" xfId="0" applyFont="1" applyFill="1" applyBorder="1"/>
    <xf numFmtId="0" fontId="0" fillId="4" borderId="0" xfId="0" applyFill="1"/>
    <xf numFmtId="0" fontId="3" fillId="3" borderId="2" xfId="0" applyFont="1" applyFill="1" applyBorder="1"/>
    <xf numFmtId="0" fontId="1" fillId="0" borderId="0" xfId="0" applyFont="1"/>
    <xf numFmtId="1" fontId="4" fillId="0" borderId="2" xfId="0" applyNumberFormat="1" applyFont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4" fontId="5" fillId="0" borderId="2" xfId="0" applyNumberFormat="1" applyFont="1" applyBorder="1" applyAlignment="1">
      <alignment horizontal="center"/>
    </xf>
    <xf numFmtId="0" fontId="0" fillId="4" borderId="2" xfId="0" applyFill="1" applyBorder="1"/>
    <xf numFmtId="0" fontId="1" fillId="0" borderId="2" xfId="0" applyFont="1" applyBorder="1"/>
    <xf numFmtId="0" fontId="6" fillId="5" borderId="2" xfId="0" applyFont="1" applyFill="1" applyBorder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1" fontId="1" fillId="0" borderId="2" xfId="0" applyNumberFormat="1" applyFont="1" applyBorder="1"/>
    <xf numFmtId="9" fontId="0" fillId="0" borderId="2" xfId="0" applyNumberFormat="1" applyBorder="1" applyAlignment="1">
      <alignment horizontal="right"/>
    </xf>
    <xf numFmtId="1" fontId="0" fillId="4" borderId="0" xfId="0" applyNumberFormat="1" applyFill="1"/>
    <xf numFmtId="9" fontId="2" fillId="0" borderId="2" xfId="0" applyNumberFormat="1" applyFont="1" applyBorder="1" applyAlignment="1">
      <alignment horizontal="center"/>
    </xf>
    <xf numFmtId="0" fontId="2" fillId="0" borderId="0" xfId="0" applyFont="1"/>
    <xf numFmtId="1" fontId="1" fillId="0" borderId="0" xfId="0" applyNumberFormat="1" applyFont="1"/>
    <xf numFmtId="0" fontId="3" fillId="3" borderId="0" xfId="0" applyFont="1" applyFill="1"/>
    <xf numFmtId="9" fontId="2" fillId="0" borderId="0" xfId="0" applyNumberFormat="1" applyFont="1"/>
    <xf numFmtId="1" fontId="3" fillId="3" borderId="1" xfId="0" applyNumberFormat="1" applyFont="1" applyFill="1" applyBorder="1"/>
    <xf numFmtId="164" fontId="3" fillId="3" borderId="1" xfId="0" applyNumberFormat="1" applyFont="1" applyFill="1" applyBorder="1"/>
    <xf numFmtId="9" fontId="5" fillId="6" borderId="3" xfId="0" applyNumberFormat="1" applyFont="1" applyFill="1" applyBorder="1" applyAlignment="1">
      <alignment horizontal="right"/>
    </xf>
    <xf numFmtId="9" fontId="5" fillId="6" borderId="4" xfId="0" applyNumberFormat="1" applyFont="1" applyFill="1" applyBorder="1" applyAlignment="1">
      <alignment horizontal="right"/>
    </xf>
    <xf numFmtId="1" fontId="5" fillId="6" borderId="4" xfId="0" applyNumberFormat="1" applyFont="1" applyFill="1" applyBorder="1" applyAlignment="1">
      <alignment horizontal="right"/>
    </xf>
    <xf numFmtId="3" fontId="5" fillId="6" borderId="4" xfId="0" applyNumberFormat="1" applyFont="1" applyFill="1" applyBorder="1" applyAlignment="1">
      <alignment horizontal="right"/>
    </xf>
    <xf numFmtId="164" fontId="5" fillId="6" borderId="4" xfId="0" applyNumberFormat="1" applyFont="1" applyFill="1" applyBorder="1" applyAlignment="1">
      <alignment horizontal="right"/>
    </xf>
    <xf numFmtId="165" fontId="5" fillId="6" borderId="4" xfId="0" applyNumberFormat="1" applyFont="1" applyFill="1" applyBorder="1" applyAlignment="1">
      <alignment horizontal="right"/>
    </xf>
    <xf numFmtId="1" fontId="2" fillId="7" borderId="0" xfId="0" applyNumberFormat="1" applyFont="1" applyFill="1"/>
    <xf numFmtId="9" fontId="1" fillId="0" borderId="0" xfId="0" applyNumberFormat="1" applyFont="1"/>
    <xf numFmtId="0" fontId="7" fillId="8" borderId="5" xfId="0" applyFont="1" applyFill="1" applyBorder="1"/>
    <xf numFmtId="0" fontId="8" fillId="8" borderId="2" xfId="0" applyFont="1" applyFill="1" applyBorder="1" applyAlignment="1">
      <alignment horizontal="left"/>
    </xf>
    <xf numFmtId="0" fontId="8" fillId="8" borderId="2" xfId="0" applyFont="1" applyFill="1" applyBorder="1"/>
    <xf numFmtId="0" fontId="7" fillId="8" borderId="2" xfId="0" applyFont="1" applyFill="1" applyBorder="1"/>
    <xf numFmtId="9" fontId="1" fillId="0" borderId="2" xfId="0" applyNumberFormat="1" applyFont="1" applyBorder="1"/>
    <xf numFmtId="0" fontId="0" fillId="4" borderId="2" xfId="0" applyFill="1" applyBorder="1" applyAlignment="1">
      <alignment horizontal="left"/>
    </xf>
    <xf numFmtId="164" fontId="0" fillId="4" borderId="2" xfId="0" applyNumberFormat="1" applyFill="1" applyBorder="1"/>
    <xf numFmtId="9" fontId="9" fillId="4" borderId="2" xfId="0" applyNumberFormat="1" applyFont="1" applyFill="1" applyBorder="1"/>
    <xf numFmtId="0" fontId="0" fillId="0" borderId="2" xfId="0" applyBorder="1" applyAlignment="1">
      <alignment horizontal="right"/>
    </xf>
    <xf numFmtId="1" fontId="0" fillId="4" borderId="2" xfId="0" applyNumberFormat="1" applyFill="1" applyBorder="1"/>
    <xf numFmtId="3" fontId="0" fillId="0" borderId="2" xfId="0" applyNumberFormat="1" applyBorder="1" applyAlignment="1">
      <alignment horizontal="right"/>
    </xf>
    <xf numFmtId="10" fontId="1" fillId="0" borderId="2" xfId="0" applyNumberFormat="1" applyFont="1" applyBorder="1"/>
    <xf numFmtId="164" fontId="1" fillId="0" borderId="2" xfId="0" applyNumberFormat="1" applyFont="1" applyBorder="1"/>
    <xf numFmtId="9" fontId="10" fillId="0" borderId="2" xfId="0" applyNumberFormat="1" applyFont="1" applyBorder="1"/>
    <xf numFmtId="0" fontId="11" fillId="0" borderId="6" xfId="0" applyFont="1" applyBorder="1"/>
    <xf numFmtId="1" fontId="11" fillId="0" borderId="6" xfId="0" applyNumberFormat="1" applyFont="1" applyBorder="1"/>
    <xf numFmtId="0" fontId="12" fillId="0" borderId="6" xfId="0" applyFont="1" applyBorder="1"/>
    <xf numFmtId="4" fontId="1" fillId="0" borderId="2" xfId="0" applyNumberFormat="1" applyFont="1" applyBorder="1"/>
    <xf numFmtId="9" fontId="0" fillId="4" borderId="2" xfId="0" applyNumberFormat="1" applyFill="1" applyBorder="1"/>
    <xf numFmtId="3" fontId="0" fillId="4" borderId="2" xfId="0" applyNumberFormat="1" applyFill="1" applyBorder="1"/>
    <xf numFmtId="166" fontId="0" fillId="4" borderId="2" xfId="0" applyNumberFormat="1" applyFill="1" applyBorder="1"/>
    <xf numFmtId="0" fontId="8" fillId="4" borderId="0" xfId="0" applyFont="1" applyFill="1"/>
    <xf numFmtId="9" fontId="0" fillId="4" borderId="0" xfId="0" applyNumberFormat="1" applyFill="1"/>
    <xf numFmtId="2" fontId="0" fillId="4" borderId="0" xfId="0" applyNumberFormat="1" applyFill="1"/>
    <xf numFmtId="164" fontId="1" fillId="0" borderId="0" xfId="0" applyNumberFormat="1" applyFont="1"/>
    <xf numFmtId="0" fontId="7" fillId="8" borderId="2" xfId="0" applyFont="1" applyFill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164" fontId="13" fillId="0" borderId="5" xfId="0" applyNumberFormat="1" applyFont="1" applyBorder="1" applyAlignment="1">
      <alignment horizontal="center" vertical="center"/>
    </xf>
    <xf numFmtId="1" fontId="7" fillId="8" borderId="2" xfId="0" applyNumberFormat="1" applyFont="1" applyFill="1" applyBorder="1" applyAlignment="1">
      <alignment horizontal="center"/>
    </xf>
    <xf numFmtId="0" fontId="14" fillId="0" borderId="7" xfId="0" applyFont="1" applyBorder="1"/>
    <xf numFmtId="0" fontId="14" fillId="0" borderId="3" xfId="0" applyFont="1" applyBorder="1"/>
    <xf numFmtId="10" fontId="1" fillId="0" borderId="0" xfId="0" applyNumberFormat="1" applyFont="1"/>
    <xf numFmtId="165" fontId="1" fillId="0" borderId="0" xfId="0" applyNumberFormat="1" applyFont="1"/>
    <xf numFmtId="0" fontId="10" fillId="0" borderId="2" xfId="0" applyFont="1" applyBorder="1"/>
    <xf numFmtId="0" fontId="11" fillId="0" borderId="2" xfId="0" applyFont="1" applyBorder="1"/>
    <xf numFmtId="9" fontId="11" fillId="4" borderId="2" xfId="0" applyNumberFormat="1" applyFont="1" applyFill="1" applyBorder="1"/>
    <xf numFmtId="10" fontId="0" fillId="4" borderId="0" xfId="0" applyNumberFormat="1" applyFill="1"/>
    <xf numFmtId="164" fontId="0" fillId="4" borderId="0" xfId="0" applyNumberFormat="1" applyFill="1"/>
    <xf numFmtId="0" fontId="11" fillId="4" borderId="2" xfId="0" applyFont="1" applyFill="1" applyBorder="1"/>
    <xf numFmtId="1" fontId="11" fillId="4" borderId="2" xfId="0" applyNumberFormat="1" applyFont="1" applyFill="1" applyBorder="1"/>
    <xf numFmtId="9" fontId="11" fillId="0" borderId="2" xfId="0" applyNumberFormat="1" applyFont="1" applyBorder="1"/>
    <xf numFmtId="3" fontId="1" fillId="0" borderId="2" xfId="0" applyNumberFormat="1" applyFont="1" applyBorder="1"/>
    <xf numFmtId="166" fontId="1" fillId="0" borderId="2" xfId="0" applyNumberFormat="1" applyFont="1" applyBorder="1"/>
    <xf numFmtId="3" fontId="0" fillId="4" borderId="0" xfId="0" applyNumberFormat="1" applyFill="1"/>
    <xf numFmtId="0" fontId="15" fillId="8" borderId="2" xfId="0" applyFont="1" applyFill="1" applyBorder="1" applyAlignment="1">
      <alignment horizontal="left"/>
    </xf>
    <xf numFmtId="1" fontId="16" fillId="9" borderId="2" xfId="0" applyNumberFormat="1" applyFont="1" applyFill="1" applyBorder="1" applyAlignment="1">
      <alignment horizontal="right"/>
    </xf>
    <xf numFmtId="1" fontId="16" fillId="10" borderId="2" xfId="0" applyNumberFormat="1" applyFont="1" applyFill="1" applyBorder="1" applyAlignment="1">
      <alignment horizontal="right"/>
    </xf>
    <xf numFmtId="3" fontId="16" fillId="10" borderId="2" xfId="0" applyNumberFormat="1" applyFont="1" applyFill="1" applyBorder="1" applyAlignment="1">
      <alignment horizontal="right"/>
    </xf>
    <xf numFmtId="9" fontId="12" fillId="4" borderId="2" xfId="0" applyNumberFormat="1" applyFont="1" applyFill="1" applyBorder="1"/>
    <xf numFmtId="0" fontId="0" fillId="2" borderId="0" xfId="0" applyFill="1"/>
    <xf numFmtId="1" fontId="4" fillId="0" borderId="2" xfId="0" applyNumberFormat="1" applyFont="1" applyBorder="1" applyAlignment="1">
      <alignment horizontal="right"/>
    </xf>
    <xf numFmtId="10" fontId="16" fillId="11" borderId="2" xfId="0" applyNumberFormat="1" applyFont="1" applyFill="1" applyBorder="1" applyAlignment="1">
      <alignment horizontal="right"/>
    </xf>
    <xf numFmtId="2" fontId="4" fillId="0" borderId="2" xfId="0" applyNumberFormat="1" applyFont="1" applyBorder="1" applyAlignment="1">
      <alignment horizontal="right"/>
    </xf>
    <xf numFmtId="10" fontId="16" fillId="0" borderId="2" xfId="0" applyNumberFormat="1" applyFont="1" applyBorder="1" applyAlignment="1">
      <alignment horizontal="right"/>
    </xf>
    <xf numFmtId="165" fontId="0" fillId="4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72</xdr:row>
      <xdr:rowOff>180975</xdr:rowOff>
    </xdr:from>
    <xdr:ext cx="9267825" cy="42005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FF6F5A0E-2657-436E-8733-6AAF8550E1C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34365" y="14247495"/>
          <a:ext cx="9267825" cy="42005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C44DA-A74F-4687-ACF4-A258F20C5902}">
  <dimension ref="A1:AF1004"/>
  <sheetViews>
    <sheetView showGridLines="0" tabSelected="1" workbookViewId="0"/>
  </sheetViews>
  <sheetFormatPr defaultColWidth="14.44140625" defaultRowHeight="15" customHeight="1"/>
  <cols>
    <col min="1" max="1" width="9.109375" customWidth="1"/>
    <col min="2" max="2" width="16.6640625" customWidth="1"/>
    <col min="3" max="4" width="9.109375" customWidth="1"/>
    <col min="5" max="5" width="9.88671875" customWidth="1"/>
    <col min="6" max="7" width="11.88671875" customWidth="1"/>
    <col min="8" max="8" width="9.109375" customWidth="1"/>
    <col min="9" max="9" width="13.33203125" customWidth="1"/>
    <col min="10" max="16" width="9.109375" customWidth="1"/>
    <col min="17" max="17" width="10.5546875" customWidth="1"/>
    <col min="18" max="18" width="16.6640625" customWidth="1"/>
    <col min="19" max="19" width="14.6640625" customWidth="1"/>
    <col min="20" max="20" width="14" customWidth="1"/>
    <col min="21" max="21" width="8.6640625" customWidth="1"/>
    <col min="22" max="22" width="16.6640625" customWidth="1"/>
    <col min="23" max="23" width="19.44140625" customWidth="1"/>
    <col min="24" max="24" width="11.6640625" customWidth="1"/>
    <col min="25" max="25" width="8.6640625" customWidth="1"/>
    <col min="26" max="26" width="9.6640625" customWidth="1"/>
    <col min="27" max="27" width="14.44140625" customWidth="1"/>
    <col min="28" max="32" width="8.6640625" customWidth="1"/>
  </cols>
  <sheetData>
    <row r="1" spans="1:32" ht="14.4">
      <c r="A1" s="1"/>
      <c r="B1" s="2"/>
      <c r="D1" s="1"/>
      <c r="E1" s="3" t="s">
        <v>0</v>
      </c>
      <c r="F1" s="1"/>
      <c r="G1" s="1"/>
      <c r="H1" s="3" t="s">
        <v>1</v>
      </c>
      <c r="I1" s="1"/>
      <c r="J1" s="1"/>
      <c r="K1" s="1"/>
      <c r="L1" s="1"/>
      <c r="M1" s="1"/>
      <c r="N1" s="1"/>
      <c r="O1" s="1"/>
      <c r="P1" s="1"/>
      <c r="Q1" s="1"/>
      <c r="R1" s="3" t="s">
        <v>2</v>
      </c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pans="1:32" ht="14.4">
      <c r="A2" s="1"/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5" t="s">
        <v>8</v>
      </c>
      <c r="H2" s="5" t="s">
        <v>9</v>
      </c>
      <c r="I2" s="5" t="s">
        <v>10</v>
      </c>
      <c r="J2" s="5" t="s">
        <v>11</v>
      </c>
      <c r="K2" s="5" t="s">
        <v>12</v>
      </c>
      <c r="L2" s="5" t="s">
        <v>13</v>
      </c>
      <c r="M2" s="5" t="s">
        <v>14</v>
      </c>
      <c r="N2" s="5" t="s">
        <v>15</v>
      </c>
      <c r="O2" s="5" t="s">
        <v>16</v>
      </c>
      <c r="P2" s="5" t="s">
        <v>17</v>
      </c>
      <c r="Q2" s="5" t="s">
        <v>18</v>
      </c>
      <c r="R2" s="5" t="s">
        <v>19</v>
      </c>
      <c r="S2" s="5" t="s">
        <v>20</v>
      </c>
      <c r="T2" s="5" t="s">
        <v>21</v>
      </c>
      <c r="U2" s="5" t="s">
        <v>22</v>
      </c>
      <c r="Y2" s="4"/>
      <c r="Z2" s="6" t="s">
        <v>23</v>
      </c>
      <c r="AA2" s="4"/>
      <c r="AB2" s="4"/>
      <c r="AC2" s="4"/>
      <c r="AD2" s="4"/>
      <c r="AE2" s="4"/>
      <c r="AF2" s="4"/>
    </row>
    <row r="3" spans="1:32" ht="14.4">
      <c r="A3" s="1"/>
      <c r="B3" s="5" t="s">
        <v>24</v>
      </c>
      <c r="C3" s="7">
        <f ca="1">IFERROR(__xludf.DUMMYFUNCTION("googlefinance(""NSE:""&amp;B3,""price"")"),1372.3)</f>
        <v>1372.3</v>
      </c>
      <c r="D3" s="8">
        <f ca="1">IFERROR(__xludf.DUMMYFUNCTION("GOOGLEFINANCE(""nse:""&amp;B3,""marketcap"")/10000000"),90626.5847077)</f>
        <v>90626.584707700007</v>
      </c>
      <c r="E3" s="9">
        <f t="shared" ref="E3:G3" si="0">D36</f>
        <v>2963</v>
      </c>
      <c r="F3" s="10">
        <f t="shared" si="0"/>
        <v>1394</v>
      </c>
      <c r="G3" s="11">
        <f t="shared" si="0"/>
        <v>15.84</v>
      </c>
      <c r="H3" s="10">
        <v>129</v>
      </c>
      <c r="I3" s="10">
        <v>34773</v>
      </c>
      <c r="J3" s="9">
        <v>1.2</v>
      </c>
      <c r="K3" s="9">
        <v>266</v>
      </c>
      <c r="L3" s="9">
        <v>10</v>
      </c>
      <c r="M3" s="10">
        <v>4447</v>
      </c>
      <c r="N3" s="10">
        <v>1731</v>
      </c>
      <c r="O3" s="10">
        <v>42771</v>
      </c>
      <c r="P3" s="10">
        <v>5954</v>
      </c>
      <c r="Q3" s="10">
        <v>13</v>
      </c>
      <c r="R3" s="12">
        <v>876</v>
      </c>
      <c r="S3" s="13">
        <v>-818</v>
      </c>
      <c r="T3" s="13">
        <v>-127</v>
      </c>
      <c r="U3" s="13">
        <f t="shared" ref="U3:U4" si="1">SUM(R3:T3)</f>
        <v>-69</v>
      </c>
      <c r="W3" s="14" t="s">
        <v>25</v>
      </c>
      <c r="X3" s="13" t="s">
        <v>26</v>
      </c>
      <c r="Y3" s="4"/>
      <c r="Z3" s="14" t="s">
        <v>27</v>
      </c>
      <c r="AA3" s="14" t="s">
        <v>28</v>
      </c>
      <c r="AB3" s="14" t="s">
        <v>29</v>
      </c>
      <c r="AC3" s="14" t="s">
        <v>30</v>
      </c>
      <c r="AD3" s="4"/>
      <c r="AE3" s="4"/>
      <c r="AF3" s="4"/>
    </row>
    <row r="4" spans="1:32" ht="14.4">
      <c r="A4" s="1"/>
      <c r="B4" s="15" t="s">
        <v>31</v>
      </c>
      <c r="C4" s="16">
        <v>1436</v>
      </c>
      <c r="D4" s="17">
        <f ca="1">(C4/5)*D3/C3</f>
        <v>18966.665545472159</v>
      </c>
      <c r="E4" s="16">
        <v>2849</v>
      </c>
      <c r="F4" s="16">
        <v>1310</v>
      </c>
      <c r="G4" s="16">
        <v>14.88</v>
      </c>
      <c r="H4" s="16">
        <v>129</v>
      </c>
      <c r="I4" s="16">
        <v>34773</v>
      </c>
      <c r="J4" s="16">
        <v>2.5</v>
      </c>
      <c r="K4" s="16">
        <v>244</v>
      </c>
      <c r="L4" s="16">
        <v>10</v>
      </c>
      <c r="M4" s="16">
        <v>4336</v>
      </c>
      <c r="N4" s="16">
        <v>1496</v>
      </c>
      <c r="O4" s="16">
        <v>36091</v>
      </c>
      <c r="P4" s="16">
        <v>4462</v>
      </c>
      <c r="Q4" s="16">
        <v>11</v>
      </c>
      <c r="R4" s="13">
        <v>702</v>
      </c>
      <c r="S4" s="13">
        <v>-852</v>
      </c>
      <c r="T4" s="13">
        <v>120</v>
      </c>
      <c r="U4" s="13">
        <f t="shared" si="1"/>
        <v>-30</v>
      </c>
      <c r="W4" s="14" t="s">
        <v>32</v>
      </c>
      <c r="X4" s="13" t="s">
        <v>33</v>
      </c>
      <c r="Z4" s="13" t="s">
        <v>34</v>
      </c>
      <c r="AA4" s="18">
        <v>575.79999999999995</v>
      </c>
      <c r="AB4" s="19">
        <v>0.12520000000000001</v>
      </c>
      <c r="AC4" s="20">
        <f>80861*AB4</f>
        <v>10123.797200000001</v>
      </c>
      <c r="AD4" s="4"/>
      <c r="AE4" s="4"/>
      <c r="AF4" s="4"/>
    </row>
    <row r="5" spans="1:32" ht="14.4">
      <c r="A5" s="1"/>
      <c r="B5" s="15"/>
      <c r="C5" s="21">
        <f ca="1">((C3*5)/C4)-1</f>
        <v>3.7782033426183848</v>
      </c>
      <c r="D5" s="21">
        <f t="shared" ref="D5:S5" ca="1" si="2">(D3/D4)-1</f>
        <v>3.7782033426183839</v>
      </c>
      <c r="E5" s="21">
        <f t="shared" si="2"/>
        <v>4.0014040014040075E-2</v>
      </c>
      <c r="F5" s="21">
        <f t="shared" si="2"/>
        <v>6.4122137404580171E-2</v>
      </c>
      <c r="G5" s="21">
        <f t="shared" si="2"/>
        <v>6.4516129032258007E-2</v>
      </c>
      <c r="H5" s="21">
        <f t="shared" si="2"/>
        <v>0</v>
      </c>
      <c r="I5" s="21">
        <f t="shared" si="2"/>
        <v>0</v>
      </c>
      <c r="J5" s="21">
        <f t="shared" si="2"/>
        <v>-0.52</v>
      </c>
      <c r="K5" s="21">
        <f t="shared" si="2"/>
        <v>9.0163934426229497E-2</v>
      </c>
      <c r="L5" s="21">
        <f t="shared" si="2"/>
        <v>0</v>
      </c>
      <c r="M5" s="21">
        <f t="shared" si="2"/>
        <v>2.5599630996310019E-2</v>
      </c>
      <c r="N5" s="21">
        <f t="shared" si="2"/>
        <v>0.15708556149732611</v>
      </c>
      <c r="O5" s="21">
        <f t="shared" si="2"/>
        <v>0.18508769499321165</v>
      </c>
      <c r="P5" s="21">
        <f t="shared" si="2"/>
        <v>0.33437920215150152</v>
      </c>
      <c r="Q5" s="21">
        <f t="shared" si="2"/>
        <v>0.18181818181818188</v>
      </c>
      <c r="R5" s="21">
        <f t="shared" si="2"/>
        <v>0.24786324786324787</v>
      </c>
      <c r="S5" s="21">
        <f t="shared" si="2"/>
        <v>-3.9906103286384997E-2</v>
      </c>
      <c r="T5" s="16" t="s">
        <v>35</v>
      </c>
      <c r="U5" s="21">
        <f>(U3/U4)-1</f>
        <v>1.2999999999999998</v>
      </c>
      <c r="W5" s="14" t="s">
        <v>36</v>
      </c>
      <c r="X5" s="13" t="s">
        <v>37</v>
      </c>
      <c r="Z5" s="12" t="s">
        <v>38</v>
      </c>
      <c r="AA5" s="18">
        <v>146.5</v>
      </c>
      <c r="AB5" s="19">
        <v>0.12429999999999999</v>
      </c>
      <c r="AC5" s="20">
        <f>230402*AB5</f>
        <v>28638.9686</v>
      </c>
      <c r="AD5" s="4"/>
      <c r="AE5" s="4"/>
      <c r="AF5" s="4"/>
    </row>
    <row r="6" spans="1:32" ht="14.4">
      <c r="A6" s="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Z6" s="6" t="s">
        <v>39</v>
      </c>
      <c r="AA6" s="23">
        <f>SUM(AA4:AA5)</f>
        <v>722.3</v>
      </c>
      <c r="AC6" s="23">
        <f>SUM(AC4:AC5)</f>
        <v>38762.765800000001</v>
      </c>
      <c r="AD6" s="4"/>
      <c r="AE6" s="4"/>
      <c r="AF6" s="4"/>
    </row>
    <row r="7" spans="1:32" ht="14.4">
      <c r="A7" s="1"/>
      <c r="B7" s="24" t="s">
        <v>40</v>
      </c>
      <c r="C7" s="22"/>
      <c r="D7" s="24" t="s">
        <v>41</v>
      </c>
      <c r="E7" s="25"/>
      <c r="F7" s="22"/>
      <c r="G7" s="24" t="s">
        <v>42</v>
      </c>
      <c r="H7" s="22"/>
      <c r="I7" s="22"/>
      <c r="J7" s="24" t="s">
        <v>43</v>
      </c>
      <c r="K7" s="22"/>
      <c r="L7" s="22"/>
      <c r="M7" s="24" t="s">
        <v>44</v>
      </c>
      <c r="N7" s="22"/>
      <c r="O7" s="22"/>
      <c r="P7" s="22"/>
      <c r="Q7" s="24" t="s">
        <v>2</v>
      </c>
      <c r="S7" s="4"/>
      <c r="Y7" s="4"/>
      <c r="Z7" s="4"/>
      <c r="AA7" s="4"/>
      <c r="AB7" s="4"/>
      <c r="AC7" s="4"/>
      <c r="AD7" s="4"/>
      <c r="AE7" s="4"/>
      <c r="AF7" s="4"/>
    </row>
    <row r="8" spans="1:32" ht="14.4">
      <c r="A8" s="1"/>
      <c r="B8" s="5" t="s">
        <v>45</v>
      </c>
      <c r="C8" s="3" t="s">
        <v>46</v>
      </c>
      <c r="D8" s="26" t="s">
        <v>47</v>
      </c>
      <c r="E8" s="27" t="s">
        <v>48</v>
      </c>
      <c r="F8" s="3" t="s">
        <v>49</v>
      </c>
      <c r="G8" s="3" t="s">
        <v>50</v>
      </c>
      <c r="H8" s="3" t="s">
        <v>51</v>
      </c>
      <c r="I8" s="3" t="s">
        <v>52</v>
      </c>
      <c r="J8" s="27" t="s">
        <v>53</v>
      </c>
      <c r="K8" s="26" t="s">
        <v>54</v>
      </c>
      <c r="L8" s="3" t="s">
        <v>55</v>
      </c>
      <c r="M8" s="26" t="s">
        <v>56</v>
      </c>
      <c r="N8" s="26" t="s">
        <v>57</v>
      </c>
      <c r="O8" s="3" t="s">
        <v>58</v>
      </c>
      <c r="P8" s="3" t="s">
        <v>59</v>
      </c>
      <c r="Q8" s="3" t="s">
        <v>60</v>
      </c>
      <c r="V8" s="6" t="s">
        <v>61</v>
      </c>
      <c r="W8" s="4"/>
      <c r="X8" s="4"/>
      <c r="Z8" s="14" t="s">
        <v>62</v>
      </c>
      <c r="AA8" s="14" t="s">
        <v>63</v>
      </c>
      <c r="AB8" s="6"/>
      <c r="AC8" s="4"/>
      <c r="AD8" s="4"/>
      <c r="AE8" s="4"/>
      <c r="AF8" s="4"/>
    </row>
    <row r="9" spans="1:32" ht="14.4">
      <c r="A9" s="1"/>
      <c r="B9" s="28">
        <f>E45</f>
        <v>0.12</v>
      </c>
      <c r="C9" s="29">
        <f>E46</f>
        <v>1.21</v>
      </c>
      <c r="D9" s="29">
        <f>C59</f>
        <v>0.4336283185840708</v>
      </c>
      <c r="E9" s="30">
        <f>M3/N3</f>
        <v>2.5690352397458116</v>
      </c>
      <c r="F9" s="31">
        <f>(Q3/E3)*365</f>
        <v>1.6014174822814715</v>
      </c>
      <c r="G9" s="29">
        <f>J3/I3</f>
        <v>3.4509533258562678E-5</v>
      </c>
      <c r="H9" s="29">
        <f>P3/O3</f>
        <v>0.13920647167473288</v>
      </c>
      <c r="I9" s="31">
        <f>C60</f>
        <v>33.428571428571431</v>
      </c>
      <c r="J9" s="29">
        <f>F3/I3</f>
        <v>4.0088574468696979E-2</v>
      </c>
      <c r="K9" s="32">
        <f>F3/H3</f>
        <v>10.806201550387597</v>
      </c>
      <c r="L9" s="29">
        <f>F3/O3</f>
        <v>3.2592176942320729E-2</v>
      </c>
      <c r="M9" s="32">
        <f ca="1">C3/G3</f>
        <v>86.63510101010101</v>
      </c>
      <c r="N9" s="33">
        <f ca="1">G3/C3</f>
        <v>1.1542665597901333E-2</v>
      </c>
      <c r="O9" s="30">
        <f>I3/(H3/L3)</f>
        <v>2695.5813953488373</v>
      </c>
      <c r="P9" s="32">
        <f ca="1">C3/O9</f>
        <v>0.50909239927529981</v>
      </c>
      <c r="Q9" s="34">
        <f>R3-82.3</f>
        <v>793.7</v>
      </c>
      <c r="V9" s="14" t="s">
        <v>27</v>
      </c>
      <c r="W9" s="14" t="s">
        <v>28</v>
      </c>
      <c r="X9" s="14" t="s">
        <v>29</v>
      </c>
      <c r="Z9" s="13" t="s">
        <v>64</v>
      </c>
      <c r="AA9" s="13" t="s">
        <v>65</v>
      </c>
      <c r="AB9" s="35"/>
      <c r="AC9" s="4"/>
      <c r="AD9" s="4"/>
      <c r="AE9" s="4"/>
      <c r="AF9" s="4"/>
    </row>
    <row r="10" spans="1:32" ht="14.4">
      <c r="A10" s="6"/>
      <c r="B10" s="6"/>
      <c r="C10" s="6"/>
      <c r="D10" s="6"/>
      <c r="E10" s="6"/>
      <c r="F10" s="6"/>
      <c r="G10" s="6"/>
      <c r="I10" s="6"/>
      <c r="J10" s="6"/>
      <c r="K10" s="6"/>
      <c r="L10" s="6"/>
      <c r="M10" s="6"/>
      <c r="N10" s="6"/>
      <c r="O10" s="23"/>
      <c r="P10" s="6"/>
      <c r="V10" s="13" t="s">
        <v>66</v>
      </c>
      <c r="W10" s="18">
        <v>127.2</v>
      </c>
      <c r="X10" s="19">
        <v>0.26140000000000002</v>
      </c>
      <c r="Z10" s="13" t="s">
        <v>67</v>
      </c>
      <c r="AA10" s="13" t="s">
        <v>68</v>
      </c>
      <c r="AB10" s="35"/>
      <c r="AC10" s="6"/>
      <c r="AD10" s="6"/>
      <c r="AE10" s="6"/>
      <c r="AF10" s="6"/>
    </row>
    <row r="11" spans="1:32" ht="14.4">
      <c r="A11" s="4"/>
      <c r="B11" s="36" t="s">
        <v>69</v>
      </c>
      <c r="C11" s="37" t="s">
        <v>70</v>
      </c>
      <c r="D11" s="38" t="s">
        <v>71</v>
      </c>
      <c r="E11" s="38" t="s">
        <v>72</v>
      </c>
      <c r="F11" s="38" t="s">
        <v>8</v>
      </c>
      <c r="G11" s="38" t="s">
        <v>73</v>
      </c>
      <c r="H11" s="39" t="s">
        <v>9</v>
      </c>
      <c r="I11" s="39" t="s">
        <v>74</v>
      </c>
      <c r="J11" s="39" t="s">
        <v>58</v>
      </c>
      <c r="K11" s="38" t="s">
        <v>75</v>
      </c>
      <c r="L11" s="38" t="s">
        <v>76</v>
      </c>
      <c r="M11" s="38" t="s">
        <v>77</v>
      </c>
      <c r="N11" s="38" t="s">
        <v>78</v>
      </c>
      <c r="O11" s="39" t="s">
        <v>79</v>
      </c>
      <c r="P11" s="39" t="s">
        <v>80</v>
      </c>
      <c r="R11" s="14" t="s">
        <v>25</v>
      </c>
      <c r="S11" s="14" t="s">
        <v>81</v>
      </c>
      <c r="T11" s="14" t="s">
        <v>82</v>
      </c>
      <c r="V11" s="13" t="s">
        <v>83</v>
      </c>
      <c r="W11" s="18">
        <v>68.400000000000006</v>
      </c>
      <c r="X11" s="40">
        <v>0.22559999999999999</v>
      </c>
      <c r="Z11" s="13" t="s">
        <v>84</v>
      </c>
      <c r="AA11" s="13" t="s">
        <v>85</v>
      </c>
      <c r="AB11" s="35"/>
      <c r="AC11" s="6"/>
      <c r="AD11" s="6"/>
      <c r="AE11" s="6"/>
      <c r="AF11" s="6"/>
    </row>
    <row r="12" spans="1:32" ht="14.4">
      <c r="A12" s="4"/>
      <c r="B12" s="12"/>
      <c r="C12" s="41" t="s">
        <v>86</v>
      </c>
      <c r="D12" s="12">
        <v>4</v>
      </c>
      <c r="E12" s="12">
        <v>-3.3</v>
      </c>
      <c r="F12" s="42"/>
      <c r="G12" s="43">
        <f t="shared" ref="G12:G32" si="3">E12/D12</f>
        <v>-0.82499999999999996</v>
      </c>
      <c r="H12" s="13"/>
      <c r="I12" s="12"/>
      <c r="K12" s="12"/>
      <c r="L12" s="12"/>
      <c r="M12" s="12"/>
      <c r="N12" s="12"/>
      <c r="O12" s="13"/>
      <c r="P12" s="13"/>
      <c r="R12" s="12" t="s">
        <v>24</v>
      </c>
      <c r="S12" s="12" t="s">
        <v>87</v>
      </c>
      <c r="T12" s="44">
        <v>1344</v>
      </c>
      <c r="V12" s="13" t="s">
        <v>88</v>
      </c>
      <c r="W12" s="18">
        <v>144.19999999999999</v>
      </c>
      <c r="X12" s="19">
        <v>0.25879999999999997</v>
      </c>
      <c r="Z12" s="13" t="s">
        <v>89</v>
      </c>
      <c r="AA12" s="13" t="s">
        <v>90</v>
      </c>
      <c r="AB12" s="35"/>
      <c r="AC12" s="6"/>
      <c r="AD12" s="6"/>
      <c r="AE12" s="6"/>
      <c r="AF12" s="6"/>
    </row>
    <row r="13" spans="1:32" ht="14.4">
      <c r="A13" s="4"/>
      <c r="B13" s="12"/>
      <c r="C13" s="41" t="s">
        <v>91</v>
      </c>
      <c r="D13" s="12">
        <v>9</v>
      </c>
      <c r="E13" s="12">
        <v>-1.6</v>
      </c>
      <c r="F13" s="42"/>
      <c r="G13" s="43">
        <f t="shared" si="3"/>
        <v>-0.17777777777777778</v>
      </c>
      <c r="H13" s="13"/>
      <c r="I13" s="12"/>
      <c r="K13" s="12"/>
      <c r="L13" s="12"/>
      <c r="M13" s="12"/>
      <c r="N13" s="12"/>
      <c r="O13" s="13"/>
      <c r="P13" s="12"/>
      <c r="R13" s="13" t="s">
        <v>92</v>
      </c>
      <c r="S13" s="13" t="s">
        <v>93</v>
      </c>
      <c r="T13" s="44">
        <v>26</v>
      </c>
      <c r="V13" s="13" t="s">
        <v>94</v>
      </c>
      <c r="W13" s="18">
        <v>42.5</v>
      </c>
      <c r="X13" s="19">
        <v>0.43440000000000001</v>
      </c>
      <c r="Z13" s="13" t="s">
        <v>95</v>
      </c>
      <c r="AA13" s="13" t="s">
        <v>96</v>
      </c>
      <c r="AB13" s="35"/>
      <c r="AC13" s="6"/>
      <c r="AD13" s="6"/>
      <c r="AE13" s="6"/>
      <c r="AF13" s="6"/>
    </row>
    <row r="14" spans="1:32" ht="15.75" customHeight="1">
      <c r="A14" s="4"/>
      <c r="B14" s="12"/>
      <c r="C14" s="41" t="s">
        <v>97</v>
      </c>
      <c r="D14" s="12">
        <v>19</v>
      </c>
      <c r="E14" s="12">
        <v>0.8</v>
      </c>
      <c r="F14" s="42"/>
      <c r="G14" s="43">
        <f t="shared" si="3"/>
        <v>4.2105263157894736E-2</v>
      </c>
      <c r="H14" s="13"/>
      <c r="I14" s="12"/>
      <c r="K14" s="12"/>
      <c r="L14" s="12"/>
      <c r="M14" s="12"/>
      <c r="N14" s="12"/>
      <c r="O14" s="13"/>
      <c r="P14" s="12"/>
      <c r="R14" s="13" t="s">
        <v>98</v>
      </c>
      <c r="S14" s="13" t="s">
        <v>99</v>
      </c>
      <c r="T14" s="44">
        <v>2</v>
      </c>
      <c r="V14" s="13" t="s">
        <v>100</v>
      </c>
      <c r="W14" s="18">
        <v>37.799999999999997</v>
      </c>
      <c r="X14" s="40">
        <v>0.32800000000000001</v>
      </c>
      <c r="Y14" s="35"/>
      <c r="Z14" s="13" t="s">
        <v>101</v>
      </c>
      <c r="AA14" s="13" t="s">
        <v>102</v>
      </c>
      <c r="AB14" s="35"/>
      <c r="AC14" s="4"/>
      <c r="AD14" s="4"/>
      <c r="AE14" s="4"/>
      <c r="AF14" s="4"/>
    </row>
    <row r="15" spans="1:32" ht="15.75" customHeight="1">
      <c r="A15" s="4"/>
      <c r="B15" s="12"/>
      <c r="C15" s="41" t="s">
        <v>103</v>
      </c>
      <c r="D15" s="12">
        <v>45</v>
      </c>
      <c r="E15" s="12">
        <v>-0.01</v>
      </c>
      <c r="F15" s="42"/>
      <c r="G15" s="43">
        <f t="shared" si="3"/>
        <v>-2.2222222222222223E-4</v>
      </c>
      <c r="H15" s="13"/>
      <c r="I15" s="12"/>
      <c r="K15" s="12"/>
      <c r="L15" s="12"/>
      <c r="M15" s="12"/>
      <c r="N15" s="12"/>
      <c r="O15" s="13"/>
      <c r="P15" s="12"/>
      <c r="R15" s="13" t="s">
        <v>104</v>
      </c>
      <c r="S15" s="13" t="s">
        <v>105</v>
      </c>
      <c r="T15" s="44">
        <v>-8</v>
      </c>
      <c r="V15" s="13" t="s">
        <v>106</v>
      </c>
      <c r="W15" s="18">
        <v>11.6</v>
      </c>
      <c r="X15" s="40">
        <v>5.7000000000000002E-2</v>
      </c>
      <c r="Z15" s="13" t="s">
        <v>107</v>
      </c>
      <c r="AA15" s="13" t="s">
        <v>108</v>
      </c>
      <c r="AC15" s="4"/>
      <c r="AD15" s="4"/>
      <c r="AE15" s="4"/>
      <c r="AF15" s="4"/>
    </row>
    <row r="16" spans="1:32" ht="15.75" customHeight="1">
      <c r="A16" s="4"/>
      <c r="B16" s="12"/>
      <c r="C16" s="41" t="s">
        <v>109</v>
      </c>
      <c r="D16" s="12">
        <v>84</v>
      </c>
      <c r="E16" s="12">
        <v>10</v>
      </c>
      <c r="F16" s="42"/>
      <c r="G16" s="43">
        <f t="shared" si="3"/>
        <v>0.11904761904761904</v>
      </c>
      <c r="H16" s="13"/>
      <c r="I16" s="12">
        <f>2+22</f>
        <v>24</v>
      </c>
      <c r="K16" s="12"/>
      <c r="L16" s="12"/>
      <c r="M16" s="12"/>
      <c r="N16" s="12"/>
      <c r="O16" s="13"/>
      <c r="P16" s="12"/>
      <c r="R16" s="13"/>
      <c r="S16" s="13"/>
      <c r="T16" s="19"/>
      <c r="V16" s="13" t="s">
        <v>110</v>
      </c>
      <c r="W16" s="18">
        <v>6</v>
      </c>
      <c r="X16" s="40">
        <v>0.23069999999999999</v>
      </c>
      <c r="Z16" s="13" t="s">
        <v>111</v>
      </c>
      <c r="AA16" s="13" t="s">
        <v>112</v>
      </c>
      <c r="AC16" s="4"/>
      <c r="AD16" s="4"/>
      <c r="AE16" s="4"/>
      <c r="AF16" s="4"/>
    </row>
    <row r="17" spans="1:32" ht="15.75" customHeight="1">
      <c r="A17" s="4"/>
      <c r="B17" s="12" t="s">
        <v>113</v>
      </c>
      <c r="C17" s="41" t="s">
        <v>114</v>
      </c>
      <c r="D17" s="12">
        <v>147</v>
      </c>
      <c r="E17" s="12">
        <v>27</v>
      </c>
      <c r="F17" s="42">
        <v>11.31</v>
      </c>
      <c r="G17" s="43">
        <f t="shared" si="3"/>
        <v>0.18367346938775511</v>
      </c>
      <c r="H17" s="13">
        <v>31</v>
      </c>
      <c r="I17" s="12">
        <f>185+27</f>
        <v>212</v>
      </c>
      <c r="J17" s="23">
        <f t="shared" ref="J17:J35" si="4">(I17+H17)/(H17/10)</f>
        <v>78.387096774193552</v>
      </c>
      <c r="K17" s="45">
        <v>480</v>
      </c>
      <c r="L17" s="45">
        <v>778</v>
      </c>
      <c r="M17" s="42">
        <f t="shared" ref="M17:M36" si="5">K17/F17</f>
        <v>42.440318302387269</v>
      </c>
      <c r="N17" s="42">
        <f t="shared" ref="N17:N36" si="6">L17/F17</f>
        <v>68.788682581786034</v>
      </c>
      <c r="O17" s="42">
        <f t="shared" ref="O17:O36" si="7">K17/J17</f>
        <v>6.1234567901234565</v>
      </c>
      <c r="P17" s="42">
        <f t="shared" ref="P17:P36" si="8">L17/J17</f>
        <v>9.9251028806584358</v>
      </c>
      <c r="R17" s="13" t="s">
        <v>39</v>
      </c>
      <c r="S17" s="13" t="s">
        <v>115</v>
      </c>
      <c r="T17" s="46">
        <v>1318</v>
      </c>
      <c r="V17" s="13" t="s">
        <v>116</v>
      </c>
      <c r="W17" s="18">
        <v>3.7</v>
      </c>
      <c r="X17" s="40">
        <v>4.4299999999999999E-2</v>
      </c>
      <c r="Z17" s="13" t="s">
        <v>117</v>
      </c>
      <c r="AA17" s="13" t="s">
        <v>118</v>
      </c>
      <c r="AC17" s="4"/>
      <c r="AD17" s="4"/>
      <c r="AE17" s="4"/>
      <c r="AF17" s="4"/>
    </row>
    <row r="18" spans="1:32" ht="15.75" customHeight="1">
      <c r="A18" s="20"/>
      <c r="B18" s="12"/>
      <c r="C18" s="41" t="s">
        <v>119</v>
      </c>
      <c r="D18" s="12">
        <v>240</v>
      </c>
      <c r="E18" s="12">
        <v>55</v>
      </c>
      <c r="F18" s="42">
        <v>20.34</v>
      </c>
      <c r="G18" s="43">
        <f t="shared" si="3"/>
        <v>0.22916666666666666</v>
      </c>
      <c r="H18" s="13">
        <v>31</v>
      </c>
      <c r="I18" s="12">
        <f>239+27</f>
        <v>266</v>
      </c>
      <c r="J18" s="23">
        <f t="shared" si="4"/>
        <v>95.806451612903217</v>
      </c>
      <c r="K18" s="45">
        <v>665</v>
      </c>
      <c r="L18" s="45">
        <v>1688</v>
      </c>
      <c r="M18" s="42">
        <f t="shared" si="5"/>
        <v>32.694198623402166</v>
      </c>
      <c r="N18" s="42">
        <f t="shared" si="6"/>
        <v>82.989183874139627</v>
      </c>
      <c r="O18" s="42">
        <f t="shared" si="7"/>
        <v>6.9410774410774421</v>
      </c>
      <c r="P18" s="42">
        <f t="shared" si="8"/>
        <v>17.61885521885522</v>
      </c>
      <c r="V18" s="13" t="s">
        <v>120</v>
      </c>
      <c r="W18" s="18">
        <v>6.9</v>
      </c>
      <c r="X18" s="40">
        <v>0.1263</v>
      </c>
      <c r="Z18" s="13" t="s">
        <v>121</v>
      </c>
      <c r="AA18" s="13" t="s">
        <v>122</v>
      </c>
      <c r="AC18" s="4"/>
      <c r="AD18" s="4"/>
      <c r="AE18" s="4"/>
      <c r="AF18" s="4"/>
    </row>
    <row r="19" spans="1:32" ht="15.75" customHeight="1">
      <c r="A19" s="20"/>
      <c r="B19" s="12"/>
      <c r="C19" s="41" t="s">
        <v>123</v>
      </c>
      <c r="D19" s="12">
        <v>245</v>
      </c>
      <c r="E19" s="12">
        <v>60</v>
      </c>
      <c r="F19" s="42">
        <v>21.87</v>
      </c>
      <c r="G19" s="43">
        <f t="shared" si="3"/>
        <v>0.24489795918367346</v>
      </c>
      <c r="H19" s="13">
        <v>31</v>
      </c>
      <c r="I19" s="12">
        <f>295+27</f>
        <v>322</v>
      </c>
      <c r="J19" s="23">
        <f t="shared" si="4"/>
        <v>113.87096774193549</v>
      </c>
      <c r="K19" s="45">
        <v>390</v>
      </c>
      <c r="L19" s="45">
        <v>1061</v>
      </c>
      <c r="M19" s="42">
        <f t="shared" si="5"/>
        <v>17.832647462277091</v>
      </c>
      <c r="N19" s="42">
        <f t="shared" si="6"/>
        <v>48.51394604481024</v>
      </c>
      <c r="O19" s="42">
        <f t="shared" si="7"/>
        <v>3.4249291784702547</v>
      </c>
      <c r="P19" s="42">
        <f t="shared" si="8"/>
        <v>9.3175637393767694</v>
      </c>
      <c r="V19" s="13" t="s">
        <v>124</v>
      </c>
      <c r="W19" s="18">
        <v>2.7</v>
      </c>
      <c r="X19" s="40">
        <v>2.5399999999999999E-2</v>
      </c>
      <c r="Z19" s="13" t="s">
        <v>125</v>
      </c>
      <c r="AA19" s="13" t="s">
        <v>126</v>
      </c>
      <c r="AC19" s="4"/>
      <c r="AD19" s="4"/>
      <c r="AE19" s="4"/>
      <c r="AF19" s="4"/>
    </row>
    <row r="20" spans="1:32" ht="15.75" customHeight="1">
      <c r="A20" s="20"/>
      <c r="B20" s="12"/>
      <c r="C20" s="41" t="s">
        <v>127</v>
      </c>
      <c r="D20" s="12">
        <v>234</v>
      </c>
      <c r="E20" s="12">
        <v>57</v>
      </c>
      <c r="F20" s="42">
        <v>20.86</v>
      </c>
      <c r="G20" s="43">
        <f t="shared" si="3"/>
        <v>0.24358974358974358</v>
      </c>
      <c r="H20" s="13">
        <v>31</v>
      </c>
      <c r="I20" s="12">
        <f>344+27</f>
        <v>371</v>
      </c>
      <c r="J20" s="23">
        <f t="shared" si="4"/>
        <v>129.67741935483872</v>
      </c>
      <c r="K20" s="45">
        <v>434.1</v>
      </c>
      <c r="L20" s="45">
        <v>946.8</v>
      </c>
      <c r="M20" s="42">
        <f t="shared" si="5"/>
        <v>20.810162991371048</v>
      </c>
      <c r="N20" s="42">
        <f t="shared" si="6"/>
        <v>45.388302972195589</v>
      </c>
      <c r="O20" s="42">
        <f t="shared" si="7"/>
        <v>3.3475373134328357</v>
      </c>
      <c r="P20" s="42">
        <f t="shared" si="8"/>
        <v>7.3011940298507456</v>
      </c>
      <c r="V20" s="13" t="s">
        <v>128</v>
      </c>
      <c r="W20" s="18">
        <v>16.5</v>
      </c>
      <c r="X20" s="40">
        <v>9.2999999999999992E-3</v>
      </c>
      <c r="Z20" s="13" t="s">
        <v>129</v>
      </c>
      <c r="AA20" s="13" t="s">
        <v>130</v>
      </c>
      <c r="AC20" s="4"/>
      <c r="AD20" s="4"/>
      <c r="AE20" s="4"/>
      <c r="AF20" s="4"/>
    </row>
    <row r="21" spans="1:32" ht="15.75" customHeight="1">
      <c r="A21" s="20"/>
      <c r="B21" s="12" t="s">
        <v>131</v>
      </c>
      <c r="C21" s="41" t="s">
        <v>132</v>
      </c>
      <c r="D21" s="12">
        <v>294</v>
      </c>
      <c r="E21" s="12">
        <v>84</v>
      </c>
      <c r="F21" s="42">
        <v>15.38</v>
      </c>
      <c r="G21" s="43">
        <f t="shared" si="3"/>
        <v>0.2857142857142857</v>
      </c>
      <c r="H21" s="13">
        <v>61.5</v>
      </c>
      <c r="I21" s="12">
        <f>58+377</f>
        <v>435</v>
      </c>
      <c r="J21" s="23">
        <f t="shared" si="4"/>
        <v>80.731707317073173</v>
      </c>
      <c r="K21" s="45">
        <v>460</v>
      </c>
      <c r="L21" s="45">
        <v>773</v>
      </c>
      <c r="M21" s="42">
        <f t="shared" si="5"/>
        <v>29.908972691807541</v>
      </c>
      <c r="N21" s="42">
        <f t="shared" si="6"/>
        <v>50.260078023407019</v>
      </c>
      <c r="O21" s="42">
        <f t="shared" si="7"/>
        <v>5.6978851963746218</v>
      </c>
      <c r="P21" s="42">
        <f t="shared" si="8"/>
        <v>9.5749244712990933</v>
      </c>
      <c r="R21" s="14" t="s">
        <v>133</v>
      </c>
      <c r="S21" s="14" t="s">
        <v>28</v>
      </c>
      <c r="T21" s="14" t="s">
        <v>29</v>
      </c>
      <c r="V21" s="13" t="s">
        <v>134</v>
      </c>
      <c r="W21" s="18">
        <v>5.0999999999999996</v>
      </c>
      <c r="X21" s="40">
        <v>5.2699999999999997E-2</v>
      </c>
      <c r="Z21" s="13" t="s">
        <v>135</v>
      </c>
      <c r="AA21" s="13" t="s">
        <v>136</v>
      </c>
      <c r="AC21" s="4"/>
      <c r="AD21" s="4"/>
      <c r="AE21" s="4"/>
      <c r="AF21" s="4"/>
    </row>
    <row r="22" spans="1:32" ht="15.75" customHeight="1">
      <c r="A22" s="20"/>
      <c r="B22" s="12"/>
      <c r="C22" s="41" t="s">
        <v>137</v>
      </c>
      <c r="D22" s="12">
        <v>377</v>
      </c>
      <c r="E22" s="12">
        <v>123</v>
      </c>
      <c r="F22" s="42">
        <v>22.46</v>
      </c>
      <c r="G22" s="43">
        <f t="shared" si="3"/>
        <v>0.32625994694960214</v>
      </c>
      <c r="H22" s="13">
        <f>H23/2</f>
        <v>61.5</v>
      </c>
      <c r="I22" s="12">
        <f>473+55</f>
        <v>528</v>
      </c>
      <c r="J22" s="23">
        <f t="shared" si="4"/>
        <v>95.853658536585357</v>
      </c>
      <c r="K22" s="45">
        <v>548.1</v>
      </c>
      <c r="L22" s="45">
        <v>772</v>
      </c>
      <c r="M22" s="42">
        <f t="shared" si="5"/>
        <v>24.403383793410509</v>
      </c>
      <c r="N22" s="42">
        <f t="shared" si="6"/>
        <v>34.372217275155833</v>
      </c>
      <c r="O22" s="42">
        <f t="shared" si="7"/>
        <v>5.7180916030534359</v>
      </c>
      <c r="P22" s="42">
        <f t="shared" si="8"/>
        <v>8.0539440203562354</v>
      </c>
      <c r="R22" s="12" t="s">
        <v>138</v>
      </c>
      <c r="S22" s="18">
        <v>82.1</v>
      </c>
      <c r="T22" s="19">
        <v>0.96309999999999996</v>
      </c>
      <c r="V22" s="13" t="s">
        <v>139</v>
      </c>
      <c r="W22" s="18">
        <v>1.2</v>
      </c>
      <c r="X22" s="40">
        <v>1.0999999999999999E-2</v>
      </c>
      <c r="Z22" s="13" t="s">
        <v>140</v>
      </c>
      <c r="AA22" s="13" t="s">
        <v>141</v>
      </c>
      <c r="AC22" s="4"/>
      <c r="AD22" s="4"/>
      <c r="AE22" s="4"/>
      <c r="AF22" s="4"/>
    </row>
    <row r="23" spans="1:32" ht="15.75" customHeight="1">
      <c r="A23" s="20"/>
      <c r="B23" s="12" t="s">
        <v>131</v>
      </c>
      <c r="C23" s="41" t="s">
        <v>142</v>
      </c>
      <c r="D23" s="12">
        <v>437</v>
      </c>
      <c r="E23" s="12">
        <v>102</v>
      </c>
      <c r="F23" s="42">
        <v>9.36</v>
      </c>
      <c r="G23" s="43">
        <f t="shared" si="3"/>
        <v>0.23340961098398169</v>
      </c>
      <c r="H23" s="13">
        <v>123</v>
      </c>
      <c r="I23" s="12">
        <f>499+109</f>
        <v>608</v>
      </c>
      <c r="J23" s="23">
        <f t="shared" si="4"/>
        <v>59.430894308943088</v>
      </c>
      <c r="K23" s="45">
        <v>180</v>
      </c>
      <c r="L23" s="45">
        <v>400</v>
      </c>
      <c r="M23" s="42">
        <f t="shared" si="5"/>
        <v>19.230769230769234</v>
      </c>
      <c r="N23" s="42">
        <f t="shared" si="6"/>
        <v>42.73504273504274</v>
      </c>
      <c r="O23" s="42">
        <f t="shared" si="7"/>
        <v>3.0287277701778388</v>
      </c>
      <c r="P23" s="42">
        <f t="shared" si="8"/>
        <v>6.7305061559507529</v>
      </c>
      <c r="R23" s="13" t="s">
        <v>143</v>
      </c>
      <c r="S23" s="18">
        <v>128.4</v>
      </c>
      <c r="T23" s="19">
        <v>1</v>
      </c>
      <c r="V23" s="13" t="s">
        <v>144</v>
      </c>
      <c r="W23" s="18">
        <v>11.9</v>
      </c>
      <c r="X23" s="40">
        <v>0.29649999999999999</v>
      </c>
      <c r="Z23" s="13" t="s">
        <v>145</v>
      </c>
      <c r="AA23" s="13" t="s">
        <v>146</v>
      </c>
      <c r="AC23" s="4"/>
      <c r="AD23" s="4"/>
      <c r="AE23" s="4"/>
      <c r="AF23" s="4"/>
    </row>
    <row r="24" spans="1:32" ht="15.75" customHeight="1">
      <c r="A24" s="20"/>
      <c r="B24" s="12"/>
      <c r="C24" s="41" t="s">
        <v>147</v>
      </c>
      <c r="D24" s="12">
        <v>505</v>
      </c>
      <c r="E24" s="12">
        <v>128</v>
      </c>
      <c r="F24" s="42">
        <v>11.77</v>
      </c>
      <c r="G24" s="43">
        <f t="shared" si="3"/>
        <v>0.25346534653465347</v>
      </c>
      <c r="H24" s="13">
        <v>123</v>
      </c>
      <c r="I24" s="12">
        <v>800</v>
      </c>
      <c r="J24" s="23">
        <f t="shared" si="4"/>
        <v>75.040650406504056</v>
      </c>
      <c r="K24" s="45">
        <v>285</v>
      </c>
      <c r="L24" s="45">
        <v>707</v>
      </c>
      <c r="M24" s="42">
        <f t="shared" si="5"/>
        <v>24.214103653355991</v>
      </c>
      <c r="N24" s="42">
        <f t="shared" si="6"/>
        <v>60.067969413763805</v>
      </c>
      <c r="O24" s="42">
        <f t="shared" si="7"/>
        <v>3.797941495124594</v>
      </c>
      <c r="P24" s="42">
        <f t="shared" si="8"/>
        <v>9.4215601300108354</v>
      </c>
      <c r="R24" s="13" t="s">
        <v>148</v>
      </c>
      <c r="S24" s="13">
        <v>23.4</v>
      </c>
      <c r="T24" s="19">
        <v>1</v>
      </c>
      <c r="V24" s="13" t="s">
        <v>149</v>
      </c>
      <c r="W24" s="13">
        <v>10.3</v>
      </c>
      <c r="X24" s="40">
        <v>5.0599999999999999E-2</v>
      </c>
      <c r="Z24" s="13" t="s">
        <v>150</v>
      </c>
      <c r="AA24" s="13" t="s">
        <v>151</v>
      </c>
      <c r="AC24" s="4"/>
      <c r="AD24" s="4"/>
      <c r="AE24" s="4"/>
      <c r="AF24" s="4"/>
    </row>
    <row r="25" spans="1:32" ht="15.75" customHeight="1">
      <c r="A25" s="20"/>
      <c r="B25" s="12"/>
      <c r="C25" s="41" t="s">
        <v>152</v>
      </c>
      <c r="D25" s="12">
        <v>611</v>
      </c>
      <c r="E25" s="12">
        <v>194</v>
      </c>
      <c r="F25" s="42">
        <v>16.82</v>
      </c>
      <c r="G25" s="43">
        <f t="shared" si="3"/>
        <v>0.31751227495908346</v>
      </c>
      <c r="H25" s="13">
        <v>123</v>
      </c>
      <c r="I25" s="45">
        <f>1295+120</f>
        <v>1415</v>
      </c>
      <c r="J25" s="23">
        <f t="shared" si="4"/>
        <v>125.04065040650406</v>
      </c>
      <c r="K25" s="45">
        <v>519</v>
      </c>
      <c r="L25" s="45">
        <v>1014.7</v>
      </c>
      <c r="M25" s="42">
        <f t="shared" si="5"/>
        <v>30.856123662306778</v>
      </c>
      <c r="N25" s="42">
        <f t="shared" si="6"/>
        <v>60.32699167657551</v>
      </c>
      <c r="O25" s="42">
        <f t="shared" si="7"/>
        <v>4.1506501950585175</v>
      </c>
      <c r="P25" s="42">
        <f t="shared" si="8"/>
        <v>8.1149609882964899</v>
      </c>
      <c r="R25" s="13" t="s">
        <v>153</v>
      </c>
      <c r="S25" s="13">
        <v>8.6999999999999993</v>
      </c>
      <c r="T25" s="40">
        <v>0.23</v>
      </c>
      <c r="V25" s="13" t="s">
        <v>154</v>
      </c>
      <c r="W25" s="13">
        <v>12.8</v>
      </c>
      <c r="X25" s="40">
        <v>4.19E-2</v>
      </c>
      <c r="Z25" s="13" t="s">
        <v>155</v>
      </c>
      <c r="AA25" s="13" t="s">
        <v>156</v>
      </c>
      <c r="AC25" s="4"/>
      <c r="AD25" s="4"/>
      <c r="AE25" s="4"/>
      <c r="AF25" s="4"/>
    </row>
    <row r="26" spans="1:32" ht="15.75" customHeight="1">
      <c r="A26" s="20"/>
      <c r="B26" s="12"/>
      <c r="C26" s="41" t="s">
        <v>157</v>
      </c>
      <c r="D26" s="12">
        <v>938</v>
      </c>
      <c r="E26" s="12">
        <v>512</v>
      </c>
      <c r="F26" s="42">
        <v>20.78</v>
      </c>
      <c r="G26" s="43">
        <f t="shared" si="3"/>
        <v>0.54584221748400852</v>
      </c>
      <c r="H26" s="13">
        <v>123</v>
      </c>
      <c r="I26" s="45">
        <f>120+1040</f>
        <v>1160</v>
      </c>
      <c r="J26" s="23">
        <f t="shared" si="4"/>
        <v>104.30894308943088</v>
      </c>
      <c r="K26" s="45">
        <v>690</v>
      </c>
      <c r="L26" s="45">
        <v>935</v>
      </c>
      <c r="M26" s="42">
        <f t="shared" si="5"/>
        <v>33.205004812319537</v>
      </c>
      <c r="N26" s="42">
        <f t="shared" si="6"/>
        <v>44.995187680461981</v>
      </c>
      <c r="O26" s="42">
        <f t="shared" si="7"/>
        <v>6.6149649259547942</v>
      </c>
      <c r="P26" s="42">
        <f t="shared" si="8"/>
        <v>8.963756819953236</v>
      </c>
      <c r="R26" s="13" t="s">
        <v>158</v>
      </c>
      <c r="S26" s="13">
        <v>120.2</v>
      </c>
      <c r="T26" s="40">
        <v>0.5464</v>
      </c>
      <c r="V26" s="13" t="s">
        <v>159</v>
      </c>
      <c r="W26" s="13">
        <v>53.8</v>
      </c>
      <c r="X26" s="47">
        <v>1.24E-2</v>
      </c>
      <c r="Z26" s="13" t="s">
        <v>160</v>
      </c>
      <c r="AA26" s="13" t="s">
        <v>161</v>
      </c>
      <c r="AC26" s="4"/>
      <c r="AD26" s="4"/>
      <c r="AE26" s="4"/>
      <c r="AF26" s="4"/>
    </row>
    <row r="27" spans="1:32" ht="15.75" customHeight="1">
      <c r="A27" s="20"/>
      <c r="B27" s="12"/>
      <c r="C27" s="41" t="s">
        <v>162</v>
      </c>
      <c r="D27" s="12">
        <v>888</v>
      </c>
      <c r="E27" s="12">
        <v>-43</v>
      </c>
      <c r="F27" s="42">
        <v>-1.71</v>
      </c>
      <c r="G27" s="43">
        <f t="shared" si="3"/>
        <v>-4.8423423423423421E-2</v>
      </c>
      <c r="H27" s="13">
        <v>123</v>
      </c>
      <c r="I27" s="45">
        <v>1471</v>
      </c>
      <c r="J27" s="23">
        <f t="shared" si="4"/>
        <v>129.59349593495935</v>
      </c>
      <c r="K27" s="45">
        <v>710</v>
      </c>
      <c r="L27" s="45">
        <v>1012</v>
      </c>
      <c r="M27" s="42">
        <f t="shared" si="5"/>
        <v>-415.20467836257313</v>
      </c>
      <c r="N27" s="42">
        <f t="shared" si="6"/>
        <v>-591.81286549707602</v>
      </c>
      <c r="O27" s="42">
        <f t="shared" si="7"/>
        <v>5.4786700125470515</v>
      </c>
      <c r="P27" s="42">
        <f t="shared" si="8"/>
        <v>7.8090338770388961</v>
      </c>
      <c r="R27" s="13" t="s">
        <v>163</v>
      </c>
      <c r="S27" s="13">
        <v>33.700000000000003</v>
      </c>
      <c r="T27" s="40">
        <v>0.47899999999999998</v>
      </c>
      <c r="V27" s="13" t="s">
        <v>164</v>
      </c>
      <c r="W27" s="13">
        <v>4.2</v>
      </c>
      <c r="X27" s="47">
        <v>5.2600000000000001E-2</v>
      </c>
      <c r="Z27" s="13" t="s">
        <v>165</v>
      </c>
      <c r="AA27" s="13" t="s">
        <v>166</v>
      </c>
      <c r="AC27" s="4"/>
      <c r="AD27" s="4"/>
      <c r="AE27" s="4"/>
      <c r="AF27" s="4"/>
    </row>
    <row r="28" spans="1:32" ht="15.75" customHeight="1">
      <c r="A28" s="20"/>
      <c r="B28" s="12"/>
      <c r="C28" s="41" t="s">
        <v>167</v>
      </c>
      <c r="D28" s="12">
        <v>1077</v>
      </c>
      <c r="E28" s="12">
        <v>500</v>
      </c>
      <c r="F28" s="42">
        <v>42.22</v>
      </c>
      <c r="G28" s="43">
        <f t="shared" si="3"/>
        <v>0.46425255338904364</v>
      </c>
      <c r="H28" s="13">
        <v>123</v>
      </c>
      <c r="I28" s="45">
        <v>1923</v>
      </c>
      <c r="J28" s="23">
        <f t="shared" si="4"/>
        <v>166.34146341463415</v>
      </c>
      <c r="K28" s="45">
        <v>800</v>
      </c>
      <c r="L28" s="45">
        <v>1457.5</v>
      </c>
      <c r="M28" s="42">
        <f t="shared" si="5"/>
        <v>18.948365703458077</v>
      </c>
      <c r="N28" s="42">
        <f t="shared" si="6"/>
        <v>34.521553765987683</v>
      </c>
      <c r="O28" s="42">
        <f t="shared" si="7"/>
        <v>4.8093841642228741</v>
      </c>
      <c r="P28" s="42">
        <f t="shared" si="8"/>
        <v>8.762096774193548</v>
      </c>
      <c r="R28" s="13" t="s">
        <v>168</v>
      </c>
      <c r="S28" s="13">
        <v>1</v>
      </c>
      <c r="T28" s="40">
        <v>0.47120000000000001</v>
      </c>
      <c r="V28" s="13" t="s">
        <v>169</v>
      </c>
      <c r="W28" s="13">
        <v>4.2</v>
      </c>
      <c r="X28" s="40">
        <v>0.05</v>
      </c>
      <c r="Z28" s="13" t="s">
        <v>170</v>
      </c>
      <c r="AA28" s="13" t="s">
        <v>171</v>
      </c>
      <c r="AC28" s="4"/>
      <c r="AD28" s="4"/>
      <c r="AE28" s="4"/>
      <c r="AF28" s="4"/>
    </row>
    <row r="29" spans="1:32" ht="15.75" customHeight="1">
      <c r="A29" s="20"/>
      <c r="B29" s="12"/>
      <c r="C29" s="41" t="s">
        <v>172</v>
      </c>
      <c r="D29" s="12">
        <v>1271</v>
      </c>
      <c r="E29" s="12">
        <v>592</v>
      </c>
      <c r="F29" s="42">
        <v>49.53</v>
      </c>
      <c r="G29" s="43">
        <f t="shared" si="3"/>
        <v>0.46577498033044845</v>
      </c>
      <c r="H29" s="13">
        <v>123</v>
      </c>
      <c r="I29" s="45">
        <v>2529</v>
      </c>
      <c r="J29" s="23">
        <f t="shared" si="4"/>
        <v>215.60975609756096</v>
      </c>
      <c r="K29" s="45">
        <v>1125</v>
      </c>
      <c r="L29" s="45">
        <v>1926.55</v>
      </c>
      <c r="M29" s="42">
        <f t="shared" si="5"/>
        <v>22.713506965475467</v>
      </c>
      <c r="N29" s="42">
        <f t="shared" si="6"/>
        <v>38.896628306077126</v>
      </c>
      <c r="O29" s="42">
        <f t="shared" si="7"/>
        <v>5.2177601809954757</v>
      </c>
      <c r="P29" s="42">
        <f t="shared" si="8"/>
        <v>8.9353563348416287</v>
      </c>
      <c r="V29" s="13" t="s">
        <v>173</v>
      </c>
      <c r="W29" s="13">
        <v>65</v>
      </c>
      <c r="X29" s="47">
        <v>0.18709999999999999</v>
      </c>
      <c r="Z29" s="13" t="s">
        <v>174</v>
      </c>
      <c r="AA29" s="13" t="s">
        <v>175</v>
      </c>
      <c r="AB29" s="4"/>
      <c r="AC29" s="4"/>
      <c r="AD29" s="4"/>
      <c r="AE29" s="4"/>
      <c r="AF29" s="4"/>
    </row>
    <row r="30" spans="1:32" ht="15.75" customHeight="1">
      <c r="A30" s="20"/>
      <c r="B30" s="12"/>
      <c r="C30" s="41" t="s">
        <v>176</v>
      </c>
      <c r="D30" s="12">
        <v>1312</v>
      </c>
      <c r="E30" s="12">
        <v>-246</v>
      </c>
      <c r="F30" s="42">
        <v>-19.46</v>
      </c>
      <c r="G30" s="43">
        <f t="shared" si="3"/>
        <v>-0.1875</v>
      </c>
      <c r="H30" s="13">
        <v>123</v>
      </c>
      <c r="I30" s="45">
        <v>2196</v>
      </c>
      <c r="J30" s="23">
        <f t="shared" si="4"/>
        <v>188.53658536585365</v>
      </c>
      <c r="K30" s="12">
        <v>1580</v>
      </c>
      <c r="L30" s="12">
        <v>3125</v>
      </c>
      <c r="M30" s="42">
        <f t="shared" si="5"/>
        <v>-81.192189105858162</v>
      </c>
      <c r="N30" s="42">
        <f t="shared" si="6"/>
        <v>-160.5858170606372</v>
      </c>
      <c r="O30" s="42">
        <f t="shared" si="7"/>
        <v>8.3803363518758083</v>
      </c>
      <c r="P30" s="42">
        <f t="shared" si="8"/>
        <v>16.575032341526519</v>
      </c>
      <c r="Z30" s="13" t="s">
        <v>177</v>
      </c>
      <c r="AA30" s="13" t="s">
        <v>178</v>
      </c>
      <c r="AB30" s="4"/>
      <c r="AC30" s="4"/>
      <c r="AD30" s="4"/>
      <c r="AE30" s="4"/>
      <c r="AF30" s="4"/>
    </row>
    <row r="31" spans="1:32" ht="15.75" customHeight="1">
      <c r="A31" s="20"/>
      <c r="B31" s="12"/>
      <c r="C31" s="41" t="s">
        <v>179</v>
      </c>
      <c r="D31" s="12">
        <v>1120</v>
      </c>
      <c r="E31" s="12">
        <v>1409</v>
      </c>
      <c r="F31" s="42">
        <v>111.51</v>
      </c>
      <c r="G31" s="43">
        <f t="shared" si="3"/>
        <v>1.2580357142857144</v>
      </c>
      <c r="H31" s="13">
        <v>129</v>
      </c>
      <c r="I31" s="45">
        <v>5538</v>
      </c>
      <c r="J31" s="23">
        <f t="shared" si="4"/>
        <v>439.30232558139534</v>
      </c>
      <c r="K31" s="12">
        <v>1934</v>
      </c>
      <c r="L31" s="12">
        <v>5876</v>
      </c>
      <c r="M31" s="42">
        <f t="shared" si="5"/>
        <v>17.343735987803782</v>
      </c>
      <c r="N31" s="42">
        <f t="shared" si="6"/>
        <v>52.694825576181508</v>
      </c>
      <c r="O31" s="42">
        <f t="shared" si="7"/>
        <v>4.4024351508734778</v>
      </c>
      <c r="P31" s="42">
        <f t="shared" si="8"/>
        <v>13.375754367390154</v>
      </c>
      <c r="R31" s="6"/>
      <c r="S31" s="6"/>
      <c r="T31" s="35"/>
      <c r="Z31" s="13" t="s">
        <v>180</v>
      </c>
      <c r="AA31" s="13" t="s">
        <v>181</v>
      </c>
      <c r="AB31" s="4"/>
      <c r="AC31" s="4"/>
      <c r="AD31" s="4"/>
      <c r="AE31" s="4"/>
      <c r="AF31" s="4"/>
    </row>
    <row r="32" spans="1:32" ht="15.75" customHeight="1">
      <c r="A32" s="20"/>
      <c r="B32" s="12"/>
      <c r="C32" s="41" t="s">
        <v>182</v>
      </c>
      <c r="D32" s="12">
        <v>1589</v>
      </c>
      <c r="E32" s="12">
        <v>12882</v>
      </c>
      <c r="F32" s="42">
        <v>991</v>
      </c>
      <c r="G32" s="43">
        <f t="shared" si="3"/>
        <v>8.1069855254877279</v>
      </c>
      <c r="H32" s="13">
        <v>129</v>
      </c>
      <c r="I32" s="45">
        <v>18051</v>
      </c>
      <c r="J32" s="23">
        <f t="shared" si="4"/>
        <v>1409.3023255813953</v>
      </c>
      <c r="K32" s="12">
        <v>4170</v>
      </c>
      <c r="L32" s="12">
        <v>7465</v>
      </c>
      <c r="M32" s="42">
        <f t="shared" si="5"/>
        <v>4.2078708375378406</v>
      </c>
      <c r="N32" s="42">
        <f t="shared" si="6"/>
        <v>7.5327951564076692</v>
      </c>
      <c r="O32" s="42">
        <f t="shared" si="7"/>
        <v>2.9589108910891091</v>
      </c>
      <c r="P32" s="42">
        <f t="shared" si="8"/>
        <v>5.296947194719472</v>
      </c>
      <c r="AB32" s="4"/>
      <c r="AC32" s="4"/>
      <c r="AD32" s="4"/>
      <c r="AE32" s="4"/>
      <c r="AF32" s="4"/>
    </row>
    <row r="33" spans="1:32" ht="15.75" customHeight="1">
      <c r="A33" s="20"/>
      <c r="B33" s="13"/>
      <c r="C33" s="41" t="s">
        <v>183</v>
      </c>
      <c r="D33" s="13">
        <v>2345</v>
      </c>
      <c r="E33" s="13">
        <v>-70</v>
      </c>
      <c r="F33" s="48">
        <v>-8.34</v>
      </c>
      <c r="G33" s="49">
        <v>-0.3</v>
      </c>
      <c r="H33" s="13">
        <v>129</v>
      </c>
      <c r="I33" s="13">
        <v>14426</v>
      </c>
      <c r="J33" s="23">
        <f t="shared" si="4"/>
        <v>1128.2945736434108</v>
      </c>
      <c r="K33" s="13">
        <v>3308</v>
      </c>
      <c r="L33" s="13">
        <v>4917</v>
      </c>
      <c r="M33" s="42">
        <f t="shared" si="5"/>
        <v>-396.64268585131896</v>
      </c>
      <c r="N33" s="42">
        <f t="shared" si="6"/>
        <v>-589.56834532374103</v>
      </c>
      <c r="O33" s="42">
        <f t="shared" si="7"/>
        <v>2.9318584678804536</v>
      </c>
      <c r="P33" s="42">
        <f t="shared" si="8"/>
        <v>4.3579045001717622</v>
      </c>
      <c r="R33" s="50" t="s">
        <v>39</v>
      </c>
      <c r="S33" s="51">
        <f>SUM(S22:S31)</f>
        <v>397.5</v>
      </c>
      <c r="T33" s="50" t="s">
        <v>184</v>
      </c>
      <c r="V33" s="50" t="s">
        <v>185</v>
      </c>
      <c r="W33" s="51">
        <f>SUM(W10:W29)</f>
        <v>636.00000000000011</v>
      </c>
      <c r="X33" s="50" t="s">
        <v>186</v>
      </c>
      <c r="Z33" s="52" t="s">
        <v>185</v>
      </c>
      <c r="AA33" s="52" t="s">
        <v>187</v>
      </c>
      <c r="AB33" s="4"/>
      <c r="AC33" s="4"/>
      <c r="AD33" s="4"/>
      <c r="AE33" s="4"/>
      <c r="AF33" s="4"/>
    </row>
    <row r="34" spans="1:32" ht="15.75" customHeight="1">
      <c r="A34" s="20"/>
      <c r="B34" s="13"/>
      <c r="C34" s="41" t="s">
        <v>188</v>
      </c>
      <c r="D34" s="13">
        <v>2536</v>
      </c>
      <c r="E34" s="13">
        <v>594</v>
      </c>
      <c r="F34" s="48">
        <v>44.48</v>
      </c>
      <c r="G34" s="49">
        <v>0.23</v>
      </c>
      <c r="H34" s="13">
        <v>129</v>
      </c>
      <c r="I34" s="13">
        <v>30133</v>
      </c>
      <c r="J34" s="23">
        <f t="shared" si="4"/>
        <v>2345.8914728682171</v>
      </c>
      <c r="K34" s="13">
        <v>3592</v>
      </c>
      <c r="L34" s="13">
        <v>5631</v>
      </c>
      <c r="M34" s="42">
        <f t="shared" si="5"/>
        <v>80.755395683453244</v>
      </c>
      <c r="N34" s="42">
        <f t="shared" si="6"/>
        <v>126.59622302158274</v>
      </c>
      <c r="O34" s="42">
        <f t="shared" si="7"/>
        <v>1.5311876280483774</v>
      </c>
      <c r="P34" s="42">
        <f t="shared" si="8"/>
        <v>2.4003667966426541</v>
      </c>
      <c r="AD34" s="4"/>
      <c r="AE34" s="4"/>
      <c r="AF34" s="4"/>
    </row>
    <row r="35" spans="1:32" ht="15.75" customHeight="1">
      <c r="B35" s="13"/>
      <c r="C35" s="41" t="s">
        <v>189</v>
      </c>
      <c r="D35" s="13">
        <v>2849</v>
      </c>
      <c r="E35" s="13">
        <v>1310</v>
      </c>
      <c r="F35" s="48">
        <f>5*14.88</f>
        <v>74.400000000000006</v>
      </c>
      <c r="G35" s="49">
        <v>0.46</v>
      </c>
      <c r="H35" s="13">
        <v>129</v>
      </c>
      <c r="I35" s="13">
        <v>34773</v>
      </c>
      <c r="J35" s="23">
        <f t="shared" si="4"/>
        <v>2705.5813953488373</v>
      </c>
      <c r="K35" s="13">
        <v>6355</v>
      </c>
      <c r="L35" s="13">
        <v>9125</v>
      </c>
      <c r="M35" s="42">
        <f t="shared" si="5"/>
        <v>85.416666666666657</v>
      </c>
      <c r="N35" s="42">
        <f t="shared" si="6"/>
        <v>122.64784946236558</v>
      </c>
      <c r="O35" s="42">
        <f t="shared" si="7"/>
        <v>2.348848203541344</v>
      </c>
      <c r="P35" s="42">
        <f t="shared" si="8"/>
        <v>3.3726577273508682</v>
      </c>
      <c r="AD35" s="4"/>
      <c r="AE35" s="4"/>
      <c r="AF35" s="4"/>
    </row>
    <row r="36" spans="1:32" ht="15.75" customHeight="1">
      <c r="B36" s="13" t="s">
        <v>190</v>
      </c>
      <c r="C36" s="13" t="s">
        <v>191</v>
      </c>
      <c r="D36" s="13">
        <f>D35+C51-D51</f>
        <v>2963</v>
      </c>
      <c r="E36" s="13">
        <f>E35+C55-D55</f>
        <v>1394</v>
      </c>
      <c r="F36" s="53">
        <f>M45</f>
        <v>15.84</v>
      </c>
      <c r="G36" s="40">
        <v>0.54</v>
      </c>
      <c r="H36" s="13">
        <v>129</v>
      </c>
      <c r="I36" s="13">
        <v>34773</v>
      </c>
      <c r="J36" s="23">
        <f>(I36+H36)/(H36/2)</f>
        <v>541.11627906976742</v>
      </c>
      <c r="K36" s="13">
        <v>1157</v>
      </c>
      <c r="L36" s="13">
        <v>1550</v>
      </c>
      <c r="M36" s="18">
        <f t="shared" si="5"/>
        <v>73.042929292929287</v>
      </c>
      <c r="N36" s="42">
        <f t="shared" si="6"/>
        <v>97.853535353535349</v>
      </c>
      <c r="O36" s="42">
        <f t="shared" si="7"/>
        <v>2.1381725975588792</v>
      </c>
      <c r="P36" s="42">
        <f t="shared" si="8"/>
        <v>2.8644490287089566</v>
      </c>
      <c r="AF36" s="4"/>
    </row>
    <row r="37" spans="1:32" ht="15.75" customHeight="1">
      <c r="A37" s="4"/>
      <c r="AF37" s="4"/>
    </row>
    <row r="38" spans="1:32" ht="15.75" customHeight="1">
      <c r="A38" s="4"/>
      <c r="B38" s="39" t="s">
        <v>40</v>
      </c>
      <c r="C38" s="37" t="s">
        <v>70</v>
      </c>
      <c r="D38" s="38" t="s">
        <v>71</v>
      </c>
      <c r="E38" s="38" t="s">
        <v>72</v>
      </c>
      <c r="F38" s="38" t="s">
        <v>8</v>
      </c>
      <c r="G38" s="38" t="s">
        <v>73</v>
      </c>
      <c r="H38" s="39" t="s">
        <v>9</v>
      </c>
      <c r="I38" s="39" t="s">
        <v>74</v>
      </c>
      <c r="J38" s="39" t="s">
        <v>58</v>
      </c>
      <c r="K38" s="38" t="s">
        <v>75</v>
      </c>
      <c r="L38" s="38" t="s">
        <v>76</v>
      </c>
      <c r="M38" s="38" t="s">
        <v>77</v>
      </c>
      <c r="N38" s="38" t="s">
        <v>78</v>
      </c>
      <c r="O38" s="39" t="s">
        <v>79</v>
      </c>
      <c r="P38" s="39" t="s">
        <v>80</v>
      </c>
      <c r="AF38" s="4"/>
    </row>
    <row r="39" spans="1:32" ht="15.75" customHeight="1">
      <c r="A39" s="4"/>
      <c r="B39" s="6"/>
      <c r="C39" s="12" t="s">
        <v>192</v>
      </c>
      <c r="D39" s="54">
        <f t="shared" ref="D39:E39" si="9">(D35/D20)^(1/15)-1</f>
        <v>0.18131333416085527</v>
      </c>
      <c r="E39" s="54">
        <f t="shared" si="9"/>
        <v>0.23242290907099727</v>
      </c>
      <c r="F39" s="54">
        <f>((4*F35)/F20)^(1/15)-1</f>
        <v>0.19386322548934243</v>
      </c>
      <c r="G39" s="54">
        <f>MEDIAN(G20:G35)</f>
        <v>0.30161328033668455</v>
      </c>
      <c r="H39" s="54">
        <f t="shared" ref="H39:I39" si="10">(H35/H20)^(1/15)-1</f>
        <v>9.9719352680271545E-2</v>
      </c>
      <c r="I39" s="54">
        <f t="shared" si="10"/>
        <v>0.35349882596253024</v>
      </c>
      <c r="J39" s="54">
        <f t="shared" ref="J39:L39" si="11">((4*J35)/J20)^(1/15)-1</f>
        <v>0.34306515701482532</v>
      </c>
      <c r="K39" s="54">
        <f t="shared" si="11"/>
        <v>0.31171368852257597</v>
      </c>
      <c r="L39" s="54">
        <f t="shared" si="11"/>
        <v>0.27566206537072002</v>
      </c>
      <c r="M39" s="42">
        <f t="shared" ref="M39:P39" si="12">MEDIAN(M20:M35)</f>
        <v>21.761834978423259</v>
      </c>
      <c r="N39" s="42">
        <f t="shared" si="12"/>
        <v>43.865115207752361</v>
      </c>
      <c r="O39" s="42">
        <f t="shared" si="12"/>
        <v>4.2765426729659977</v>
      </c>
      <c r="P39" s="42">
        <f t="shared" si="12"/>
        <v>8.0844525043263626</v>
      </c>
      <c r="AF39" s="4"/>
    </row>
    <row r="40" spans="1:32" ht="15.75" customHeight="1">
      <c r="A40" s="4"/>
      <c r="B40" s="6"/>
      <c r="C40" s="12" t="s">
        <v>193</v>
      </c>
      <c r="D40" s="54">
        <f t="shared" ref="D40:F40" si="13">(D35/D25)^(1/10)-1</f>
        <v>0.16644730461491997</v>
      </c>
      <c r="E40" s="54">
        <f t="shared" si="13"/>
        <v>0.21045028374895569</v>
      </c>
      <c r="F40" s="54">
        <f t="shared" si="13"/>
        <v>0.1603117612758671</v>
      </c>
      <c r="G40" s="54">
        <f>MEDIAN(G25:G35)</f>
        <v>0.46</v>
      </c>
      <c r="H40" s="54">
        <f t="shared" ref="H40:L40" si="14">(H35/H25)^(1/10)-1</f>
        <v>4.7741650824635329E-3</v>
      </c>
      <c r="I40" s="54">
        <f t="shared" si="14"/>
        <v>0.37736350643503513</v>
      </c>
      <c r="J40" s="54">
        <f t="shared" si="14"/>
        <v>0.35994372662245144</v>
      </c>
      <c r="K40" s="54">
        <f t="shared" si="14"/>
        <v>0.28467957598934035</v>
      </c>
      <c r="L40" s="54">
        <f t="shared" si="14"/>
        <v>0.24563132496553663</v>
      </c>
      <c r="M40" s="42">
        <f t="shared" ref="M40:P40" si="15">MEDIAN(M25:M35)</f>
        <v>18.948365703458077</v>
      </c>
      <c r="N40" s="42">
        <f t="shared" si="15"/>
        <v>38.896628306077126</v>
      </c>
      <c r="O40" s="42">
        <f t="shared" si="15"/>
        <v>4.4024351508734778</v>
      </c>
      <c r="P40" s="42">
        <f t="shared" si="15"/>
        <v>8.1149609882964899</v>
      </c>
      <c r="AF40" s="4"/>
    </row>
    <row r="41" spans="1:32" ht="15.75" customHeight="1">
      <c r="A41" s="4"/>
      <c r="B41" s="35"/>
      <c r="C41" s="12" t="s">
        <v>194</v>
      </c>
      <c r="D41" s="54">
        <f>(D35/D30)^(1/5)-1</f>
        <v>0.16775496598268447</v>
      </c>
      <c r="E41" s="12" t="s">
        <v>35</v>
      </c>
      <c r="F41" s="12" t="s">
        <v>35</v>
      </c>
      <c r="G41" s="54">
        <f>MEDIAN(G30:G35)</f>
        <v>0.34500000000000003</v>
      </c>
      <c r="H41" s="54">
        <f t="shared" ref="H41:L41" si="16">(H35/H30)^(1/5)-1</f>
        <v>9.5711228171615481E-3</v>
      </c>
      <c r="I41" s="54">
        <f t="shared" si="16"/>
        <v>0.73748860469344346</v>
      </c>
      <c r="J41" s="54">
        <f t="shared" si="16"/>
        <v>0.70362103330676851</v>
      </c>
      <c r="K41" s="54">
        <f t="shared" si="16"/>
        <v>0.3209661643133388</v>
      </c>
      <c r="L41" s="54">
        <f t="shared" si="16"/>
        <v>0.23901501752560206</v>
      </c>
      <c r="M41" s="42">
        <f t="shared" ref="M41:N41" si="17">MEDIAN(M30:M35)</f>
        <v>10.775803412670811</v>
      </c>
      <c r="N41" s="42">
        <f t="shared" si="17"/>
        <v>30.11381036629459</v>
      </c>
      <c r="O41" s="42">
        <f>MEDIAN(O28:O33)</f>
        <v>4.6059096575481764</v>
      </c>
      <c r="P41" s="42">
        <f>MEDIAN(P30:P35)</f>
        <v>4.8274258474456175</v>
      </c>
      <c r="AF41" s="4"/>
    </row>
    <row r="42" spans="1:32" ht="15.75" customHeight="1">
      <c r="A42" s="4"/>
      <c r="B42" s="35"/>
      <c r="C42" s="12" t="s">
        <v>195</v>
      </c>
      <c r="D42" s="54">
        <f t="shared" ref="D42:F42" si="18">(D35/D34)-1</f>
        <v>0.12342271293375395</v>
      </c>
      <c r="E42" s="54">
        <f t="shared" si="18"/>
        <v>1.2053872053872055</v>
      </c>
      <c r="F42" s="54">
        <f t="shared" si="18"/>
        <v>0.67266187050359738</v>
      </c>
      <c r="G42" s="54">
        <f>G35</f>
        <v>0.46</v>
      </c>
      <c r="H42" s="54">
        <f t="shared" ref="H42:L42" si="19">(H35/H34)-1</f>
        <v>0</v>
      </c>
      <c r="I42" s="54">
        <f t="shared" si="19"/>
        <v>0.15398400424783465</v>
      </c>
      <c r="J42" s="54">
        <f t="shared" si="19"/>
        <v>0.15332760557795266</v>
      </c>
      <c r="K42" s="54">
        <f t="shared" si="19"/>
        <v>0.76920935412026736</v>
      </c>
      <c r="L42" s="54">
        <f t="shared" si="19"/>
        <v>0.62049369561356782</v>
      </c>
      <c r="M42" s="55">
        <f t="shared" ref="M42:P42" si="20">M35</f>
        <v>85.416666666666657</v>
      </c>
      <c r="N42" s="55">
        <f t="shared" si="20"/>
        <v>122.64784946236558</v>
      </c>
      <c r="O42" s="56">
        <f t="shared" si="20"/>
        <v>2.348848203541344</v>
      </c>
      <c r="P42" s="42">
        <f t="shared" si="20"/>
        <v>3.3726577273508682</v>
      </c>
      <c r="AF42" s="4"/>
    </row>
    <row r="43" spans="1:32" ht="15.75" customHeight="1">
      <c r="A43" s="4"/>
      <c r="B43" s="4"/>
      <c r="C43" s="57"/>
      <c r="D43" s="4"/>
      <c r="E43" s="58"/>
      <c r="F43" s="59"/>
      <c r="G43" s="4"/>
      <c r="H43" s="58"/>
      <c r="I43" s="58"/>
      <c r="J43" s="4"/>
      <c r="K43" s="4"/>
      <c r="M43" s="60"/>
      <c r="N43" s="60"/>
      <c r="O43" s="60"/>
      <c r="P43" s="60"/>
      <c r="AF43" s="4"/>
    </row>
    <row r="44" spans="1:32" ht="15.75" customHeight="1">
      <c r="A44" s="4"/>
      <c r="B44" s="39" t="s">
        <v>196</v>
      </c>
      <c r="C44" s="39" t="s">
        <v>197</v>
      </c>
      <c r="D44" s="39" t="s">
        <v>198</v>
      </c>
      <c r="E44" s="39" t="s">
        <v>199</v>
      </c>
      <c r="F44" s="39" t="s">
        <v>200</v>
      </c>
      <c r="G44" s="39" t="s">
        <v>201</v>
      </c>
      <c r="I44" s="39" t="s">
        <v>202</v>
      </c>
      <c r="J44" s="39" t="s">
        <v>203</v>
      </c>
      <c r="K44" s="39" t="s">
        <v>204</v>
      </c>
      <c r="L44" s="39" t="s">
        <v>205</v>
      </c>
      <c r="M44" s="39" t="s">
        <v>206</v>
      </c>
      <c r="O44" s="61" t="s">
        <v>207</v>
      </c>
      <c r="P44" s="61" t="s">
        <v>208</v>
      </c>
      <c r="Q44" s="61" t="s">
        <v>209</v>
      </c>
      <c r="R44" s="61" t="s">
        <v>210</v>
      </c>
      <c r="AF44" s="4"/>
    </row>
    <row r="45" spans="1:32" ht="15.75" customHeight="1">
      <c r="A45" s="4"/>
      <c r="B45" s="13" t="s">
        <v>71</v>
      </c>
      <c r="C45" s="40">
        <v>0.1</v>
      </c>
      <c r="D45" s="40">
        <v>0.12</v>
      </c>
      <c r="E45" s="40">
        <v>0.12</v>
      </c>
      <c r="F45" s="40">
        <v>0.17</v>
      </c>
      <c r="G45" s="40">
        <v>0.2</v>
      </c>
      <c r="I45" s="53">
        <f>1.8/5</f>
        <v>0.36</v>
      </c>
      <c r="J45" s="53">
        <f>18.75/5</f>
        <v>3.75</v>
      </c>
      <c r="K45" s="53">
        <v>7.16</v>
      </c>
      <c r="L45" s="53">
        <v>4.57</v>
      </c>
      <c r="M45" s="53">
        <f>SUM(I45:L45)</f>
        <v>15.84</v>
      </c>
      <c r="O45" s="62">
        <v>14.88</v>
      </c>
      <c r="P45" s="62">
        <f>M45</f>
        <v>15.84</v>
      </c>
      <c r="Q45" s="62">
        <f>F67</f>
        <v>16.665600000000005</v>
      </c>
      <c r="R45" s="63">
        <f ca="1">P47/35</f>
        <v>2.4752886002886001</v>
      </c>
      <c r="AF45" s="4"/>
    </row>
    <row r="46" spans="1:32" ht="15.75" customHeight="1">
      <c r="A46" s="4"/>
      <c r="B46" s="13" t="s">
        <v>72</v>
      </c>
      <c r="C46" s="40">
        <v>-0.11</v>
      </c>
      <c r="D46" s="40">
        <v>0.68</v>
      </c>
      <c r="E46" s="40">
        <v>1.21</v>
      </c>
      <c r="F46" s="40">
        <v>0.3</v>
      </c>
      <c r="G46" s="40">
        <v>0.12</v>
      </c>
      <c r="O46" s="64" t="s">
        <v>211</v>
      </c>
      <c r="P46" s="64" t="s">
        <v>56</v>
      </c>
      <c r="Q46" s="64" t="s">
        <v>212</v>
      </c>
      <c r="R46" s="65"/>
      <c r="AF46" s="4"/>
    </row>
    <row r="47" spans="1:32" ht="15.75" customHeight="1">
      <c r="A47" s="4"/>
      <c r="B47" s="13" t="s">
        <v>213</v>
      </c>
      <c r="C47" s="40">
        <v>0.25</v>
      </c>
      <c r="D47" s="40">
        <v>0.56999999999999995</v>
      </c>
      <c r="E47" s="40">
        <v>0.46</v>
      </c>
      <c r="F47" s="40">
        <v>0.54</v>
      </c>
      <c r="G47" s="40">
        <v>0.43</v>
      </c>
      <c r="O47" s="62">
        <f>C4/O45</f>
        <v>96.505376344086017</v>
      </c>
      <c r="P47" s="62">
        <f ca="1">C3/P45</f>
        <v>86.63510101010101</v>
      </c>
      <c r="Q47" s="62">
        <f ca="1">C3/Q45</f>
        <v>82.343269969278012</v>
      </c>
      <c r="R47" s="66"/>
      <c r="AF47" s="4"/>
    </row>
    <row r="48" spans="1:32" ht="15.75" customHeight="1">
      <c r="A48" s="4"/>
      <c r="Q48" s="6"/>
      <c r="S48" s="67"/>
      <c r="W48" s="6"/>
      <c r="X48" s="6"/>
      <c r="Y48" s="6"/>
      <c r="Z48" s="6"/>
      <c r="AA48" s="6"/>
      <c r="AC48" s="4"/>
      <c r="AD48" s="4"/>
      <c r="AE48" s="4"/>
      <c r="AF48" s="4"/>
    </row>
    <row r="49" spans="1:32" ht="15.75" customHeight="1">
      <c r="A49" s="4"/>
      <c r="B49" s="39" t="s">
        <v>214</v>
      </c>
      <c r="D49" s="4"/>
      <c r="E49" s="4"/>
      <c r="F49" s="4"/>
      <c r="G49" s="39" t="s">
        <v>214</v>
      </c>
      <c r="I49" s="4"/>
      <c r="J49" s="4"/>
      <c r="L49" s="39" t="s">
        <v>214</v>
      </c>
      <c r="N49" s="4"/>
      <c r="O49" s="4"/>
      <c r="Q49" s="39" t="s">
        <v>215</v>
      </c>
      <c r="U49" s="4"/>
      <c r="W49" s="6"/>
      <c r="X49" s="6"/>
      <c r="Y49" s="6"/>
      <c r="Z49" s="6"/>
      <c r="AA49" s="35"/>
      <c r="AC49" s="4"/>
      <c r="AD49" s="4"/>
      <c r="AE49" s="4"/>
      <c r="AF49" s="4"/>
    </row>
    <row r="50" spans="1:32" ht="15.75" customHeight="1">
      <c r="A50" s="4"/>
      <c r="B50" s="39" t="s">
        <v>216</v>
      </c>
      <c r="C50" s="39" t="s">
        <v>216</v>
      </c>
      <c r="D50" s="39" t="s">
        <v>217</v>
      </c>
      <c r="E50" s="39" t="s">
        <v>40</v>
      </c>
      <c r="F50" s="4"/>
      <c r="G50" s="39" t="s">
        <v>218</v>
      </c>
      <c r="H50" s="39" t="s">
        <v>218</v>
      </c>
      <c r="I50" s="39" t="s">
        <v>219</v>
      </c>
      <c r="J50" s="39" t="s">
        <v>40</v>
      </c>
      <c r="L50" s="39" t="s">
        <v>220</v>
      </c>
      <c r="M50" s="39" t="s">
        <v>220</v>
      </c>
      <c r="N50" s="39" t="s">
        <v>221</v>
      </c>
      <c r="O50" s="39" t="s">
        <v>40</v>
      </c>
      <c r="Q50" s="39" t="s">
        <v>216</v>
      </c>
      <c r="R50" s="39" t="s">
        <v>216</v>
      </c>
      <c r="S50" s="39" t="s">
        <v>217</v>
      </c>
      <c r="T50" s="39" t="s">
        <v>29</v>
      </c>
      <c r="U50" s="39" t="s">
        <v>40</v>
      </c>
      <c r="W50" s="39" t="s">
        <v>81</v>
      </c>
      <c r="X50" s="39" t="s">
        <v>216</v>
      </c>
      <c r="Y50" s="39" t="s">
        <v>217</v>
      </c>
      <c r="Z50" s="39" t="s">
        <v>222</v>
      </c>
      <c r="AA50" s="39" t="s">
        <v>40</v>
      </c>
      <c r="AC50" s="4"/>
      <c r="AD50" s="4"/>
      <c r="AE50" s="4"/>
      <c r="AF50" s="4"/>
    </row>
    <row r="51" spans="1:32" ht="15.75" customHeight="1">
      <c r="A51" s="4"/>
      <c r="B51" s="13" t="s">
        <v>6</v>
      </c>
      <c r="C51" s="13">
        <v>791</v>
      </c>
      <c r="D51" s="13">
        <v>677</v>
      </c>
      <c r="E51" s="40">
        <f t="shared" ref="E51:E57" si="21">(C51/D51)^(1/1)-1</f>
        <v>0.16838995568685378</v>
      </c>
      <c r="F51" s="68"/>
      <c r="G51" s="13" t="s">
        <v>6</v>
      </c>
      <c r="H51" s="13">
        <v>749</v>
      </c>
      <c r="I51" s="13">
        <v>657</v>
      </c>
      <c r="J51" s="40">
        <f t="shared" ref="J51:J57" si="22">(H51/I51)^(1/1)-1</f>
        <v>0.14003044140030441</v>
      </c>
      <c r="L51" s="13" t="s">
        <v>6</v>
      </c>
      <c r="M51" s="13">
        <v>2849</v>
      </c>
      <c r="N51" s="13">
        <v>2536</v>
      </c>
      <c r="O51" s="40">
        <f t="shared" ref="O51:O57" si="23">(M51/N51)^(1/1)-1</f>
        <v>0.12342271293375395</v>
      </c>
      <c r="Q51" s="13" t="s">
        <v>223</v>
      </c>
      <c r="R51" s="13">
        <v>327</v>
      </c>
      <c r="S51" s="13">
        <v>293</v>
      </c>
      <c r="T51" s="40">
        <f t="shared" ref="T51:T56" si="24">R51/$R$58</f>
        <v>0.57978723404255317</v>
      </c>
      <c r="U51" s="40">
        <f t="shared" ref="U51:U56" si="25">(R51/S51)^(1/1)-1</f>
        <v>0.11604095563139927</v>
      </c>
      <c r="W51" s="69" t="s">
        <v>24</v>
      </c>
      <c r="X51" s="13">
        <v>562</v>
      </c>
      <c r="Y51" s="12">
        <v>487</v>
      </c>
      <c r="Z51" s="54">
        <f t="shared" ref="Z51:Z53" si="26">X51/$X$55</f>
        <v>0.7104930467762326</v>
      </c>
      <c r="AA51" s="54">
        <f t="shared" ref="AA51:AA53" si="27">(X51/Y51)^(1/1)-1</f>
        <v>0.15400410677618059</v>
      </c>
      <c r="AC51" s="4"/>
      <c r="AD51" s="4"/>
      <c r="AE51" s="4"/>
      <c r="AF51" s="4"/>
    </row>
    <row r="52" spans="1:32" ht="15.75" customHeight="1">
      <c r="A52" s="4"/>
      <c r="B52" s="13" t="s">
        <v>215</v>
      </c>
      <c r="C52" s="13">
        <v>564</v>
      </c>
      <c r="D52" s="13">
        <v>485</v>
      </c>
      <c r="E52" s="40">
        <f t="shared" si="21"/>
        <v>0.16288659793814442</v>
      </c>
      <c r="G52" s="13" t="s">
        <v>215</v>
      </c>
      <c r="H52" s="13">
        <v>538</v>
      </c>
      <c r="I52" s="13">
        <v>469</v>
      </c>
      <c r="J52" s="40">
        <f t="shared" si="22"/>
        <v>0.14712153518123672</v>
      </c>
      <c r="L52" s="13" t="s">
        <v>215</v>
      </c>
      <c r="M52" s="13">
        <v>2002</v>
      </c>
      <c r="N52" s="13">
        <v>1830</v>
      </c>
      <c r="O52" s="40">
        <f t="shared" si="23"/>
        <v>9.3989071038251382E-2</v>
      </c>
      <c r="Q52" s="13" t="s">
        <v>224</v>
      </c>
      <c r="R52" s="13">
        <v>127</v>
      </c>
      <c r="S52" s="13">
        <v>100</v>
      </c>
      <c r="T52" s="40">
        <f t="shared" si="24"/>
        <v>0.225177304964539</v>
      </c>
      <c r="U52" s="40">
        <f t="shared" si="25"/>
        <v>0.27</v>
      </c>
      <c r="W52" s="13" t="s">
        <v>225</v>
      </c>
      <c r="X52" s="13">
        <v>111</v>
      </c>
      <c r="Y52" s="12">
        <v>99</v>
      </c>
      <c r="Z52" s="54">
        <f t="shared" si="26"/>
        <v>0.14032869785082175</v>
      </c>
      <c r="AA52" s="54">
        <f t="shared" si="27"/>
        <v>0.1212121212121211</v>
      </c>
      <c r="AC52" s="4"/>
      <c r="AD52" s="4"/>
      <c r="AE52" s="4"/>
      <c r="AF52" s="4"/>
    </row>
    <row r="53" spans="1:32" ht="15.75" customHeight="1">
      <c r="A53" s="4"/>
      <c r="B53" s="13" t="s">
        <v>226</v>
      </c>
      <c r="C53" s="13">
        <v>7</v>
      </c>
      <c r="D53" s="13">
        <v>6</v>
      </c>
      <c r="E53" s="40">
        <f t="shared" si="21"/>
        <v>0.16666666666666674</v>
      </c>
      <c r="G53" s="13" t="s">
        <v>226</v>
      </c>
      <c r="H53" s="13">
        <v>6</v>
      </c>
      <c r="I53" s="13">
        <v>5</v>
      </c>
      <c r="J53" s="40">
        <f t="shared" si="22"/>
        <v>0.19999999999999996</v>
      </c>
      <c r="L53" s="13" t="s">
        <v>226</v>
      </c>
      <c r="M53" s="13">
        <v>24</v>
      </c>
      <c r="N53" s="13">
        <v>22</v>
      </c>
      <c r="O53" s="40">
        <f t="shared" si="23"/>
        <v>9.0909090909090828E-2</v>
      </c>
      <c r="Q53" s="13" t="s">
        <v>227</v>
      </c>
      <c r="R53" s="13">
        <v>50</v>
      </c>
      <c r="S53" s="13">
        <v>42</v>
      </c>
      <c r="T53" s="40">
        <f t="shared" si="24"/>
        <v>8.8652482269503549E-2</v>
      </c>
      <c r="U53" s="40">
        <f t="shared" si="25"/>
        <v>0.19047619047619047</v>
      </c>
      <c r="W53" s="13" t="s">
        <v>228</v>
      </c>
      <c r="X53" s="13">
        <v>118</v>
      </c>
      <c r="Y53" s="12">
        <v>91</v>
      </c>
      <c r="Z53" s="54">
        <f t="shared" si="26"/>
        <v>0.14917825537294563</v>
      </c>
      <c r="AA53" s="54">
        <f t="shared" si="27"/>
        <v>0.29670329670329676</v>
      </c>
      <c r="AC53" s="4"/>
      <c r="AD53" s="4"/>
      <c r="AE53" s="4"/>
      <c r="AF53" s="4"/>
    </row>
    <row r="54" spans="1:32" ht="15.75" customHeight="1">
      <c r="A54" s="4"/>
      <c r="B54" s="13" t="s">
        <v>229</v>
      </c>
      <c r="C54" s="13">
        <v>250</v>
      </c>
      <c r="D54" s="13">
        <v>227</v>
      </c>
      <c r="E54" s="40">
        <f t="shared" si="21"/>
        <v>0.1013215859030836</v>
      </c>
      <c r="G54" s="13" t="s">
        <v>229</v>
      </c>
      <c r="H54" s="13">
        <v>732</v>
      </c>
      <c r="I54" s="13">
        <v>339</v>
      </c>
      <c r="J54" s="40">
        <f t="shared" si="22"/>
        <v>1.1592920353982299</v>
      </c>
      <c r="L54" s="13" t="s">
        <v>229</v>
      </c>
      <c r="M54" s="13">
        <v>1920</v>
      </c>
      <c r="N54" s="13">
        <v>1119</v>
      </c>
      <c r="O54" s="40">
        <f t="shared" si="23"/>
        <v>0.71581769436997322</v>
      </c>
      <c r="Q54" s="13" t="s">
        <v>230</v>
      </c>
      <c r="R54" s="13">
        <v>31</v>
      </c>
      <c r="S54" s="13">
        <v>26</v>
      </c>
      <c r="T54" s="40">
        <f t="shared" si="24"/>
        <v>5.4964539007092202E-2</v>
      </c>
      <c r="U54" s="40">
        <f t="shared" si="25"/>
        <v>0.19230769230769229</v>
      </c>
      <c r="W54" s="13"/>
      <c r="X54" s="13"/>
      <c r="Y54" s="12"/>
      <c r="Z54" s="12"/>
      <c r="AA54" s="12"/>
      <c r="AC54" s="4"/>
      <c r="AD54" s="4"/>
      <c r="AE54" s="4"/>
      <c r="AF54" s="4"/>
    </row>
    <row r="55" spans="1:32" ht="15.75" customHeight="1">
      <c r="A55" s="4"/>
      <c r="B55" s="13" t="s">
        <v>7</v>
      </c>
      <c r="C55" s="13">
        <v>343</v>
      </c>
      <c r="D55" s="13">
        <v>259</v>
      </c>
      <c r="E55" s="40">
        <f t="shared" si="21"/>
        <v>0.32432432432432434</v>
      </c>
      <c r="F55" s="35"/>
      <c r="G55" s="13" t="s">
        <v>7</v>
      </c>
      <c r="H55" s="13">
        <v>677</v>
      </c>
      <c r="I55" s="13">
        <v>88</v>
      </c>
      <c r="J55" s="40">
        <f t="shared" si="22"/>
        <v>6.6931818181818183</v>
      </c>
      <c r="K55" s="67"/>
      <c r="L55" s="13" t="s">
        <v>7</v>
      </c>
      <c r="M55" s="13">
        <v>1310</v>
      </c>
      <c r="N55" s="13">
        <v>594</v>
      </c>
      <c r="O55" s="40">
        <f t="shared" si="23"/>
        <v>1.2053872053872055</v>
      </c>
      <c r="Q55" s="13" t="s">
        <v>231</v>
      </c>
      <c r="R55" s="13">
        <v>22</v>
      </c>
      <c r="S55" s="13">
        <v>19</v>
      </c>
      <c r="T55" s="40">
        <f t="shared" si="24"/>
        <v>3.9007092198581561E-2</v>
      </c>
      <c r="U55" s="40">
        <f t="shared" si="25"/>
        <v>0.15789473684210531</v>
      </c>
      <c r="W55" s="70" t="s">
        <v>22</v>
      </c>
      <c r="X55" s="70">
        <f t="shared" ref="X55:Y55" si="28">SUM(X51:X53)</f>
        <v>791</v>
      </c>
      <c r="Y55" s="70">
        <f t="shared" si="28"/>
        <v>677</v>
      </c>
      <c r="Z55" s="71">
        <f>X55/$X$55</f>
        <v>1</v>
      </c>
      <c r="AA55" s="71">
        <f>(X55/Y55)^(1/1)-1</f>
        <v>0.16838995568685378</v>
      </c>
      <c r="AC55" s="4"/>
      <c r="AD55" s="4"/>
      <c r="AE55" s="4"/>
      <c r="AF55" s="4"/>
    </row>
    <row r="56" spans="1:32" ht="15.75" customHeight="1">
      <c r="A56" s="4"/>
      <c r="B56" s="13" t="s">
        <v>9</v>
      </c>
      <c r="C56" s="13">
        <v>129</v>
      </c>
      <c r="D56" s="13">
        <v>129</v>
      </c>
      <c r="E56" s="40">
        <f t="shared" si="21"/>
        <v>0</v>
      </c>
      <c r="F56" s="35"/>
      <c r="G56" s="13" t="s">
        <v>9</v>
      </c>
      <c r="H56" s="13">
        <v>129</v>
      </c>
      <c r="I56" s="13">
        <v>129</v>
      </c>
      <c r="J56" s="40">
        <f t="shared" si="22"/>
        <v>0</v>
      </c>
      <c r="L56" s="13" t="s">
        <v>9</v>
      </c>
      <c r="M56" s="13">
        <v>129</v>
      </c>
      <c r="N56" s="13">
        <v>129</v>
      </c>
      <c r="O56" s="40">
        <f t="shared" si="23"/>
        <v>0</v>
      </c>
      <c r="Q56" s="13" t="s">
        <v>226</v>
      </c>
      <c r="R56" s="13">
        <v>7</v>
      </c>
      <c r="S56" s="13">
        <v>6</v>
      </c>
      <c r="T56" s="40">
        <f t="shared" si="24"/>
        <v>1.2411347517730497E-2</v>
      </c>
      <c r="U56" s="40">
        <f t="shared" si="25"/>
        <v>0.16666666666666674</v>
      </c>
      <c r="X56" s="6"/>
      <c r="Y56" s="6"/>
      <c r="Z56" s="6"/>
      <c r="AA56" s="6"/>
      <c r="AB56" s="6"/>
      <c r="AC56" s="4"/>
      <c r="AD56" s="4"/>
      <c r="AE56" s="4"/>
      <c r="AF56" s="4"/>
    </row>
    <row r="57" spans="1:32" ht="15.75" customHeight="1">
      <c r="A57" s="4"/>
      <c r="B57" s="13" t="s">
        <v>8</v>
      </c>
      <c r="C57" s="13">
        <v>4.57</v>
      </c>
      <c r="D57" s="13">
        <v>3.61</v>
      </c>
      <c r="E57" s="40">
        <f t="shared" si="21"/>
        <v>0.26592797783933531</v>
      </c>
      <c r="F57" s="4"/>
      <c r="G57" s="13" t="s">
        <v>8</v>
      </c>
      <c r="H57" s="13">
        <v>7.16</v>
      </c>
      <c r="I57" s="13">
        <v>0.94</v>
      </c>
      <c r="J57" s="40">
        <f t="shared" si="22"/>
        <v>6.6170212765957457</v>
      </c>
      <c r="L57" s="13" t="s">
        <v>8</v>
      </c>
      <c r="M57" s="13">
        <v>14.88</v>
      </c>
      <c r="N57" s="13">
        <v>8.8800000000000008</v>
      </c>
      <c r="O57" s="40">
        <f t="shared" si="23"/>
        <v>0.67567567567567566</v>
      </c>
      <c r="Q57" s="4"/>
      <c r="R57" s="4"/>
      <c r="S57" s="4"/>
      <c r="T57" s="4"/>
      <c r="U57" s="4"/>
      <c r="X57" s="6"/>
      <c r="Y57" s="6"/>
      <c r="Z57" s="6"/>
      <c r="AA57" s="6"/>
      <c r="AB57" s="6"/>
      <c r="AC57" s="4"/>
      <c r="AD57" s="4"/>
      <c r="AE57" s="4"/>
      <c r="AF57" s="4"/>
    </row>
    <row r="58" spans="1:32" ht="15.75" customHeight="1">
      <c r="A58" s="4"/>
      <c r="B58" s="13" t="s">
        <v>232</v>
      </c>
      <c r="C58" s="40">
        <f t="shared" ref="C58:D58" si="29">C54/C51</f>
        <v>0.31605562579013907</v>
      </c>
      <c r="D58" s="40">
        <f t="shared" si="29"/>
        <v>0.33530280649926147</v>
      </c>
      <c r="E58" s="40">
        <f t="shared" ref="E58:E60" si="30">C58-D58</f>
        <v>-1.9247180709122402E-2</v>
      </c>
      <c r="F58" s="72"/>
      <c r="G58" s="13" t="s">
        <v>232</v>
      </c>
      <c r="H58" s="40">
        <f t="shared" ref="H58:I58" si="31">H54/H51</f>
        <v>0.97730307076101464</v>
      </c>
      <c r="I58" s="40">
        <f t="shared" si="31"/>
        <v>0.51598173515981738</v>
      </c>
      <c r="J58" s="40">
        <f t="shared" ref="J58:J60" si="32">H58-I58</f>
        <v>0.46132133560119726</v>
      </c>
      <c r="L58" s="13" t="s">
        <v>232</v>
      </c>
      <c r="M58" s="40">
        <f t="shared" ref="M58:N58" si="33">M54/M51</f>
        <v>0.6739206739206739</v>
      </c>
      <c r="N58" s="40">
        <f t="shared" si="33"/>
        <v>0.44124605678233436</v>
      </c>
      <c r="O58" s="40">
        <f t="shared" ref="O58:O60" si="34">M58-N58</f>
        <v>0.23267461713833953</v>
      </c>
      <c r="P58" s="73"/>
      <c r="Q58" s="74" t="s">
        <v>39</v>
      </c>
      <c r="R58" s="75">
        <f t="shared" ref="R58:S58" si="35">SUM(R51:R56)</f>
        <v>564</v>
      </c>
      <c r="S58" s="75">
        <f t="shared" si="35"/>
        <v>486</v>
      </c>
      <c r="T58" s="76">
        <f>R58/$R$58</f>
        <v>1</v>
      </c>
      <c r="U58" s="76">
        <f>(R58/S58)^(1/1)-1</f>
        <v>0.16049382716049387</v>
      </c>
      <c r="X58" s="4"/>
      <c r="Y58" s="4"/>
      <c r="Z58" s="4"/>
      <c r="AA58" s="4"/>
      <c r="AB58" s="4"/>
      <c r="AC58" s="4"/>
      <c r="AD58" s="4"/>
      <c r="AE58" s="4"/>
      <c r="AF58" s="4"/>
    </row>
    <row r="59" spans="1:32" ht="15.75" customHeight="1">
      <c r="A59" s="4"/>
      <c r="B59" s="13" t="s">
        <v>233</v>
      </c>
      <c r="C59" s="40">
        <f t="shared" ref="C59:D59" si="36">C55/C51</f>
        <v>0.4336283185840708</v>
      </c>
      <c r="D59" s="40">
        <f t="shared" si="36"/>
        <v>0.38257016248153619</v>
      </c>
      <c r="E59" s="40">
        <f t="shared" si="30"/>
        <v>5.1058156102534613E-2</v>
      </c>
      <c r="G59" s="13" t="s">
        <v>233</v>
      </c>
      <c r="H59" s="40">
        <f t="shared" ref="H59:I59" si="37">H55/H51</f>
        <v>0.90387182910547392</v>
      </c>
      <c r="I59" s="40">
        <f t="shared" si="37"/>
        <v>0.13394216133942161</v>
      </c>
      <c r="J59" s="40">
        <f t="shared" si="32"/>
        <v>0.76992966776605232</v>
      </c>
      <c r="K59" s="67"/>
      <c r="L59" s="13" t="s">
        <v>233</v>
      </c>
      <c r="M59" s="40">
        <f t="shared" ref="M59:N59" si="38">M55/M51</f>
        <v>0.45981045981045982</v>
      </c>
      <c r="N59" s="40">
        <f t="shared" si="38"/>
        <v>0.23422712933753942</v>
      </c>
      <c r="O59" s="40">
        <f t="shared" si="34"/>
        <v>0.2255833304729204</v>
      </c>
      <c r="Q59" s="4"/>
      <c r="X59" s="4"/>
      <c r="Y59" s="4"/>
      <c r="Z59" s="4"/>
      <c r="AA59" s="4"/>
      <c r="AB59" s="4"/>
      <c r="AC59" s="4"/>
      <c r="AD59" s="4"/>
      <c r="AE59" s="4"/>
      <c r="AF59" s="4"/>
    </row>
    <row r="60" spans="1:32" ht="15.75" customHeight="1">
      <c r="A60" s="4"/>
      <c r="B60" s="13" t="s">
        <v>52</v>
      </c>
      <c r="C60" s="77">
        <f t="shared" ref="C60:D60" si="39">(C51-C52+C53)/C53</f>
        <v>33.428571428571431</v>
      </c>
      <c r="D60" s="77">
        <f t="shared" si="39"/>
        <v>33</v>
      </c>
      <c r="E60" s="78">
        <f t="shared" si="30"/>
        <v>0.4285714285714306</v>
      </c>
      <c r="G60" s="13" t="s">
        <v>52</v>
      </c>
      <c r="H60" s="77">
        <f t="shared" ref="H60:I60" si="40">(H51-H52+H53)/H53</f>
        <v>36.166666666666664</v>
      </c>
      <c r="I60" s="77">
        <f t="shared" si="40"/>
        <v>38.6</v>
      </c>
      <c r="J60" s="78">
        <f t="shared" si="32"/>
        <v>-2.4333333333333371</v>
      </c>
      <c r="L60" s="13" t="s">
        <v>52</v>
      </c>
      <c r="M60" s="77">
        <f t="shared" ref="M60:N60" si="41">(M51-M52+M53)/M53</f>
        <v>36.291666666666664</v>
      </c>
      <c r="N60" s="77">
        <f t="shared" si="41"/>
        <v>33.090909090909093</v>
      </c>
      <c r="O60" s="78">
        <f t="shared" si="34"/>
        <v>3.2007575757575708</v>
      </c>
      <c r="Q60" s="4"/>
      <c r="X60" s="4"/>
      <c r="Y60" s="4"/>
      <c r="Z60" s="4"/>
      <c r="AA60" s="4"/>
      <c r="AB60" s="4"/>
      <c r="AC60" s="4"/>
      <c r="AD60" s="4"/>
      <c r="AE60" s="4"/>
      <c r="AF60" s="4"/>
    </row>
    <row r="61" spans="1:32" ht="15.75" customHeight="1">
      <c r="A61" s="4"/>
      <c r="K61" s="4"/>
      <c r="L61" s="6"/>
      <c r="M61" s="6"/>
      <c r="O61" s="35"/>
      <c r="P61" s="35"/>
      <c r="Q61" s="4"/>
      <c r="R61" s="6"/>
      <c r="S61" s="6"/>
      <c r="T61" s="6"/>
      <c r="U61" s="6"/>
      <c r="V61" s="6"/>
      <c r="W61" s="6"/>
      <c r="X61" s="4"/>
      <c r="Y61" s="4"/>
      <c r="Z61" s="4"/>
      <c r="AA61" s="4"/>
      <c r="AB61" s="4"/>
      <c r="AC61" s="4"/>
      <c r="AD61" s="4"/>
      <c r="AE61" s="4"/>
      <c r="AF61" s="4"/>
    </row>
    <row r="62" spans="1:32" ht="15.75" customHeight="1">
      <c r="A62" s="4"/>
      <c r="B62" s="39" t="s">
        <v>40</v>
      </c>
      <c r="C62" s="37" t="s">
        <v>70</v>
      </c>
      <c r="D62" s="38" t="s">
        <v>71</v>
      </c>
      <c r="E62" s="39" t="s">
        <v>72</v>
      </c>
      <c r="F62" s="39" t="s">
        <v>8</v>
      </c>
      <c r="G62" s="39" t="s">
        <v>233</v>
      </c>
      <c r="H62" s="39" t="s">
        <v>234</v>
      </c>
      <c r="I62" s="79"/>
      <c r="Q62" s="4"/>
      <c r="R62" s="39" t="s">
        <v>235</v>
      </c>
      <c r="S62" s="39" t="s">
        <v>236</v>
      </c>
      <c r="T62" s="39" t="s">
        <v>237</v>
      </c>
      <c r="U62" s="39" t="s">
        <v>40</v>
      </c>
      <c r="V62" s="68"/>
      <c r="W62" s="68"/>
      <c r="X62" s="4"/>
      <c r="Y62" s="4"/>
      <c r="Z62" s="4"/>
      <c r="AA62" s="4"/>
      <c r="AB62" s="4"/>
      <c r="AC62" s="4"/>
      <c r="AD62" s="4"/>
      <c r="AE62" s="4"/>
      <c r="AF62" s="4"/>
    </row>
    <row r="63" spans="1:32" ht="15.75" customHeight="1">
      <c r="A63" s="4"/>
      <c r="B63" s="4"/>
      <c r="C63" s="41" t="s">
        <v>238</v>
      </c>
      <c r="D63" s="54">
        <v>0.2</v>
      </c>
      <c r="E63" s="54">
        <f>(E67/E35)-1</f>
        <v>0.12220152671755713</v>
      </c>
      <c r="F63" s="54">
        <v>0.12</v>
      </c>
      <c r="G63" s="54">
        <v>0.43</v>
      </c>
      <c r="H63" s="54">
        <v>0.1</v>
      </c>
      <c r="I63" s="58"/>
      <c r="Q63" s="4"/>
      <c r="R63" s="69" t="s">
        <v>239</v>
      </c>
      <c r="S63" s="40">
        <v>0.53239999999999998</v>
      </c>
      <c r="T63" s="54">
        <v>0.38109999999999999</v>
      </c>
      <c r="U63" s="54">
        <f t="shared" ref="U63:U67" si="42">(T63/S63)-1</f>
        <v>-0.28418482344102181</v>
      </c>
      <c r="V63" s="68"/>
      <c r="W63" s="68"/>
      <c r="X63" s="4"/>
      <c r="Y63" s="4"/>
      <c r="Z63" s="4"/>
      <c r="AA63" s="4"/>
      <c r="AB63" s="4"/>
      <c r="AC63" s="4"/>
      <c r="AD63" s="4"/>
      <c r="AE63" s="4"/>
      <c r="AF63" s="4"/>
    </row>
    <row r="64" spans="1:32" ht="15.75" customHeight="1">
      <c r="A64" s="4"/>
      <c r="B64" s="4"/>
      <c r="C64" s="41" t="s">
        <v>240</v>
      </c>
      <c r="D64" s="54">
        <v>0.15</v>
      </c>
      <c r="E64" s="54">
        <v>0.15</v>
      </c>
      <c r="F64" s="54">
        <v>0.15</v>
      </c>
      <c r="G64" s="54">
        <f>AVERAGE(G39:G42)</f>
        <v>0.39165332008417114</v>
      </c>
      <c r="H64" s="54">
        <v>0.12</v>
      </c>
      <c r="I64" s="35"/>
      <c r="Q64" s="4"/>
      <c r="R64" s="13" t="s">
        <v>241</v>
      </c>
      <c r="S64" s="40">
        <f>2.33%+0.09%</f>
        <v>2.4200000000000003E-2</v>
      </c>
      <c r="T64" s="54">
        <f>11.44%+0.35%+4.45%</f>
        <v>0.16240000000000002</v>
      </c>
      <c r="U64" s="54">
        <f t="shared" si="42"/>
        <v>5.7107438016528924</v>
      </c>
      <c r="W64" s="4"/>
      <c r="X64" s="4"/>
      <c r="Y64" s="4"/>
      <c r="Z64" s="4"/>
      <c r="AA64" s="4"/>
      <c r="AB64" s="4"/>
      <c r="AC64" s="4"/>
      <c r="AD64" s="4"/>
      <c r="AE64" s="4"/>
      <c r="AF64" s="4"/>
    </row>
    <row r="65" spans="1:32" ht="15.75" customHeight="1">
      <c r="A65" s="4"/>
      <c r="B65" s="4"/>
      <c r="C65" s="57"/>
      <c r="D65" s="4"/>
      <c r="E65" s="58"/>
      <c r="F65" s="59"/>
      <c r="G65" s="4"/>
      <c r="H65" s="58"/>
      <c r="I65" s="35"/>
      <c r="Q65" s="4"/>
      <c r="R65" s="13" t="s">
        <v>242</v>
      </c>
      <c r="S65" s="40">
        <v>0.13250000000000001</v>
      </c>
      <c r="T65" s="54">
        <v>0.32719999999999999</v>
      </c>
      <c r="U65" s="54">
        <f t="shared" si="42"/>
        <v>1.4694339622641506</v>
      </c>
      <c r="W65" s="4"/>
      <c r="X65" s="4"/>
      <c r="Y65" s="4"/>
      <c r="Z65" s="4"/>
      <c r="AA65" s="4"/>
      <c r="AB65" s="4"/>
      <c r="AC65" s="4"/>
      <c r="AD65" s="4"/>
      <c r="AE65" s="4"/>
      <c r="AF65" s="4"/>
    </row>
    <row r="66" spans="1:32" ht="15.75" customHeight="1">
      <c r="A66" s="4"/>
      <c r="B66" s="36" t="s">
        <v>243</v>
      </c>
      <c r="C66" s="37" t="s">
        <v>70</v>
      </c>
      <c r="D66" s="38" t="s">
        <v>71</v>
      </c>
      <c r="E66" s="39" t="s">
        <v>72</v>
      </c>
      <c r="F66" s="39" t="s">
        <v>8</v>
      </c>
      <c r="G66" s="39" t="s">
        <v>58</v>
      </c>
      <c r="H66" s="39" t="s">
        <v>244</v>
      </c>
      <c r="I66" s="39" t="s">
        <v>245</v>
      </c>
      <c r="J66" s="39" t="s">
        <v>246</v>
      </c>
      <c r="K66" s="39" t="s">
        <v>244</v>
      </c>
      <c r="L66" s="39" t="s">
        <v>247</v>
      </c>
      <c r="M66" s="39" t="s">
        <v>246</v>
      </c>
      <c r="N66" s="39" t="s">
        <v>248</v>
      </c>
      <c r="O66" s="6"/>
      <c r="P66" s="6"/>
      <c r="Q66" s="4"/>
      <c r="R66" s="13" t="s">
        <v>249</v>
      </c>
      <c r="S66" s="40">
        <f>12.73%+5.2%</f>
        <v>0.17930000000000001</v>
      </c>
      <c r="T66" s="54">
        <f>5.25%+5.94%</f>
        <v>0.1119</v>
      </c>
      <c r="U66" s="54">
        <f t="shared" si="42"/>
        <v>-0.37590630228667044</v>
      </c>
      <c r="W66" s="4"/>
      <c r="X66" s="4"/>
      <c r="Y66" s="4"/>
      <c r="Z66" s="4"/>
      <c r="AA66" s="4"/>
      <c r="AB66" s="4"/>
      <c r="AC66" s="4"/>
      <c r="AD66" s="4"/>
      <c r="AE66" s="4"/>
      <c r="AF66" s="4"/>
    </row>
    <row r="67" spans="1:32" ht="15.75" customHeight="1">
      <c r="A67" s="4"/>
      <c r="B67" s="13" t="s">
        <v>250</v>
      </c>
      <c r="C67" s="80" t="s">
        <v>251</v>
      </c>
      <c r="D67" s="45">
        <f>FV(D63,1,0,-D35,0)</f>
        <v>3418.7999999999997</v>
      </c>
      <c r="E67" s="45">
        <f t="shared" ref="E67:E68" si="43">D67*G63</f>
        <v>1470.0839999999998</v>
      </c>
      <c r="F67" s="45">
        <f>FV(F63,1,0,-F35,0)/5</f>
        <v>16.665600000000005</v>
      </c>
      <c r="G67" s="45">
        <f>((F67*70%)+J35)/5</f>
        <v>543.44946306976749</v>
      </c>
      <c r="H67" s="81">
        <f t="shared" ref="H67:H69" si="44">17*F67</f>
        <v>283.31520000000006</v>
      </c>
      <c r="I67" s="82">
        <f t="shared" ref="I67:I69" si="45">AVERAGE(H67,J67)</f>
        <v>474.96960000000013</v>
      </c>
      <c r="J67" s="82">
        <f t="shared" ref="J67:J69" si="46">40*F67</f>
        <v>666.62400000000025</v>
      </c>
      <c r="K67" s="83">
        <f>3*G67</f>
        <v>1630.3483892093025</v>
      </c>
      <c r="L67" s="82">
        <f t="shared" ref="L67:L69" si="47">AVERAGE(K67,M67)</f>
        <v>2717.2473153488377</v>
      </c>
      <c r="M67" s="83">
        <f t="shared" ref="M67:M69" si="48">7*G67</f>
        <v>3804.1462414883727</v>
      </c>
      <c r="N67" s="82">
        <f t="shared" ref="N67:N69" si="49">I67*60%+L67*40%</f>
        <v>1371.8806861395353</v>
      </c>
      <c r="P67" s="6"/>
      <c r="Q67" s="4"/>
      <c r="R67" s="13" t="s">
        <v>228</v>
      </c>
      <c r="S67" s="40">
        <v>0.1179</v>
      </c>
      <c r="T67" s="40">
        <v>1.4E-2</v>
      </c>
      <c r="U67" s="54">
        <f t="shared" si="42"/>
        <v>-0.8812553011026294</v>
      </c>
      <c r="W67" s="4"/>
      <c r="X67" s="4"/>
      <c r="Y67" s="4"/>
      <c r="Z67" s="4"/>
      <c r="AA67" s="4"/>
      <c r="AB67" s="4"/>
      <c r="AC67" s="4"/>
      <c r="AD67" s="4"/>
      <c r="AE67" s="4"/>
      <c r="AF67" s="4"/>
    </row>
    <row r="68" spans="1:32" ht="15.75" customHeight="1">
      <c r="A68" s="4"/>
      <c r="B68" s="4"/>
      <c r="C68" s="80" t="s">
        <v>252</v>
      </c>
      <c r="D68" s="45">
        <f>FV(D64,4,0,-D67,0)</f>
        <v>5979.5025674999979</v>
      </c>
      <c r="E68" s="45">
        <f t="shared" si="43"/>
        <v>2341.8920330132</v>
      </c>
      <c r="F68" s="45">
        <f>(E68*F67)/E67</f>
        <v>26.548847457277816</v>
      </c>
      <c r="G68" s="45">
        <f>FV(H64,4,0,-G67,0)</f>
        <v>855.12825132188436</v>
      </c>
      <c r="H68" s="81">
        <f t="shared" si="44"/>
        <v>451.33040677372287</v>
      </c>
      <c r="I68" s="82">
        <f t="shared" si="45"/>
        <v>756.64215253241775</v>
      </c>
      <c r="J68" s="82">
        <f t="shared" si="46"/>
        <v>1061.9538982911126</v>
      </c>
      <c r="K68" s="83">
        <f t="shared" ref="K68:K69" si="50">3.8*G68</f>
        <v>3249.4873550231605</v>
      </c>
      <c r="L68" s="82">
        <f t="shared" si="47"/>
        <v>4617.6925571381753</v>
      </c>
      <c r="M68" s="83">
        <f t="shared" si="48"/>
        <v>5985.8977592531901</v>
      </c>
      <c r="N68" s="82">
        <f t="shared" si="49"/>
        <v>2301.0623143747207</v>
      </c>
      <c r="P68" s="6"/>
      <c r="Q68" s="4"/>
      <c r="W68" s="4"/>
      <c r="X68" s="4"/>
      <c r="Y68" s="4"/>
      <c r="Z68" s="4"/>
      <c r="AA68" s="4"/>
      <c r="AB68" s="4"/>
      <c r="AC68" s="4"/>
      <c r="AD68" s="4"/>
      <c r="AE68" s="4"/>
      <c r="AF68" s="4"/>
    </row>
    <row r="69" spans="1:32" ht="15.75" customHeight="1">
      <c r="A69" s="4"/>
      <c r="B69" s="4"/>
      <c r="C69" s="80" t="s">
        <v>253</v>
      </c>
      <c r="D69" s="45">
        <f t="shared" ref="D69:F69" si="51">FV(15%,5,0,-D68,0)</f>
        <v>12026.915466815821</v>
      </c>
      <c r="E69" s="45">
        <f t="shared" si="51"/>
        <v>4710.3813729500853</v>
      </c>
      <c r="F69" s="45">
        <f t="shared" si="51"/>
        <v>53.39921515303682</v>
      </c>
      <c r="G69" s="45">
        <f>FV(12%,5,0,-G68,0)</f>
        <v>1507.0281617864828</v>
      </c>
      <c r="H69" s="81">
        <f t="shared" si="44"/>
        <v>907.78665760162596</v>
      </c>
      <c r="I69" s="82">
        <f t="shared" si="45"/>
        <v>1521.8776318615494</v>
      </c>
      <c r="J69" s="82">
        <f t="shared" si="46"/>
        <v>2135.9686061214729</v>
      </c>
      <c r="K69" s="83">
        <f t="shared" si="50"/>
        <v>5726.7070147886343</v>
      </c>
      <c r="L69" s="82">
        <f t="shared" si="47"/>
        <v>8137.9520736470076</v>
      </c>
      <c r="M69" s="83">
        <f t="shared" si="48"/>
        <v>10549.19713250538</v>
      </c>
      <c r="N69" s="82">
        <f t="shared" si="49"/>
        <v>4168.3074085757326</v>
      </c>
      <c r="P69" s="6"/>
      <c r="Q69" s="4"/>
      <c r="R69" s="70" t="s">
        <v>22</v>
      </c>
      <c r="S69" s="76">
        <v>1</v>
      </c>
      <c r="T69" s="76">
        <v>1</v>
      </c>
      <c r="U69" s="84">
        <f>(T69/S69)-1</f>
        <v>0</v>
      </c>
      <c r="W69" s="4"/>
      <c r="X69" s="4"/>
      <c r="Y69" s="4"/>
      <c r="Z69" s="4"/>
      <c r="AA69" s="4"/>
      <c r="AB69" s="4"/>
      <c r="AC69" s="4"/>
      <c r="AD69" s="4"/>
      <c r="AE69" s="4"/>
      <c r="AF69" s="4"/>
    </row>
    <row r="70" spans="1:32" ht="15.75" customHeight="1">
      <c r="A70" s="4"/>
      <c r="B70" s="4"/>
      <c r="C70" s="85"/>
      <c r="D70" s="6"/>
      <c r="E70" s="6"/>
      <c r="F70" s="6"/>
      <c r="G70" s="6"/>
      <c r="H70" s="6"/>
      <c r="I70" s="6"/>
      <c r="P70" s="6"/>
      <c r="Q70" s="4"/>
      <c r="W70" s="4"/>
      <c r="X70" s="4"/>
      <c r="Y70" s="4"/>
      <c r="Z70" s="4"/>
      <c r="AA70" s="4"/>
      <c r="AB70" s="4"/>
      <c r="AC70" s="4"/>
      <c r="AD70" s="4"/>
      <c r="AE70" s="4"/>
      <c r="AF70" s="4"/>
    </row>
    <row r="71" spans="1:32" ht="15.75" customHeight="1">
      <c r="A71" s="4"/>
      <c r="B71" s="4"/>
      <c r="C71" s="38" t="s">
        <v>254</v>
      </c>
      <c r="D71" s="38" t="s">
        <v>255</v>
      </c>
      <c r="E71" s="38" t="s">
        <v>256</v>
      </c>
      <c r="F71" s="38" t="s">
        <v>257</v>
      </c>
      <c r="G71" s="38" t="s">
        <v>258</v>
      </c>
      <c r="H71" s="6"/>
      <c r="I71" s="6"/>
      <c r="J71" s="6"/>
      <c r="K71" s="6"/>
      <c r="L71" s="6"/>
      <c r="M71" s="6"/>
      <c r="N71" s="6"/>
      <c r="O71" s="6"/>
      <c r="P71" s="6"/>
      <c r="Q71" s="4"/>
      <c r="W71" s="4"/>
      <c r="X71" s="4"/>
      <c r="Y71" s="4"/>
      <c r="Z71" s="4"/>
      <c r="AA71" s="4"/>
      <c r="AB71" s="4"/>
      <c r="AC71" s="4"/>
      <c r="AD71" s="4"/>
      <c r="AE71" s="4"/>
      <c r="AF71" s="4"/>
    </row>
    <row r="72" spans="1:32" ht="15.75" customHeight="1">
      <c r="A72" s="4"/>
      <c r="B72" s="4"/>
      <c r="C72" s="5" t="s">
        <v>24</v>
      </c>
      <c r="D72" s="86">
        <f ca="1">IFERROR(__xludf.DUMMYFUNCTION("GOOGLEFINANCE(""NSE:""&amp;C72,""price"")"),1372.3)</f>
        <v>1372.3</v>
      </c>
      <c r="E72" s="87">
        <v>2.35E-2</v>
      </c>
      <c r="F72" s="88">
        <f ca="1">IFERROR(MAX(0.5, MIN(1,0.75 - 0.3*((D72/N67)-1))),"")</f>
        <v>0.74990830532173081</v>
      </c>
      <c r="G72" s="89">
        <f ca="1">E72*F72</f>
        <v>1.7622845175060672E-2</v>
      </c>
      <c r="H72" s="6"/>
      <c r="I72" s="6"/>
      <c r="J72" s="6"/>
      <c r="K72" s="6"/>
      <c r="L72" s="6"/>
      <c r="M72" s="6"/>
      <c r="N72" s="6"/>
      <c r="O72" s="6"/>
      <c r="P72" s="6"/>
      <c r="Q72" s="4"/>
      <c r="W72" s="4"/>
      <c r="X72" s="4"/>
      <c r="Y72" s="4"/>
      <c r="Z72" s="4"/>
      <c r="AA72" s="4"/>
      <c r="AB72" s="4"/>
      <c r="AC72" s="4"/>
      <c r="AD72" s="4"/>
      <c r="AE72" s="4"/>
      <c r="AF72" s="4"/>
    </row>
    <row r="73" spans="1:32" ht="15.75" customHeight="1">
      <c r="A73" s="4"/>
      <c r="B73" s="4"/>
      <c r="C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W73" s="4"/>
      <c r="X73" s="4"/>
      <c r="Y73" s="4"/>
      <c r="Z73" s="4"/>
      <c r="AA73" s="4"/>
      <c r="AB73" s="4"/>
      <c r="AC73" s="4"/>
      <c r="AD73" s="4"/>
      <c r="AE73" s="4"/>
      <c r="AF73" s="4"/>
    </row>
    <row r="74" spans="1:32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90"/>
      <c r="Q74" s="4"/>
      <c r="X74" s="4"/>
      <c r="Y74" s="4"/>
      <c r="Z74" s="4"/>
      <c r="AA74" s="4"/>
      <c r="AB74" s="4"/>
      <c r="AC74" s="4"/>
      <c r="AD74" s="4"/>
      <c r="AE74" s="4"/>
      <c r="AF74" s="4"/>
    </row>
    <row r="75" spans="1:32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X75" s="4"/>
      <c r="Y75" s="4"/>
      <c r="Z75" s="4"/>
      <c r="AA75" s="4"/>
      <c r="AB75" s="4"/>
      <c r="AC75" s="4"/>
      <c r="AD75" s="4"/>
      <c r="AE75" s="4"/>
      <c r="AF75" s="4"/>
    </row>
    <row r="76" spans="1:32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X76" s="4"/>
      <c r="Y76" s="4"/>
      <c r="Z76" s="4"/>
      <c r="AA76" s="4"/>
      <c r="AB76" s="4"/>
      <c r="AC76" s="4"/>
      <c r="AD76" s="4"/>
      <c r="AE76" s="4"/>
      <c r="AF76" s="4"/>
    </row>
    <row r="77" spans="1:32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X77" s="4"/>
      <c r="Y77" s="4"/>
      <c r="Z77" s="4"/>
      <c r="AA77" s="4"/>
      <c r="AB77" s="4"/>
      <c r="AC77" s="4"/>
      <c r="AD77" s="4"/>
      <c r="AE77" s="4"/>
      <c r="AF77" s="4"/>
    </row>
    <row r="78" spans="1:32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X78" s="4"/>
      <c r="Y78" s="4"/>
      <c r="Z78" s="4"/>
      <c r="AA78" s="4"/>
      <c r="AB78" s="4"/>
      <c r="AC78" s="4"/>
      <c r="AD78" s="4"/>
      <c r="AE78" s="4"/>
      <c r="AF78" s="4"/>
    </row>
    <row r="79" spans="1:32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X79" s="4"/>
      <c r="Y79" s="4"/>
      <c r="Z79" s="4"/>
      <c r="AA79" s="4"/>
      <c r="AB79" s="4"/>
      <c r="AC79" s="4"/>
      <c r="AD79" s="4"/>
      <c r="AE79" s="4"/>
      <c r="AF79" s="4"/>
    </row>
    <row r="80" spans="1:32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X80" s="4"/>
      <c r="Y80" s="4"/>
      <c r="Z80" s="4"/>
      <c r="AA80" s="4"/>
      <c r="AB80" s="4"/>
      <c r="AC80" s="4"/>
      <c r="AD80" s="4"/>
      <c r="AE80" s="4"/>
      <c r="AF80" s="4"/>
    </row>
    <row r="81" spans="1:32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W81" s="4"/>
      <c r="X81" s="4"/>
      <c r="Y81" s="4"/>
      <c r="Z81" s="4"/>
      <c r="AA81" s="4"/>
      <c r="AB81" s="4"/>
      <c r="AC81" s="4"/>
      <c r="AD81" s="4"/>
      <c r="AE81" s="4"/>
      <c r="AF81" s="4"/>
    </row>
    <row r="82" spans="1:3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W82" s="4"/>
      <c r="X82" s="4"/>
      <c r="Y82" s="4"/>
      <c r="Z82" s="4"/>
      <c r="AA82" s="4"/>
      <c r="AB82" s="4"/>
      <c r="AC82" s="4"/>
      <c r="AD82" s="4"/>
      <c r="AE82" s="4"/>
      <c r="AF82" s="4"/>
    </row>
    <row r="83" spans="1:32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W83" s="4"/>
      <c r="X83" s="4"/>
      <c r="Y83" s="4"/>
      <c r="Z83" s="4"/>
      <c r="AA83" s="4"/>
      <c r="AB83" s="4"/>
      <c r="AC83" s="4"/>
      <c r="AD83" s="4"/>
      <c r="AE83" s="4"/>
      <c r="AF83" s="4"/>
    </row>
    <row r="84" spans="1:32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W84" s="4"/>
      <c r="X84" s="4"/>
      <c r="Y84" s="4"/>
      <c r="Z84" s="4"/>
      <c r="AA84" s="4"/>
      <c r="AB84" s="4"/>
      <c r="AC84" s="4"/>
      <c r="AD84" s="4"/>
      <c r="AE84" s="4"/>
      <c r="AF84" s="4"/>
    </row>
    <row r="85" spans="1:32" ht="15.75" customHeight="1">
      <c r="A85" s="4"/>
      <c r="B85" s="6"/>
      <c r="C85" s="6"/>
      <c r="D85" s="6"/>
      <c r="E85" s="6"/>
      <c r="F85" s="6"/>
      <c r="G85" s="6"/>
      <c r="H85" s="4"/>
      <c r="I85" s="4"/>
      <c r="J85" s="4"/>
      <c r="K85" s="4"/>
      <c r="L85" s="4"/>
      <c r="M85" s="4"/>
      <c r="N85" s="4"/>
      <c r="O85" s="4"/>
      <c r="P85" s="4"/>
      <c r="Q85" s="4"/>
      <c r="W85" s="4"/>
      <c r="X85" s="4"/>
      <c r="Y85" s="4"/>
      <c r="Z85" s="4"/>
      <c r="AA85" s="4"/>
      <c r="AB85" s="4"/>
      <c r="AC85" s="4"/>
      <c r="AD85" s="4"/>
      <c r="AE85" s="4"/>
      <c r="AF85" s="4"/>
    </row>
    <row r="86" spans="1:32" ht="15.75" customHeight="1">
      <c r="A86" s="4"/>
      <c r="B86" s="6"/>
      <c r="C86" s="6"/>
      <c r="D86" s="6"/>
      <c r="E86" s="6"/>
      <c r="F86" s="6"/>
      <c r="G86" s="6"/>
      <c r="H86" s="4"/>
      <c r="I86" s="4"/>
      <c r="J86" s="4"/>
      <c r="K86" s="4"/>
      <c r="L86" s="4"/>
      <c r="M86" s="4"/>
      <c r="N86" s="4"/>
      <c r="O86" s="4"/>
      <c r="P86" s="4"/>
      <c r="Q86" s="4"/>
      <c r="W86" s="4"/>
      <c r="X86" s="4"/>
      <c r="Y86" s="4"/>
      <c r="Z86" s="4"/>
      <c r="AA86" s="4"/>
      <c r="AB86" s="4"/>
      <c r="AC86" s="4"/>
      <c r="AD86" s="4"/>
      <c r="AE86" s="4"/>
      <c r="AF86" s="4"/>
    </row>
    <row r="87" spans="1:32" ht="15.75" customHeight="1">
      <c r="A87" s="4"/>
      <c r="B87" s="6"/>
      <c r="C87" s="6"/>
      <c r="D87" s="6"/>
      <c r="E87" s="6"/>
      <c r="F87" s="6"/>
      <c r="G87" s="6"/>
      <c r="H87" s="4"/>
      <c r="I87" s="4"/>
      <c r="J87" s="4"/>
      <c r="K87" s="4"/>
      <c r="L87" s="4"/>
      <c r="M87" s="4"/>
      <c r="N87" s="4"/>
      <c r="O87" s="4"/>
      <c r="P87" s="4"/>
      <c r="Q87" s="4"/>
      <c r="W87" s="4"/>
      <c r="X87" s="4"/>
      <c r="Y87" s="4"/>
      <c r="Z87" s="4"/>
      <c r="AA87" s="4"/>
      <c r="AB87" s="4"/>
      <c r="AC87" s="4"/>
      <c r="AD87" s="4"/>
      <c r="AE87" s="4"/>
      <c r="AF87" s="4"/>
    </row>
    <row r="88" spans="1:32" ht="15.75" customHeight="1">
      <c r="A88" s="4"/>
      <c r="B88" s="6"/>
      <c r="C88" s="6"/>
      <c r="D88" s="6"/>
      <c r="E88" s="6"/>
      <c r="F88" s="6"/>
      <c r="G88" s="6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</row>
    <row r="89" spans="1:32" ht="15.75" customHeight="1">
      <c r="A89" s="4"/>
      <c r="B89" s="6"/>
      <c r="C89" s="6"/>
      <c r="D89" s="6"/>
      <c r="E89" s="6"/>
      <c r="F89" s="6"/>
      <c r="G89" s="6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</row>
    <row r="90" spans="1:32" ht="15.75" customHeight="1">
      <c r="A90" s="4"/>
      <c r="B90" s="6"/>
      <c r="C90" s="6"/>
      <c r="D90" s="6"/>
      <c r="E90" s="6"/>
      <c r="F90" s="6"/>
      <c r="G90" s="6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</row>
    <row r="91" spans="1:32" ht="15.75" customHeight="1">
      <c r="A91" s="4"/>
      <c r="B91" s="6"/>
      <c r="C91" s="6"/>
      <c r="D91" s="6"/>
      <c r="E91" s="6"/>
      <c r="F91" s="6"/>
      <c r="G91" s="6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</row>
    <row r="92" spans="1:32" ht="15.75" customHeight="1">
      <c r="A92" s="4"/>
      <c r="B92" s="6"/>
      <c r="C92" s="6"/>
      <c r="D92" s="6"/>
      <c r="E92" s="6"/>
      <c r="F92" s="6"/>
      <c r="G92" s="6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</row>
    <row r="93" spans="1:32" ht="15.75" customHeight="1">
      <c r="A93" s="4"/>
      <c r="B93" s="6"/>
      <c r="C93" s="6"/>
      <c r="D93" s="6"/>
      <c r="E93" s="6"/>
      <c r="F93" s="6"/>
      <c r="G93" s="6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</row>
    <row r="94" spans="1:32" ht="15.75" customHeight="1">
      <c r="A94" s="4"/>
      <c r="B94" s="6"/>
      <c r="C94" s="6"/>
      <c r="D94" s="6"/>
      <c r="E94" s="6"/>
      <c r="F94" s="6"/>
      <c r="G94" s="6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</row>
    <row r="95" spans="1:32" ht="15.75" customHeight="1">
      <c r="A95" s="4"/>
      <c r="B95" s="6"/>
      <c r="C95" s="6"/>
      <c r="D95" s="6"/>
      <c r="E95" s="6"/>
      <c r="F95" s="6"/>
      <c r="G95" s="6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</row>
    <row r="96" spans="1:32" ht="15.75" customHeight="1">
      <c r="A96" s="4"/>
      <c r="B96" s="6"/>
      <c r="C96" s="6"/>
      <c r="D96" s="6"/>
      <c r="E96" s="6"/>
      <c r="F96" s="6"/>
      <c r="G96" s="6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</row>
    <row r="97" spans="1:32" ht="15.75" customHeight="1">
      <c r="A97" s="4"/>
      <c r="B97" s="6"/>
      <c r="C97" s="6"/>
      <c r="D97" s="6"/>
      <c r="E97" s="6"/>
      <c r="F97" s="6"/>
      <c r="G97" s="6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</row>
    <row r="98" spans="1:32" ht="15.75" customHeight="1">
      <c r="A98" s="4"/>
      <c r="B98" s="6"/>
      <c r="C98" s="6"/>
      <c r="D98" s="6"/>
      <c r="E98" s="6"/>
      <c r="F98" s="6"/>
      <c r="G98" s="6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</row>
    <row r="99" spans="1:32" ht="15.75" customHeight="1">
      <c r="A99" s="4"/>
      <c r="B99" s="6"/>
      <c r="C99" s="6"/>
      <c r="D99" s="6"/>
      <c r="E99" s="6"/>
      <c r="F99" s="6"/>
      <c r="G99" s="6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</row>
    <row r="100" spans="1:32" ht="15.75" customHeight="1">
      <c r="A100" s="4"/>
      <c r="B100" s="6"/>
      <c r="C100" s="6"/>
      <c r="D100" s="6"/>
      <c r="E100" s="6"/>
      <c r="F100" s="6"/>
      <c r="G100" s="6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</row>
    <row r="101" spans="1:32" ht="15.75" customHeight="1">
      <c r="A101" s="4"/>
      <c r="B101" s="6"/>
      <c r="C101" s="6"/>
      <c r="D101" s="6"/>
      <c r="E101" s="6"/>
      <c r="F101" s="6"/>
      <c r="G101" s="6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</row>
    <row r="102" spans="1:32" ht="15.75" customHeight="1">
      <c r="A102" s="4"/>
      <c r="B102" s="6"/>
      <c r="C102" s="6"/>
      <c r="D102" s="6"/>
      <c r="E102" s="6"/>
      <c r="F102" s="6"/>
      <c r="G102" s="6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</row>
    <row r="103" spans="1:32" ht="15.75" customHeight="1">
      <c r="A103" s="4"/>
      <c r="B103" s="6"/>
      <c r="C103" s="6"/>
      <c r="D103" s="6"/>
      <c r="E103" s="6"/>
      <c r="F103" s="6"/>
      <c r="G103" s="6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</row>
    <row r="104" spans="1:32" ht="15.75" customHeight="1">
      <c r="A104" s="4"/>
      <c r="B104" s="6"/>
      <c r="C104" s="6"/>
      <c r="D104" s="6"/>
      <c r="E104" s="6"/>
      <c r="F104" s="6"/>
      <c r="G104" s="6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</row>
    <row r="105" spans="1:32" ht="15.75" customHeight="1">
      <c r="A105" s="4"/>
      <c r="B105" s="6"/>
      <c r="C105" s="6"/>
      <c r="D105" s="6"/>
      <c r="E105" s="6"/>
      <c r="F105" s="6"/>
      <c r="G105" s="6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</row>
    <row r="106" spans="1:32" ht="15.75" customHeight="1">
      <c r="A106" s="4"/>
      <c r="B106" s="6"/>
      <c r="C106" s="6"/>
      <c r="D106" s="6"/>
      <c r="E106" s="6"/>
      <c r="F106" s="6"/>
      <c r="G106" s="6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</row>
    <row r="107" spans="1:32" ht="15.75" customHeight="1">
      <c r="A107" s="4"/>
      <c r="B107" s="6"/>
      <c r="D107" s="23"/>
      <c r="E107" s="6"/>
      <c r="F107" s="6"/>
      <c r="G107" s="6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</row>
    <row r="108" spans="1:32" ht="15.75" customHeight="1">
      <c r="A108" s="4"/>
      <c r="B108" s="6"/>
      <c r="D108" s="23"/>
      <c r="E108" s="6"/>
      <c r="F108" s="6"/>
      <c r="G108" s="6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</row>
    <row r="109" spans="1:32" ht="15.75" customHeight="1">
      <c r="A109" s="4"/>
      <c r="B109" s="6"/>
      <c r="D109" s="23"/>
      <c r="E109" s="6"/>
      <c r="F109" s="6"/>
      <c r="G109" s="6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</row>
    <row r="110" spans="1:32" ht="15.75" customHeight="1">
      <c r="A110" s="4"/>
      <c r="B110" s="6"/>
      <c r="C110" s="6"/>
      <c r="D110" s="6"/>
      <c r="E110" s="6"/>
      <c r="F110" s="6"/>
      <c r="G110" s="6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</row>
    <row r="111" spans="1:32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</row>
    <row r="112" spans="1:3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</row>
    <row r="113" spans="1:32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</row>
    <row r="114" spans="1:32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</row>
    <row r="115" spans="1:32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</row>
    <row r="116" spans="1:32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</row>
    <row r="117" spans="1:32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</row>
    <row r="118" spans="1:32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</row>
    <row r="119" spans="1:32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</row>
    <row r="120" spans="1:32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</row>
    <row r="121" spans="1:32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</row>
    <row r="122" spans="1:3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</row>
    <row r="123" spans="1:32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</row>
    <row r="124" spans="1:32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</row>
    <row r="125" spans="1:32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</row>
    <row r="126" spans="1:32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</row>
    <row r="127" spans="1:32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</row>
    <row r="128" spans="1:32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</row>
    <row r="129" spans="1:32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</row>
    <row r="130" spans="1:32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</row>
    <row r="131" spans="1:32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</row>
    <row r="132" spans="1: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</row>
    <row r="133" spans="1:32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</row>
    <row r="134" spans="1:32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</row>
    <row r="135" spans="1:32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</row>
    <row r="136" spans="1:32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</row>
    <row r="137" spans="1:32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</row>
    <row r="138" spans="1:32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</row>
    <row r="139" spans="1:32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</row>
    <row r="140" spans="1:32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</row>
    <row r="141" spans="1:32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</row>
    <row r="142" spans="1:3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</row>
    <row r="143" spans="1:32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</row>
    <row r="144" spans="1:32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</row>
    <row r="145" spans="1:32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</row>
    <row r="146" spans="1:32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</row>
    <row r="147" spans="1:32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</row>
    <row r="148" spans="1:32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</row>
    <row r="149" spans="1:32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</row>
    <row r="150" spans="1:32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</row>
    <row r="151" spans="1:32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</row>
    <row r="152" spans="1:3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</row>
    <row r="153" spans="1:32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</row>
    <row r="154" spans="1:32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</row>
    <row r="155" spans="1:32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</row>
    <row r="156" spans="1:32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</row>
    <row r="157" spans="1:32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</row>
    <row r="158" spans="1:32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</row>
    <row r="159" spans="1:32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</row>
    <row r="160" spans="1:32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</row>
    <row r="161" spans="1:32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</row>
    <row r="162" spans="1:3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</row>
    <row r="163" spans="1:32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</row>
    <row r="164" spans="1:32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</row>
    <row r="165" spans="1:32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</row>
    <row r="166" spans="1:32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</row>
    <row r="167" spans="1:32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</row>
    <row r="168" spans="1:32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</row>
    <row r="169" spans="1:32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</row>
    <row r="170" spans="1:32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</row>
    <row r="171" spans="1:32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</row>
    <row r="172" spans="1:3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</row>
    <row r="173" spans="1:32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</row>
    <row r="174" spans="1:32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</row>
    <row r="175" spans="1:32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</row>
    <row r="176" spans="1:32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</row>
    <row r="177" spans="1:32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</row>
    <row r="178" spans="1:32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</row>
    <row r="179" spans="1:32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</row>
    <row r="180" spans="1:32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</row>
    <row r="181" spans="1:32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</row>
    <row r="182" spans="1:3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</row>
    <row r="183" spans="1:32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</row>
    <row r="184" spans="1:32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</row>
    <row r="185" spans="1:32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</row>
    <row r="186" spans="1:32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</row>
    <row r="187" spans="1:32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</row>
    <row r="188" spans="1:32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</row>
    <row r="189" spans="1:32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</row>
    <row r="190" spans="1:32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</row>
    <row r="191" spans="1:32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</row>
    <row r="192" spans="1:3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</row>
    <row r="193" spans="1:32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</row>
    <row r="194" spans="1:32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</row>
    <row r="195" spans="1:32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</row>
    <row r="196" spans="1:32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</row>
    <row r="197" spans="1:32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</row>
    <row r="198" spans="1:32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</row>
    <row r="199" spans="1:32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</row>
    <row r="200" spans="1:32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</row>
    <row r="201" spans="1:32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</row>
    <row r="202" spans="1:3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</row>
    <row r="203" spans="1:32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</row>
    <row r="204" spans="1:32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</row>
    <row r="205" spans="1:32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</row>
    <row r="206" spans="1:32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</row>
    <row r="207" spans="1:32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</row>
    <row r="208" spans="1:32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</row>
    <row r="209" spans="1:32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</row>
    <row r="210" spans="1:32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</row>
    <row r="211" spans="1:32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</row>
    <row r="212" spans="1:3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</row>
    <row r="213" spans="1:32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</row>
    <row r="214" spans="1:32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</row>
    <row r="215" spans="1:32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</row>
    <row r="216" spans="1:32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</row>
    <row r="217" spans="1:32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</row>
    <row r="218" spans="1:32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</row>
    <row r="219" spans="1:32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</row>
    <row r="220" spans="1:32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</row>
    <row r="221" spans="1:32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</row>
    <row r="222" spans="1:3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</row>
    <row r="223" spans="1:32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</row>
    <row r="224" spans="1:32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</row>
    <row r="225" spans="1:32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</row>
    <row r="226" spans="1:32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</row>
    <row r="227" spans="1:32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</row>
    <row r="228" spans="1:32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</row>
    <row r="229" spans="1:32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</row>
    <row r="230" spans="1:32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</row>
    <row r="231" spans="1:32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</row>
    <row r="232" spans="1: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</row>
    <row r="233" spans="1:32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</row>
    <row r="234" spans="1:32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</row>
    <row r="235" spans="1:32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</row>
    <row r="236" spans="1:32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</row>
    <row r="237" spans="1:32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</row>
    <row r="238" spans="1:32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</row>
    <row r="239" spans="1:32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</row>
    <row r="240" spans="1:32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</row>
    <row r="241" spans="1:32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</row>
    <row r="242" spans="1:3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</row>
    <row r="243" spans="1:32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</row>
    <row r="244" spans="1:32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</row>
    <row r="245" spans="1:32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</row>
    <row r="246" spans="1:32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</row>
    <row r="247" spans="1:32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</row>
    <row r="248" spans="1:32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</row>
    <row r="249" spans="1:32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</row>
    <row r="250" spans="1:32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</row>
    <row r="251" spans="1:32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</row>
    <row r="252" spans="1:3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</row>
    <row r="253" spans="1:32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</row>
    <row r="254" spans="1:32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</row>
    <row r="255" spans="1:32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</row>
    <row r="256" spans="1:32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</row>
    <row r="257" spans="1:32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</row>
    <row r="258" spans="1:32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</row>
    <row r="259" spans="1:32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</row>
    <row r="260" spans="1:32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</row>
    <row r="261" spans="1:32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</row>
    <row r="262" spans="1:3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</row>
    <row r="263" spans="1:32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</row>
    <row r="264" spans="1:32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</row>
    <row r="265" spans="1:32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</row>
    <row r="266" spans="1:32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</row>
    <row r="267" spans="1:32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</row>
    <row r="268" spans="1:32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</row>
    <row r="269" spans="1:32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</row>
    <row r="270" spans="1:32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</row>
    <row r="271" spans="1:32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</row>
    <row r="272" spans="1:3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</row>
    <row r="273" spans="1:32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</row>
    <row r="274" spans="1:32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</row>
    <row r="275" spans="1:32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</row>
    <row r="276" spans="1:32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</row>
    <row r="277" spans="1:32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</row>
    <row r="278" spans="1:32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</row>
    <row r="279" spans="1:32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</row>
    <row r="280" spans="1:32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</row>
    <row r="281" spans="1:32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</row>
    <row r="282" spans="1:3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</row>
    <row r="283" spans="1:32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</row>
    <row r="284" spans="1:32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</row>
    <row r="285" spans="1:32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</row>
    <row r="286" spans="1:32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</row>
    <row r="287" spans="1:32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</row>
    <row r="288" spans="1:32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</row>
    <row r="289" spans="1:32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</row>
    <row r="290" spans="1:32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</row>
    <row r="291" spans="1:32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</row>
    <row r="292" spans="1:3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</row>
    <row r="293" spans="1:32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</row>
    <row r="294" spans="1:32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</row>
    <row r="295" spans="1:32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</row>
    <row r="296" spans="1:32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</row>
    <row r="297" spans="1:32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</row>
    <row r="298" spans="1:32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</row>
    <row r="299" spans="1:32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</row>
    <row r="300" spans="1:32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</row>
    <row r="301" spans="1:32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</row>
    <row r="302" spans="1:3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</row>
    <row r="303" spans="1:32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</row>
    <row r="304" spans="1:32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</row>
    <row r="305" spans="1:32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</row>
    <row r="306" spans="1:32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</row>
    <row r="307" spans="1:32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</row>
    <row r="308" spans="1:32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</row>
    <row r="309" spans="1:32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</row>
    <row r="310" spans="1:32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</row>
    <row r="311" spans="1:32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</row>
    <row r="312" spans="1:3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</row>
    <row r="313" spans="1:32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</row>
    <row r="314" spans="1:32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</row>
    <row r="315" spans="1:32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</row>
    <row r="316" spans="1:32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</row>
    <row r="317" spans="1:32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</row>
    <row r="318" spans="1:32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</row>
    <row r="319" spans="1:32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</row>
    <row r="320" spans="1:32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</row>
    <row r="321" spans="1:32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</row>
    <row r="322" spans="1:3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</row>
    <row r="323" spans="1:32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</row>
    <row r="324" spans="1:32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</row>
    <row r="325" spans="1:32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</row>
    <row r="326" spans="1:32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</row>
    <row r="327" spans="1:32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</row>
    <row r="328" spans="1:32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</row>
    <row r="329" spans="1:32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</row>
    <row r="330" spans="1:32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</row>
    <row r="331" spans="1:32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</row>
    <row r="332" spans="1: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</row>
    <row r="333" spans="1:32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</row>
    <row r="334" spans="1:32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</row>
    <row r="335" spans="1:32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</row>
    <row r="336" spans="1:32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</row>
    <row r="337" spans="1:32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</row>
    <row r="338" spans="1:32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</row>
    <row r="339" spans="1:32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</row>
    <row r="340" spans="1:32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</row>
    <row r="341" spans="1:32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</row>
    <row r="342" spans="1:3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</row>
    <row r="343" spans="1:32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</row>
    <row r="344" spans="1:32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</row>
    <row r="345" spans="1:32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</row>
    <row r="346" spans="1:32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</row>
    <row r="347" spans="1:32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</row>
    <row r="348" spans="1:32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</row>
    <row r="349" spans="1:32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</row>
    <row r="350" spans="1:32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</row>
    <row r="351" spans="1:32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</row>
    <row r="352" spans="1:3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</row>
    <row r="353" spans="1:32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</row>
    <row r="354" spans="1:32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</row>
    <row r="355" spans="1:32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</row>
    <row r="356" spans="1:32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</row>
    <row r="357" spans="1:32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</row>
    <row r="358" spans="1:32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</row>
    <row r="359" spans="1:32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</row>
    <row r="360" spans="1:32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</row>
    <row r="361" spans="1:32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</row>
    <row r="362" spans="1:3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</row>
    <row r="363" spans="1:32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</row>
    <row r="364" spans="1:32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</row>
    <row r="365" spans="1:32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</row>
    <row r="366" spans="1:32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</row>
    <row r="367" spans="1:32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</row>
    <row r="368" spans="1:32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</row>
    <row r="369" spans="1:32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</row>
    <row r="370" spans="1:32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</row>
    <row r="371" spans="1:32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</row>
    <row r="372" spans="1:3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</row>
    <row r="373" spans="1:32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</row>
    <row r="374" spans="1:32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</row>
    <row r="375" spans="1:32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</row>
    <row r="376" spans="1:32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</row>
    <row r="377" spans="1:32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</row>
    <row r="378" spans="1:32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</row>
    <row r="379" spans="1:32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</row>
    <row r="380" spans="1:32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</row>
    <row r="381" spans="1:32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</row>
    <row r="382" spans="1:3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</row>
    <row r="383" spans="1:32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</row>
    <row r="384" spans="1:32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</row>
    <row r="385" spans="1:32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</row>
    <row r="386" spans="1:32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</row>
    <row r="387" spans="1:32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</row>
    <row r="388" spans="1:32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</row>
    <row r="389" spans="1:32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</row>
    <row r="390" spans="1:32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</row>
    <row r="391" spans="1:32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</row>
    <row r="392" spans="1:3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</row>
    <row r="393" spans="1:32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</row>
    <row r="394" spans="1:32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</row>
    <row r="395" spans="1:32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</row>
    <row r="396" spans="1:32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</row>
    <row r="397" spans="1:32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</row>
    <row r="398" spans="1:32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</row>
    <row r="399" spans="1:32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</row>
    <row r="400" spans="1:32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</row>
    <row r="401" spans="1:32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</row>
    <row r="402" spans="1:3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</row>
    <row r="403" spans="1:32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</row>
    <row r="404" spans="1:32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</row>
    <row r="405" spans="1:32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</row>
    <row r="406" spans="1:32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</row>
    <row r="407" spans="1:32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</row>
    <row r="408" spans="1:32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</row>
    <row r="409" spans="1:32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</row>
    <row r="410" spans="1:32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</row>
    <row r="411" spans="1:32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</row>
    <row r="412" spans="1:3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</row>
    <row r="413" spans="1:32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</row>
    <row r="414" spans="1:32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</row>
    <row r="415" spans="1:32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</row>
    <row r="416" spans="1:32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</row>
    <row r="417" spans="1:32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</row>
    <row r="418" spans="1:32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</row>
    <row r="419" spans="1:32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</row>
    <row r="420" spans="1:32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</row>
    <row r="421" spans="1:32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</row>
    <row r="422" spans="1:3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</row>
    <row r="423" spans="1:32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</row>
    <row r="424" spans="1:32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</row>
    <row r="425" spans="1:32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</row>
    <row r="426" spans="1:32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</row>
    <row r="427" spans="1:32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</row>
    <row r="428" spans="1:32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</row>
    <row r="429" spans="1:32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</row>
    <row r="430" spans="1:32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</row>
    <row r="431" spans="1:32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</row>
    <row r="432" spans="1: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</row>
    <row r="433" spans="1:32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</row>
    <row r="434" spans="1:32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</row>
    <row r="435" spans="1:32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</row>
    <row r="436" spans="1:32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</row>
    <row r="437" spans="1:32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</row>
    <row r="438" spans="1:32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</row>
    <row r="439" spans="1:32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</row>
    <row r="440" spans="1:32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</row>
    <row r="441" spans="1:32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</row>
    <row r="442" spans="1:3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</row>
    <row r="443" spans="1:32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</row>
    <row r="444" spans="1:32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</row>
    <row r="445" spans="1:32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</row>
    <row r="446" spans="1:32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</row>
    <row r="447" spans="1:32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</row>
    <row r="448" spans="1:32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</row>
    <row r="449" spans="1:32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</row>
    <row r="450" spans="1:32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</row>
    <row r="451" spans="1:32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</row>
    <row r="452" spans="1:3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</row>
    <row r="453" spans="1:32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</row>
    <row r="454" spans="1:32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</row>
    <row r="455" spans="1:32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</row>
    <row r="456" spans="1:32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</row>
    <row r="457" spans="1:32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</row>
    <row r="458" spans="1:32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</row>
    <row r="459" spans="1:32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</row>
    <row r="460" spans="1:32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</row>
    <row r="461" spans="1:32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</row>
    <row r="462" spans="1:3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</row>
    <row r="463" spans="1:32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</row>
    <row r="464" spans="1:32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</row>
    <row r="465" spans="1:32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</row>
    <row r="466" spans="1:32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</row>
    <row r="467" spans="1:32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</row>
    <row r="468" spans="1:32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</row>
    <row r="469" spans="1:32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</row>
    <row r="470" spans="1:32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</row>
    <row r="471" spans="1:32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</row>
    <row r="472" spans="1:3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</row>
    <row r="473" spans="1:32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</row>
    <row r="474" spans="1:32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</row>
    <row r="475" spans="1:32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</row>
    <row r="476" spans="1:32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</row>
    <row r="477" spans="1:32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</row>
    <row r="478" spans="1:32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</row>
    <row r="479" spans="1:32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</row>
    <row r="480" spans="1:32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</row>
    <row r="481" spans="1:32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</row>
    <row r="482" spans="1:3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</row>
    <row r="483" spans="1:32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</row>
    <row r="484" spans="1:32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</row>
    <row r="485" spans="1:32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</row>
    <row r="486" spans="1:32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</row>
    <row r="487" spans="1:32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</row>
    <row r="488" spans="1:32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</row>
    <row r="489" spans="1:32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</row>
    <row r="490" spans="1:32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</row>
    <row r="491" spans="1:32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</row>
    <row r="492" spans="1:3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</row>
    <row r="493" spans="1:32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</row>
    <row r="494" spans="1:32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</row>
    <row r="495" spans="1:32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</row>
    <row r="496" spans="1:32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</row>
    <row r="497" spans="1:32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</row>
    <row r="498" spans="1:32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</row>
    <row r="499" spans="1:32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</row>
    <row r="500" spans="1:32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</row>
    <row r="501" spans="1:32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</row>
    <row r="502" spans="1:3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</row>
    <row r="503" spans="1:32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</row>
    <row r="504" spans="1:32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</row>
    <row r="505" spans="1:32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</row>
    <row r="506" spans="1:32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</row>
    <row r="507" spans="1:32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</row>
    <row r="508" spans="1:32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</row>
    <row r="509" spans="1:32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</row>
    <row r="510" spans="1:32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</row>
    <row r="511" spans="1:32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</row>
    <row r="512" spans="1:3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</row>
    <row r="513" spans="1:32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</row>
    <row r="514" spans="1:32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</row>
    <row r="515" spans="1:32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</row>
    <row r="516" spans="1:32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</row>
    <row r="517" spans="1:32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</row>
    <row r="518" spans="1:32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</row>
    <row r="519" spans="1:32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</row>
    <row r="520" spans="1:32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</row>
    <row r="521" spans="1:32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</row>
    <row r="522" spans="1:3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</row>
    <row r="523" spans="1:32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</row>
    <row r="524" spans="1:32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</row>
    <row r="525" spans="1:32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</row>
    <row r="526" spans="1:32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</row>
    <row r="527" spans="1:32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</row>
    <row r="528" spans="1:32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</row>
    <row r="529" spans="1:32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</row>
    <row r="530" spans="1:32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</row>
    <row r="531" spans="1:32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</row>
    <row r="532" spans="1: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</row>
    <row r="533" spans="1:32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</row>
    <row r="534" spans="1:32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</row>
    <row r="535" spans="1:32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</row>
    <row r="536" spans="1:32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</row>
    <row r="537" spans="1:32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</row>
    <row r="538" spans="1:32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</row>
    <row r="539" spans="1:32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</row>
    <row r="540" spans="1:32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</row>
    <row r="541" spans="1:32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</row>
    <row r="542" spans="1:3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</row>
    <row r="543" spans="1:32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</row>
    <row r="544" spans="1:32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</row>
    <row r="545" spans="1:32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</row>
    <row r="546" spans="1:32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</row>
    <row r="547" spans="1:32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</row>
    <row r="548" spans="1:32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</row>
    <row r="549" spans="1:32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</row>
    <row r="550" spans="1:32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</row>
    <row r="551" spans="1:32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</row>
    <row r="552" spans="1:3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</row>
    <row r="553" spans="1:32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</row>
    <row r="554" spans="1:32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</row>
    <row r="555" spans="1:32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</row>
    <row r="556" spans="1:32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</row>
    <row r="557" spans="1:32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</row>
    <row r="558" spans="1:32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</row>
    <row r="559" spans="1:32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</row>
    <row r="560" spans="1:32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</row>
    <row r="561" spans="1:32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</row>
    <row r="562" spans="1:3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</row>
    <row r="563" spans="1:32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</row>
    <row r="564" spans="1:32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</row>
    <row r="565" spans="1:32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</row>
    <row r="566" spans="1:32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</row>
    <row r="567" spans="1:32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</row>
    <row r="568" spans="1:32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</row>
    <row r="569" spans="1:32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</row>
    <row r="570" spans="1:32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</row>
    <row r="571" spans="1:32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</row>
    <row r="572" spans="1:3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</row>
    <row r="573" spans="1:32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</row>
    <row r="574" spans="1:32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</row>
    <row r="575" spans="1:32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</row>
    <row r="576" spans="1:32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</row>
    <row r="577" spans="1:32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</row>
    <row r="578" spans="1:32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</row>
    <row r="579" spans="1:32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</row>
    <row r="580" spans="1:32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</row>
    <row r="581" spans="1:32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</row>
    <row r="582" spans="1:3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</row>
    <row r="583" spans="1:32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</row>
    <row r="584" spans="1:32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</row>
    <row r="585" spans="1:32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</row>
    <row r="586" spans="1:32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</row>
    <row r="587" spans="1:32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</row>
    <row r="588" spans="1:32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</row>
    <row r="589" spans="1:32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</row>
    <row r="590" spans="1:32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</row>
    <row r="591" spans="1:32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</row>
    <row r="592" spans="1:3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</row>
    <row r="593" spans="1:32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</row>
    <row r="594" spans="1:32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</row>
    <row r="595" spans="1:32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</row>
    <row r="596" spans="1:32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</row>
    <row r="597" spans="1:32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</row>
    <row r="598" spans="1:32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</row>
    <row r="599" spans="1:32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</row>
    <row r="600" spans="1:32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</row>
    <row r="601" spans="1:32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</row>
    <row r="602" spans="1:3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</row>
    <row r="603" spans="1:32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</row>
    <row r="604" spans="1:32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</row>
    <row r="605" spans="1:32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</row>
    <row r="606" spans="1:32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</row>
    <row r="607" spans="1:32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</row>
    <row r="608" spans="1:32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</row>
    <row r="609" spans="1:32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</row>
    <row r="610" spans="1:32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</row>
    <row r="611" spans="1:32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</row>
    <row r="612" spans="1:3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</row>
    <row r="613" spans="1:32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</row>
    <row r="614" spans="1:32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</row>
    <row r="615" spans="1:32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</row>
    <row r="616" spans="1:32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</row>
    <row r="617" spans="1:32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</row>
    <row r="618" spans="1:32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</row>
    <row r="619" spans="1:32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</row>
    <row r="620" spans="1:32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</row>
    <row r="621" spans="1:32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</row>
    <row r="622" spans="1:3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</row>
    <row r="623" spans="1:32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</row>
    <row r="624" spans="1:32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</row>
    <row r="625" spans="1:32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</row>
    <row r="626" spans="1:32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</row>
    <row r="627" spans="1:32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</row>
    <row r="628" spans="1:32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</row>
    <row r="629" spans="1:32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</row>
    <row r="630" spans="1:32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</row>
    <row r="631" spans="1:32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</row>
    <row r="632" spans="1: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</row>
    <row r="633" spans="1:32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</row>
    <row r="634" spans="1:32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</row>
    <row r="635" spans="1:32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</row>
    <row r="636" spans="1:32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</row>
    <row r="637" spans="1:32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</row>
    <row r="638" spans="1:32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</row>
    <row r="639" spans="1:32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</row>
    <row r="640" spans="1:32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</row>
    <row r="641" spans="1:32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</row>
    <row r="642" spans="1:3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</row>
    <row r="643" spans="1:32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</row>
    <row r="644" spans="1:32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</row>
    <row r="645" spans="1:32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</row>
    <row r="646" spans="1:32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</row>
    <row r="647" spans="1:32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</row>
    <row r="648" spans="1:32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</row>
    <row r="649" spans="1:32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</row>
    <row r="650" spans="1:32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</row>
    <row r="651" spans="1:32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</row>
    <row r="652" spans="1:3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</row>
    <row r="653" spans="1:32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</row>
    <row r="654" spans="1:32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</row>
    <row r="655" spans="1:32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</row>
    <row r="656" spans="1:32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</row>
    <row r="657" spans="1:32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</row>
    <row r="658" spans="1:32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</row>
    <row r="659" spans="1:32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</row>
    <row r="660" spans="1:32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</row>
    <row r="661" spans="1:32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</row>
    <row r="662" spans="1:3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</row>
    <row r="663" spans="1:32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</row>
    <row r="664" spans="1:32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</row>
    <row r="665" spans="1:32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</row>
    <row r="666" spans="1:32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</row>
    <row r="667" spans="1:32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</row>
    <row r="668" spans="1:32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</row>
    <row r="669" spans="1:32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</row>
    <row r="670" spans="1:32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</row>
    <row r="671" spans="1:32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</row>
    <row r="672" spans="1:3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</row>
    <row r="673" spans="1:32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</row>
    <row r="674" spans="1:32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</row>
    <row r="675" spans="1:32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</row>
    <row r="676" spans="1:32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</row>
    <row r="677" spans="1:32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</row>
    <row r="678" spans="1:32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</row>
    <row r="679" spans="1:32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</row>
    <row r="680" spans="1:32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</row>
    <row r="681" spans="1:32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</row>
    <row r="682" spans="1:3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</row>
    <row r="683" spans="1:32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</row>
    <row r="684" spans="1:32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</row>
    <row r="685" spans="1:32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</row>
    <row r="686" spans="1:32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</row>
    <row r="687" spans="1:32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</row>
    <row r="688" spans="1:32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</row>
    <row r="689" spans="1:32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</row>
    <row r="690" spans="1:32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</row>
    <row r="691" spans="1:32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</row>
    <row r="692" spans="1:3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</row>
    <row r="693" spans="1:32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</row>
    <row r="694" spans="1:32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</row>
    <row r="695" spans="1:32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</row>
    <row r="696" spans="1:32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</row>
    <row r="697" spans="1:32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</row>
    <row r="698" spans="1:32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</row>
    <row r="699" spans="1:32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</row>
    <row r="700" spans="1:32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</row>
    <row r="701" spans="1:32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</row>
    <row r="702" spans="1:3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</row>
    <row r="703" spans="1:32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</row>
    <row r="704" spans="1:32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</row>
    <row r="705" spans="1:32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</row>
    <row r="706" spans="1:32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</row>
    <row r="707" spans="1:32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</row>
    <row r="708" spans="1:32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</row>
    <row r="709" spans="1:32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</row>
    <row r="710" spans="1:32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</row>
    <row r="711" spans="1:32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</row>
    <row r="712" spans="1:3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</row>
    <row r="713" spans="1:32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</row>
    <row r="714" spans="1:32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</row>
    <row r="715" spans="1:32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</row>
    <row r="716" spans="1:32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</row>
    <row r="717" spans="1:32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</row>
    <row r="718" spans="1:32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</row>
    <row r="719" spans="1:32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</row>
    <row r="720" spans="1:32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</row>
    <row r="721" spans="1:32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</row>
    <row r="722" spans="1:3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</row>
    <row r="723" spans="1:32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</row>
    <row r="724" spans="1:32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</row>
    <row r="725" spans="1:32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</row>
    <row r="726" spans="1:32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</row>
    <row r="727" spans="1:32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</row>
    <row r="728" spans="1:32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</row>
    <row r="729" spans="1:32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</row>
    <row r="730" spans="1:32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</row>
    <row r="731" spans="1:32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</row>
    <row r="732" spans="1: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</row>
    <row r="733" spans="1:32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</row>
    <row r="734" spans="1:32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</row>
    <row r="735" spans="1:32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</row>
    <row r="736" spans="1:32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</row>
    <row r="737" spans="1:32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</row>
    <row r="738" spans="1:32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</row>
    <row r="739" spans="1:32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</row>
    <row r="740" spans="1:32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</row>
    <row r="741" spans="1:32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</row>
    <row r="742" spans="1:3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</row>
    <row r="743" spans="1:32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</row>
    <row r="744" spans="1:32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</row>
    <row r="745" spans="1:32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</row>
    <row r="746" spans="1:32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</row>
    <row r="747" spans="1:32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</row>
    <row r="748" spans="1:32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</row>
    <row r="749" spans="1:32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</row>
    <row r="750" spans="1:32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</row>
    <row r="751" spans="1:32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</row>
    <row r="752" spans="1:3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</row>
    <row r="753" spans="1:32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</row>
    <row r="754" spans="1:32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</row>
    <row r="755" spans="1:32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</row>
    <row r="756" spans="1:32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</row>
    <row r="757" spans="1:32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</row>
    <row r="758" spans="1:32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</row>
    <row r="759" spans="1:32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</row>
    <row r="760" spans="1:32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</row>
    <row r="761" spans="1:32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</row>
    <row r="762" spans="1:3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</row>
    <row r="763" spans="1:32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</row>
    <row r="764" spans="1:32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</row>
    <row r="765" spans="1:32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</row>
    <row r="766" spans="1:32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</row>
    <row r="767" spans="1:32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</row>
    <row r="768" spans="1:32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</row>
    <row r="769" spans="1:32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</row>
    <row r="770" spans="1:32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</row>
    <row r="771" spans="1:32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</row>
    <row r="772" spans="1:3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</row>
    <row r="773" spans="1:32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</row>
    <row r="774" spans="1:32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</row>
    <row r="775" spans="1:32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</row>
    <row r="776" spans="1:32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</row>
    <row r="777" spans="1:32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</row>
    <row r="778" spans="1:32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</row>
    <row r="779" spans="1:32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</row>
    <row r="780" spans="1:32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</row>
    <row r="781" spans="1:32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</row>
    <row r="782" spans="1:3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</row>
    <row r="783" spans="1:32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</row>
    <row r="784" spans="1:32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</row>
    <row r="785" spans="1:32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</row>
    <row r="786" spans="1:32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</row>
    <row r="787" spans="1:32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</row>
    <row r="788" spans="1:32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</row>
    <row r="789" spans="1:32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</row>
    <row r="790" spans="1:32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</row>
    <row r="791" spans="1:32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</row>
    <row r="792" spans="1:3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</row>
    <row r="793" spans="1:32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</row>
    <row r="794" spans="1:32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</row>
    <row r="795" spans="1:32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</row>
    <row r="796" spans="1:32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</row>
    <row r="797" spans="1:32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</row>
    <row r="798" spans="1:32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</row>
    <row r="799" spans="1:32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</row>
    <row r="800" spans="1:32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</row>
    <row r="801" spans="1:32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</row>
    <row r="802" spans="1:3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</row>
    <row r="803" spans="1:32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</row>
    <row r="804" spans="1:32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</row>
    <row r="805" spans="1:32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</row>
    <row r="806" spans="1:32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</row>
    <row r="807" spans="1:32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</row>
    <row r="808" spans="1:32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</row>
    <row r="809" spans="1:32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</row>
    <row r="810" spans="1:32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</row>
    <row r="811" spans="1:32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</row>
    <row r="812" spans="1:3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</row>
    <row r="813" spans="1:32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</row>
    <row r="814" spans="1:32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</row>
    <row r="815" spans="1:32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</row>
    <row r="816" spans="1:32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</row>
    <row r="817" spans="1:32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</row>
    <row r="818" spans="1:32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</row>
    <row r="819" spans="1:32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</row>
    <row r="820" spans="1:32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</row>
    <row r="821" spans="1:32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</row>
    <row r="822" spans="1:3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</row>
    <row r="823" spans="1:32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</row>
    <row r="824" spans="1:32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</row>
    <row r="825" spans="1:32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</row>
    <row r="826" spans="1:32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</row>
    <row r="827" spans="1:32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</row>
    <row r="828" spans="1:32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</row>
    <row r="829" spans="1:32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</row>
    <row r="830" spans="1:32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</row>
    <row r="831" spans="1:32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</row>
    <row r="832" spans="1: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</row>
    <row r="833" spans="1:32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</row>
    <row r="834" spans="1:32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</row>
    <row r="835" spans="1:32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</row>
    <row r="836" spans="1:32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</row>
    <row r="837" spans="1:32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</row>
    <row r="838" spans="1:32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</row>
    <row r="839" spans="1:32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</row>
    <row r="840" spans="1:32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</row>
    <row r="841" spans="1:32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</row>
    <row r="842" spans="1:3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</row>
    <row r="843" spans="1:32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</row>
    <row r="844" spans="1:32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</row>
    <row r="845" spans="1:32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</row>
    <row r="846" spans="1:32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</row>
    <row r="847" spans="1:32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</row>
    <row r="848" spans="1:32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</row>
    <row r="849" spans="1:32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</row>
    <row r="850" spans="1:32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</row>
    <row r="851" spans="1:32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</row>
    <row r="852" spans="1:3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</row>
    <row r="853" spans="1:32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</row>
    <row r="854" spans="1:32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</row>
    <row r="855" spans="1:32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</row>
    <row r="856" spans="1:32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</row>
    <row r="857" spans="1:32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</row>
    <row r="858" spans="1:32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</row>
    <row r="859" spans="1:32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</row>
    <row r="860" spans="1:32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</row>
    <row r="861" spans="1:32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</row>
    <row r="862" spans="1:3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</row>
    <row r="863" spans="1:32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</row>
    <row r="864" spans="1:32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</row>
    <row r="865" spans="1:32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</row>
    <row r="866" spans="1:32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</row>
    <row r="867" spans="1:32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</row>
    <row r="868" spans="1:32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</row>
    <row r="869" spans="1:32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</row>
    <row r="870" spans="1:32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</row>
    <row r="871" spans="1:32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</row>
    <row r="872" spans="1:3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</row>
    <row r="873" spans="1:32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</row>
    <row r="874" spans="1:32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</row>
    <row r="875" spans="1:32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</row>
    <row r="876" spans="1:32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</row>
    <row r="877" spans="1:32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</row>
    <row r="878" spans="1:32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</row>
    <row r="879" spans="1:32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</row>
    <row r="880" spans="1:32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</row>
    <row r="881" spans="1:32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</row>
    <row r="882" spans="1:3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</row>
    <row r="883" spans="1:32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</row>
    <row r="884" spans="1:32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</row>
    <row r="885" spans="1:32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</row>
    <row r="886" spans="1:32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</row>
    <row r="887" spans="1:32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</row>
    <row r="888" spans="1:32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</row>
    <row r="889" spans="1:32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</row>
    <row r="890" spans="1:32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</row>
    <row r="891" spans="1:32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</row>
    <row r="892" spans="1:3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</row>
    <row r="893" spans="1:32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</row>
    <row r="894" spans="1:32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</row>
    <row r="895" spans="1:32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</row>
    <row r="896" spans="1:32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</row>
    <row r="897" spans="1:32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</row>
    <row r="898" spans="1:32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</row>
    <row r="899" spans="1:32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</row>
    <row r="900" spans="1:32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</row>
    <row r="901" spans="1:32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</row>
    <row r="902" spans="1:3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</row>
    <row r="903" spans="1:32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</row>
    <row r="904" spans="1:32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</row>
    <row r="905" spans="1:32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</row>
    <row r="906" spans="1:32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</row>
    <row r="907" spans="1:32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</row>
    <row r="908" spans="1:32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</row>
    <row r="909" spans="1:32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</row>
    <row r="910" spans="1:32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</row>
    <row r="911" spans="1:32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</row>
    <row r="912" spans="1:3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</row>
    <row r="913" spans="1:32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</row>
    <row r="914" spans="1:32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</row>
    <row r="915" spans="1:32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</row>
    <row r="916" spans="1:32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</row>
    <row r="917" spans="1:32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</row>
    <row r="918" spans="1:32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</row>
    <row r="919" spans="1:32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</row>
    <row r="920" spans="1:32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</row>
    <row r="921" spans="1:32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</row>
    <row r="922" spans="1:3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</row>
    <row r="923" spans="1:32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</row>
    <row r="924" spans="1:32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</row>
    <row r="925" spans="1:32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</row>
    <row r="926" spans="1:32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</row>
    <row r="927" spans="1:32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</row>
    <row r="928" spans="1:32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</row>
    <row r="929" spans="1:32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</row>
    <row r="930" spans="1:32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</row>
    <row r="931" spans="1:32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</row>
    <row r="932" spans="1: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</row>
    <row r="933" spans="1:32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</row>
    <row r="934" spans="1:32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</row>
    <row r="935" spans="1:32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</row>
    <row r="936" spans="1:32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</row>
    <row r="937" spans="1:32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</row>
    <row r="938" spans="1:32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</row>
    <row r="939" spans="1:32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</row>
    <row r="940" spans="1:32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</row>
    <row r="941" spans="1:32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</row>
    <row r="942" spans="1:3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</row>
    <row r="943" spans="1:32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</row>
    <row r="944" spans="1:32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</row>
    <row r="945" spans="1:32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</row>
    <row r="946" spans="1:32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</row>
    <row r="947" spans="1:32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</row>
    <row r="948" spans="1:32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</row>
    <row r="949" spans="1:32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</row>
    <row r="950" spans="1:32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</row>
    <row r="951" spans="1:32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</row>
    <row r="952" spans="1:3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</row>
    <row r="953" spans="1:32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</row>
    <row r="954" spans="1:32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</row>
    <row r="955" spans="1:32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</row>
    <row r="956" spans="1:32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</row>
    <row r="957" spans="1:32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</row>
    <row r="958" spans="1:32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</row>
    <row r="959" spans="1:32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</row>
    <row r="960" spans="1:32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</row>
    <row r="961" spans="1:32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</row>
    <row r="962" spans="1:3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</row>
    <row r="963" spans="1:32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</row>
    <row r="964" spans="1:32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</row>
    <row r="965" spans="1:32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</row>
    <row r="966" spans="1:32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</row>
    <row r="967" spans="1:32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</row>
    <row r="968" spans="1:32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</row>
    <row r="969" spans="1:32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</row>
    <row r="970" spans="1:32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</row>
    <row r="971" spans="1:32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</row>
    <row r="972" spans="1:3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</row>
    <row r="973" spans="1:32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</row>
    <row r="974" spans="1:32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</row>
    <row r="975" spans="1:32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</row>
    <row r="976" spans="1:32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</row>
    <row r="977" spans="1:32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</row>
    <row r="978" spans="1:32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</row>
    <row r="979" spans="1:32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</row>
    <row r="980" spans="1:32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</row>
    <row r="981" spans="1:32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</row>
    <row r="982" spans="1:3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</row>
    <row r="983" spans="1:32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</row>
    <row r="984" spans="1:32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</row>
    <row r="985" spans="1:32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</row>
    <row r="986" spans="1:32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</row>
    <row r="987" spans="1:32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</row>
    <row r="988" spans="1:32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</row>
    <row r="989" spans="1:32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</row>
    <row r="990" spans="1:32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</row>
    <row r="991" spans="1:32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</row>
    <row r="992" spans="1:3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</row>
    <row r="993" spans="1:32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</row>
    <row r="994" spans="1:32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</row>
    <row r="995" spans="1:32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</row>
    <row r="996" spans="1:32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</row>
    <row r="997" spans="1:32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</row>
    <row r="998" spans="1:32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</row>
    <row r="999" spans="1:32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</row>
    <row r="1000" spans="1:32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</row>
    <row r="1001" spans="1:32" ht="15.75" customHeight="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  <c r="AC1001" s="4"/>
      <c r="AD1001" s="4"/>
      <c r="AE1001" s="4"/>
      <c r="AF1001" s="4"/>
    </row>
    <row r="1002" spans="1:32" ht="15.75" customHeight="1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  <c r="AB1002" s="4"/>
      <c r="AC1002" s="4"/>
      <c r="AD1002" s="4"/>
      <c r="AE1002" s="4"/>
      <c r="AF1002" s="4"/>
    </row>
    <row r="1003" spans="1:32" ht="15.75" customHeight="1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  <c r="AA1003" s="4"/>
      <c r="AB1003" s="4"/>
      <c r="AC1003" s="4"/>
      <c r="AD1003" s="4"/>
      <c r="AE1003" s="4"/>
      <c r="AF1003" s="4"/>
    </row>
    <row r="1004" spans="1:32" ht="15.75" customHeight="1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  <c r="AA1004" s="4"/>
      <c r="AB1004" s="4"/>
      <c r="AC1004" s="4"/>
      <c r="AD1004" s="4"/>
      <c r="AE1004" s="4"/>
      <c r="AF1004" s="4"/>
    </row>
  </sheetData>
  <autoFilter ref="Q50:U56" xr:uid="{00000000-0009-0000-0000-000003000000}">
    <sortState xmlns:xlrd2="http://schemas.microsoft.com/office/spreadsheetml/2017/richdata2" ref="Q50:U56">
      <sortCondition descending="1" ref="T50:T56"/>
    </sortState>
  </autoFilter>
  <mergeCells count="1">
    <mergeCell ref="R45:R47"/>
  </mergeCells>
  <conditionalFormatting sqref="B45:F45">
    <cfRule type="colorScale" priority="8">
      <colorScale>
        <cfvo type="min"/>
        <cfvo type="max"/>
        <color rgb="FFFFFFFF"/>
        <color rgb="FF57BB8A"/>
      </colorScale>
    </cfRule>
  </conditionalFormatting>
  <conditionalFormatting sqref="B46:F46">
    <cfRule type="colorScale" priority="9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B47:F47">
    <cfRule type="colorScale" priority="10">
      <colorScale>
        <cfvo type="min"/>
        <cfvo type="max"/>
        <color rgb="FFFFFFFF"/>
        <color rgb="FF57BB8A"/>
      </colorScale>
    </cfRule>
  </conditionalFormatting>
  <conditionalFormatting sqref="D12:D35">
    <cfRule type="colorScale" priority="6">
      <colorScale>
        <cfvo type="min"/>
        <cfvo type="max"/>
        <color rgb="FFFFFFFF"/>
        <color rgb="FF57BB8A"/>
      </colorScale>
    </cfRule>
    <cfRule type="colorScale" priority="1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D39:F42 H39:L42">
    <cfRule type="colorScale" priority="27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E12:E35">
    <cfRule type="colorScale" priority="1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E51:E60 J51:J60 O51:O60">
    <cfRule type="colorScale" priority="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F12:F35">
    <cfRule type="colorScale" priority="1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12:G35">
    <cfRule type="colorScale" priority="7">
      <colorScale>
        <cfvo type="min"/>
        <cfvo type="percentile" val="50"/>
        <cfvo type="max"/>
        <color rgb="FFE67C73"/>
        <color rgb="FFFFFFFF"/>
        <color rgb="FF57BB8A"/>
      </colorScale>
    </cfRule>
    <cfRule type="colorScale" priority="1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39:G42">
    <cfRule type="colorScale" priority="2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I12:I35">
    <cfRule type="colorScale" priority="17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I45:L45">
    <cfRule type="colorScale" priority="2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J17:J36">
    <cfRule type="colorScale" priority="18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M17:M35 N17:N36">
    <cfRule type="colorScale" priority="21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M39:N42">
    <cfRule type="colorScale" priority="2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O17:O36">
    <cfRule type="colorScale" priority="19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O17:Q36">
    <cfRule type="colorScale" priority="22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O47:Q47">
    <cfRule type="colorScale" priority="11">
      <colorScale>
        <cfvo type="min"/>
        <cfvo type="max"/>
        <color rgb="FFFFFFFF"/>
        <color rgb="FFE67C73"/>
      </colorScale>
    </cfRule>
  </conditionalFormatting>
  <conditionalFormatting sqref="O45:R45">
    <cfRule type="colorScale" priority="12">
      <colorScale>
        <cfvo type="min"/>
        <cfvo type="max"/>
        <color rgb="FFFFFFFF"/>
        <color rgb="FF57BB8A"/>
      </colorScale>
    </cfRule>
  </conditionalFormatting>
  <conditionalFormatting sqref="P17:P36">
    <cfRule type="colorScale" priority="20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Q38:Q42 O39:P42">
    <cfRule type="colorScale" priority="2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T51:T56">
    <cfRule type="colorScale" priority="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U51:U56">
    <cfRule type="colorScale" priority="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Z50:Z53">
    <cfRule type="colorScale" priority="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AA50:AA53 U63:U65">
    <cfRule type="colorScale" priority="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NAUKRI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Piyush Patel</dc:creator>
  <cp:lastModifiedBy>Piyush Patel</cp:lastModifiedBy>
  <dcterms:created xsi:type="dcterms:W3CDTF">2025-09-01T09:52:19Z</dcterms:created>
  <dcterms:modified xsi:type="dcterms:W3CDTF">2025-09-01T09:52:43Z</dcterms:modified>
</cp:coreProperties>
</file>