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5\"/>
    </mc:Choice>
  </mc:AlternateContent>
  <xr:revisionPtr revIDLastSave="0" documentId="8_{1D6B409E-B706-4B91-BC81-19FF7594CA77}" xr6:coauthVersionLast="47" xr6:coauthVersionMax="47" xr10:uidLastSave="{00000000-0000-0000-0000-000000000000}"/>
  <bookViews>
    <workbookView xWindow="-108" yWindow="-108" windowWidth="23256" windowHeight="12456" xr2:uid="{CA081AE1-9B85-4EB4-8C46-C5C39CC65171}"/>
  </bookViews>
  <sheets>
    <sheet name="JSWSTEEL" sheetId="2" r:id="rId1"/>
    <sheet name="Iron &amp; Steel" sheetId="1" r:id="rId2"/>
  </sheets>
  <externalReferences>
    <externalReference r:id="rId3"/>
  </externalReferences>
  <definedNames>
    <definedName name="_xlnm._FilterDatabase" localSheetId="1" hidden="1">'Iron &amp; Steel'!$A$1:$AP$17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T14" i="2" s="1"/>
  <c r="U12" i="2" s="1"/>
  <c r="Q9" i="2" s="1"/>
  <c r="C3" i="2"/>
  <c r="D3" i="2"/>
  <c r="D5" i="2" s="1"/>
  <c r="J3" i="2"/>
  <c r="J5" i="2" s="1"/>
  <c r="K3" i="2"/>
  <c r="E9" i="2" s="1"/>
  <c r="U3" i="2"/>
  <c r="D4" i="2"/>
  <c r="E4" i="2"/>
  <c r="F4" i="2"/>
  <c r="G4" i="2"/>
  <c r="J4" i="2"/>
  <c r="K4" i="2"/>
  <c r="U4" i="2"/>
  <c r="H5" i="2"/>
  <c r="I5" i="2"/>
  <c r="L5" i="2"/>
  <c r="M5" i="2"/>
  <c r="N5" i="2"/>
  <c r="O5" i="2"/>
  <c r="P5" i="2"/>
  <c r="Q5" i="2"/>
  <c r="R5" i="2"/>
  <c r="S5" i="2"/>
  <c r="T5" i="2"/>
  <c r="V5" i="2"/>
  <c r="B9" i="2"/>
  <c r="C9" i="2"/>
  <c r="F9" i="2"/>
  <c r="I9" i="2"/>
  <c r="R9" i="2"/>
  <c r="S9" i="2"/>
  <c r="T9" i="2"/>
  <c r="S12" i="2"/>
  <c r="C13" i="2"/>
  <c r="C12" i="2" s="1"/>
  <c r="H13" i="2"/>
  <c r="I13" i="2" s="1"/>
  <c r="C14" i="2"/>
  <c r="D14" i="2"/>
  <c r="E3" i="2" s="1"/>
  <c r="F14" i="2"/>
  <c r="G3" i="2" s="1"/>
  <c r="H14" i="2"/>
  <c r="T17" i="2" s="1"/>
  <c r="I14" i="2"/>
  <c r="R14" i="2"/>
  <c r="P17" i="2"/>
  <c r="R19" i="2"/>
  <c r="C22" i="2"/>
  <c r="D22" i="2"/>
  <c r="E22" i="2"/>
  <c r="F22" i="2"/>
  <c r="H22" i="2"/>
  <c r="I22" i="2"/>
  <c r="J22" i="2"/>
  <c r="K22" i="2"/>
  <c r="L22" i="2"/>
  <c r="T22" i="2"/>
  <c r="Y22" i="2"/>
  <c r="AD22" i="2"/>
  <c r="C23" i="2"/>
  <c r="D23" i="2"/>
  <c r="E23" i="2"/>
  <c r="F23" i="2"/>
  <c r="H23" i="2"/>
  <c r="I23" i="2"/>
  <c r="J23" i="2"/>
  <c r="K23" i="2"/>
  <c r="L23" i="2"/>
  <c r="T23" i="2"/>
  <c r="A9" i="2" s="1"/>
  <c r="Y23" i="2"/>
  <c r="AD23" i="2"/>
  <c r="C24" i="2"/>
  <c r="D24" i="2"/>
  <c r="E24" i="2"/>
  <c r="F24" i="2"/>
  <c r="G24" i="2"/>
  <c r="H24" i="2"/>
  <c r="I24" i="2"/>
  <c r="J24" i="2"/>
  <c r="K24" i="2"/>
  <c r="L24" i="2"/>
  <c r="T24" i="2"/>
  <c r="Y24" i="2"/>
  <c r="AD24" i="2"/>
  <c r="C25" i="2"/>
  <c r="D25" i="2"/>
  <c r="E25" i="2"/>
  <c r="F25" i="2"/>
  <c r="G25" i="2"/>
  <c r="H25" i="2"/>
  <c r="I25" i="2"/>
  <c r="K25" i="2"/>
  <c r="L25" i="2"/>
  <c r="R25" i="2"/>
  <c r="T25" i="2" s="1"/>
  <c r="S25" i="2"/>
  <c r="Y25" i="2"/>
  <c r="AD25" i="2"/>
  <c r="S26" i="2"/>
  <c r="Y26" i="2"/>
  <c r="AD26" i="2"/>
  <c r="F27" i="2"/>
  <c r="K27" i="2"/>
  <c r="L27" i="2"/>
  <c r="S27" i="2"/>
  <c r="S28" i="2" s="1"/>
  <c r="W27" i="2"/>
  <c r="X27" i="2"/>
  <c r="Y27" i="2"/>
  <c r="AB27" i="2"/>
  <c r="AD27" i="2" s="1"/>
  <c r="AC27" i="2"/>
  <c r="W28" i="2"/>
  <c r="X28" i="2"/>
  <c r="Y28" i="2"/>
  <c r="AB28" i="2"/>
  <c r="AC28" i="2"/>
  <c r="AD28" i="2"/>
  <c r="C29" i="2"/>
  <c r="C27" i="2" s="1"/>
  <c r="D29" i="2"/>
  <c r="D27" i="2" s="1"/>
  <c r="E29" i="2"/>
  <c r="E27" i="2" s="1"/>
  <c r="G29" i="2"/>
  <c r="M29" i="2"/>
  <c r="N29" i="2"/>
  <c r="O29" i="2"/>
  <c r="T29" i="2"/>
  <c r="G30" i="2"/>
  <c r="M30" i="2"/>
  <c r="M22" i="2" s="1"/>
  <c r="N30" i="2"/>
  <c r="N22" i="2" s="1"/>
  <c r="O30" i="2"/>
  <c r="O24" i="2" s="1"/>
  <c r="S30" i="2"/>
  <c r="G31" i="2"/>
  <c r="J31" i="2"/>
  <c r="J25" i="2" s="1"/>
  <c r="M31" i="2"/>
  <c r="N31" i="2"/>
  <c r="O31" i="2"/>
  <c r="S31" i="2"/>
  <c r="G32" i="2"/>
  <c r="J32" i="2"/>
  <c r="M32" i="2"/>
  <c r="N32" i="2"/>
  <c r="O32" i="2"/>
  <c r="T32" i="2"/>
  <c r="G33" i="2"/>
  <c r="M33" i="2"/>
  <c r="N33" i="2"/>
  <c r="O33" i="2"/>
  <c r="T33" i="2"/>
  <c r="G34" i="2"/>
  <c r="M34" i="2"/>
  <c r="N34" i="2"/>
  <c r="O34" i="2"/>
  <c r="R34" i="2"/>
  <c r="T34" i="2" s="1"/>
  <c r="S34" i="2"/>
  <c r="G35" i="2"/>
  <c r="M35" i="2"/>
  <c r="N35" i="2"/>
  <c r="O35" i="2"/>
  <c r="O23" i="2" s="1"/>
  <c r="R35" i="2"/>
  <c r="G9" i="2" s="1"/>
  <c r="S35" i="2"/>
  <c r="T35" i="2"/>
  <c r="G36" i="2"/>
  <c r="M36" i="2"/>
  <c r="N36" i="2"/>
  <c r="O36" i="2"/>
  <c r="G37" i="2"/>
  <c r="G23" i="2" s="1"/>
  <c r="M37" i="2"/>
  <c r="N37" i="2"/>
  <c r="O37" i="2"/>
  <c r="G38" i="2"/>
  <c r="M38" i="2"/>
  <c r="N38" i="2"/>
  <c r="O38" i="2"/>
  <c r="T38" i="2"/>
  <c r="U38" i="2"/>
  <c r="G39" i="2"/>
  <c r="M39" i="2"/>
  <c r="N39" i="2"/>
  <c r="O39" i="2"/>
  <c r="U39" i="2"/>
  <c r="G40" i="2"/>
  <c r="M40" i="2"/>
  <c r="N40" i="2"/>
  <c r="O40" i="2"/>
  <c r="U40" i="2"/>
  <c r="G41" i="2"/>
  <c r="M41" i="2"/>
  <c r="N41" i="2"/>
  <c r="O41" i="2"/>
  <c r="U41" i="2"/>
  <c r="G42" i="2"/>
  <c r="M42" i="2"/>
  <c r="N42" i="2"/>
  <c r="O42" i="2"/>
  <c r="T42" i="2"/>
  <c r="U42" i="2"/>
  <c r="G43" i="2"/>
  <c r="M43" i="2"/>
  <c r="N43" i="2"/>
  <c r="O43" i="2"/>
  <c r="U43" i="2"/>
  <c r="G44" i="2"/>
  <c r="M44" i="2"/>
  <c r="N44" i="2"/>
  <c r="O44" i="2"/>
  <c r="U44" i="2"/>
  <c r="G45" i="2"/>
  <c r="M45" i="2"/>
  <c r="N45" i="2"/>
  <c r="O45" i="2"/>
  <c r="U45" i="2"/>
  <c r="G46" i="2"/>
  <c r="M46" i="2"/>
  <c r="N46" i="2"/>
  <c r="O46" i="2"/>
  <c r="T46" i="2"/>
  <c r="U46" i="2"/>
  <c r="G47" i="2"/>
  <c r="M47" i="2"/>
  <c r="N47" i="2"/>
  <c r="O47" i="2"/>
  <c r="G48" i="2"/>
  <c r="M48" i="2"/>
  <c r="N48" i="2"/>
  <c r="O48" i="2"/>
  <c r="R48" i="2"/>
  <c r="T41" i="2" s="1"/>
  <c r="S48" i="2"/>
  <c r="U48" i="2" s="1"/>
  <c r="G49" i="2"/>
  <c r="K54" i="1"/>
  <c r="G54" i="1"/>
  <c r="C54" i="1"/>
  <c r="AL17" i="1"/>
  <c r="AC17" i="1"/>
  <c r="AA17" i="1"/>
  <c r="Y17" i="1"/>
  <c r="X17" i="1"/>
  <c r="W17" i="1"/>
  <c r="V17" i="1"/>
  <c r="U17" i="1"/>
  <c r="Z17" i="1" s="1"/>
  <c r="T17" i="1"/>
  <c r="S17" i="1"/>
  <c r="AJ17" i="1" s="1"/>
  <c r="R17" i="1"/>
  <c r="AB17" i="1" s="1"/>
  <c r="Q17" i="1"/>
  <c r="M17" i="1"/>
  <c r="L17" i="1"/>
  <c r="AG17" i="1" s="1"/>
  <c r="K17" i="1"/>
  <c r="J17" i="1"/>
  <c r="AH17" i="1" s="1"/>
  <c r="I17" i="1"/>
  <c r="H17" i="1"/>
  <c r="AI17" i="1" s="1"/>
  <c r="G17" i="1"/>
  <c r="F17" i="1"/>
  <c r="E17" i="1"/>
  <c r="AF17" i="1" s="1"/>
  <c r="O15" i="1"/>
  <c r="D15" i="1"/>
  <c r="C15" i="1"/>
  <c r="O14" i="1"/>
  <c r="D14" i="1"/>
  <c r="C14" i="1"/>
  <c r="O13" i="1"/>
  <c r="D13" i="1"/>
  <c r="C13" i="1"/>
  <c r="AO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O12" i="1"/>
  <c r="D12" i="1"/>
  <c r="C12" i="1"/>
  <c r="AP12" i="1" s="1"/>
  <c r="AO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O11" i="1"/>
  <c r="D11" i="1"/>
  <c r="C11" i="1"/>
  <c r="AO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O10" i="1"/>
  <c r="D10" i="1"/>
  <c r="C10" i="1"/>
  <c r="AP10" i="1" s="1"/>
  <c r="AO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O9" i="1"/>
  <c r="D9" i="1"/>
  <c r="C9" i="1"/>
  <c r="AP9" i="1" s="1"/>
  <c r="AO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O8" i="1"/>
  <c r="D8" i="1"/>
  <c r="C8" i="1"/>
  <c r="AP8" i="1" s="1"/>
  <c r="AO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O7" i="1"/>
  <c r="D7" i="1"/>
  <c r="C7" i="1"/>
  <c r="AP7" i="1" s="1"/>
  <c r="AO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O6" i="1"/>
  <c r="D6" i="1"/>
  <c r="C6" i="1"/>
  <c r="AP6" i="1" s="1"/>
  <c r="AO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O5" i="1"/>
  <c r="D5" i="1"/>
  <c r="C5" i="1"/>
  <c r="AP5" i="1" s="1"/>
  <c r="AO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O4" i="1"/>
  <c r="D4" i="1"/>
  <c r="C4" i="1"/>
  <c r="AP4" i="1" s="1"/>
  <c r="AO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O3" i="1"/>
  <c r="D3" i="1"/>
  <c r="C3" i="1"/>
  <c r="AO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O2" i="1"/>
  <c r="D2" i="1"/>
  <c r="C2" i="1"/>
  <c r="AP2" i="1" s="1"/>
  <c r="AN4" i="1" l="1"/>
  <c r="AN6" i="1"/>
  <c r="S19" i="2"/>
  <c r="N9" i="2"/>
  <c r="AN3" i="1"/>
  <c r="AN11" i="1"/>
  <c r="AN8" i="1"/>
  <c r="AN12" i="1"/>
  <c r="C4" i="2"/>
  <c r="C5" i="2" s="1"/>
  <c r="L9" i="2"/>
  <c r="M9" i="2"/>
  <c r="G5" i="2"/>
  <c r="D9" i="2"/>
  <c r="E5" i="2"/>
  <c r="R26" i="2"/>
  <c r="T26" i="2" s="1"/>
  <c r="G22" i="2"/>
  <c r="H18" i="2" s="1"/>
  <c r="H12" i="2"/>
  <c r="I12" i="2" s="1"/>
  <c r="AN5" i="1"/>
  <c r="T43" i="2"/>
  <c r="T39" i="2"/>
  <c r="N25" i="2"/>
  <c r="N24" i="2"/>
  <c r="N23" i="2"/>
  <c r="G14" i="2"/>
  <c r="O25" i="2"/>
  <c r="O26" i="2" s="1"/>
  <c r="O22" i="2"/>
  <c r="AN9" i="1"/>
  <c r="M25" i="2"/>
  <c r="M24" i="2"/>
  <c r="M23" i="2"/>
  <c r="N26" i="2" s="1"/>
  <c r="P9" i="2"/>
  <c r="T48" i="2"/>
  <c r="T44" i="2"/>
  <c r="T40" i="2"/>
  <c r="E14" i="2"/>
  <c r="D13" i="2"/>
  <c r="O9" i="2"/>
  <c r="K5" i="2"/>
  <c r="AP11" i="1"/>
  <c r="T45" i="2"/>
  <c r="R27" i="2"/>
  <c r="T19" i="2"/>
  <c r="S14" i="2"/>
  <c r="B5" i="2"/>
  <c r="AP17" i="1"/>
  <c r="O17" i="1"/>
  <c r="AM3" i="1"/>
  <c r="AP3" i="1"/>
  <c r="AN10" i="1"/>
  <c r="AN7" i="1"/>
  <c r="D17" i="1"/>
  <c r="P3" i="1" s="1"/>
  <c r="AM17" i="1"/>
  <c r="P11" i="1"/>
  <c r="AD17" i="1"/>
  <c r="AN2" i="1"/>
  <c r="AE17" i="1"/>
  <c r="AO17" i="1"/>
  <c r="P12" i="1" l="1"/>
  <c r="P9" i="1"/>
  <c r="P4" i="1"/>
  <c r="P5" i="1"/>
  <c r="P10" i="1"/>
  <c r="D12" i="2"/>
  <c r="E13" i="2"/>
  <c r="F3" i="2"/>
  <c r="E19" i="2"/>
  <c r="R30" i="2"/>
  <c r="R28" i="2"/>
  <c r="T28" i="2" s="1"/>
  <c r="T27" i="2"/>
  <c r="AN17" i="1"/>
  <c r="P8" i="1"/>
  <c r="P2" i="1"/>
  <c r="P7" i="1"/>
  <c r="P6" i="1"/>
  <c r="T30" i="2" l="1"/>
  <c r="R31" i="2"/>
  <c r="T31" i="2" s="1"/>
  <c r="K9" i="2"/>
  <c r="H9" i="2"/>
  <c r="F5" i="2"/>
  <c r="J9" i="2"/>
  <c r="E12" i="2"/>
  <c r="F13" i="2"/>
  <c r="P17" i="1"/>
  <c r="F12" i="2" l="1"/>
  <c r="G12" i="2" s="1"/>
  <c r="G13" i="2"/>
</calcChain>
</file>

<file path=xl/sharedStrings.xml><?xml version="1.0" encoding="utf-8"?>
<sst xmlns="http://schemas.openxmlformats.org/spreadsheetml/2006/main" count="486" uniqueCount="198">
  <si>
    <t>Security Code</t>
  </si>
  <si>
    <t>COMPANY</t>
  </si>
  <si>
    <t>CMP</t>
  </si>
  <si>
    <t>Market Cap</t>
  </si>
  <si>
    <t>CUR ASSET</t>
  </si>
  <si>
    <t>CUR LIABILITY</t>
  </si>
  <si>
    <t>TOT. ASSET</t>
  </si>
  <si>
    <t>TOT. LIABILITY</t>
  </si>
  <si>
    <t>EQUITY</t>
  </si>
  <si>
    <t>TOT. EQUITY</t>
  </si>
  <si>
    <t>BORROWING</t>
  </si>
  <si>
    <t xml:space="preserve">TRADE REC. </t>
  </si>
  <si>
    <t>FV</t>
  </si>
  <si>
    <t>NPA in % (For banks only)</t>
  </si>
  <si>
    <t>TRAIL_EPS</t>
  </si>
  <si>
    <t>Companies weightage</t>
  </si>
  <si>
    <t>SALES_18</t>
  </si>
  <si>
    <t>SALES_23</t>
  </si>
  <si>
    <t>PROFIT_23</t>
  </si>
  <si>
    <t>9M_FY24_SALES</t>
  </si>
  <si>
    <t>9M_FY23_SALES</t>
  </si>
  <si>
    <t>9M_FY24_PROFIT</t>
  </si>
  <si>
    <t>9M_FY23_PROFIT</t>
  </si>
  <si>
    <t>FINANCE</t>
  </si>
  <si>
    <t>EXPENSE</t>
  </si>
  <si>
    <t>CY_SALES GR</t>
  </si>
  <si>
    <t>CY_PRPFIT_GR</t>
  </si>
  <si>
    <t>SALES_5Y_GR</t>
  </si>
  <si>
    <t>CY_MARGIN</t>
  </si>
  <si>
    <t>MARGIN_23</t>
  </si>
  <si>
    <t>ICR</t>
  </si>
  <si>
    <t>CUR. RATIO</t>
  </si>
  <si>
    <t>TR.DAYS</t>
  </si>
  <si>
    <t>DEBT2EQUITY</t>
  </si>
  <si>
    <t>DEBTRATIO</t>
  </si>
  <si>
    <t>ROE</t>
  </si>
  <si>
    <t>ROPE</t>
  </si>
  <si>
    <t>ROA</t>
  </si>
  <si>
    <t>TRAIL_PE</t>
  </si>
  <si>
    <t>YIELD</t>
  </si>
  <si>
    <t>BOOKVALUE</t>
  </si>
  <si>
    <t>PBV</t>
  </si>
  <si>
    <t>JSWSTEEL</t>
  </si>
  <si>
    <t>TATASTEEL</t>
  </si>
  <si>
    <t>JINDALSTEL</t>
  </si>
  <si>
    <t>SAIL</t>
  </si>
  <si>
    <t>JSL</t>
  </si>
  <si>
    <t>SHYAMMETL</t>
  </si>
  <si>
    <t>JAIBALAJI</t>
  </si>
  <si>
    <t>SARDAEN</t>
  </si>
  <si>
    <t>SUNFLAG</t>
  </si>
  <si>
    <t>PRAKASH</t>
  </si>
  <si>
    <t>MUKANDLTD</t>
  </si>
  <si>
    <t>SCANSTL</t>
  </si>
  <si>
    <t>KAJARIR</t>
  </si>
  <si>
    <t>ANKITMETAL</t>
  </si>
  <si>
    <t>INDUSTRY</t>
  </si>
  <si>
    <t>GLOBAL</t>
  </si>
  <si>
    <t>DOMESTIC</t>
  </si>
  <si>
    <t>LISTED SPACE</t>
  </si>
  <si>
    <t>GROWTH</t>
  </si>
  <si>
    <t>LIQUIDITY</t>
  </si>
  <si>
    <t>NA</t>
  </si>
  <si>
    <t>SOLVENCY</t>
  </si>
  <si>
    <t>PROFITABILITY</t>
  </si>
  <si>
    <t>WWW.PROFITFROMIT.IN</t>
  </si>
  <si>
    <t>FY_2005</t>
  </si>
  <si>
    <t>SOA</t>
  </si>
  <si>
    <t>TOTAL</t>
  </si>
  <si>
    <t>FY_2006</t>
  </si>
  <si>
    <t>FY_2007</t>
  </si>
  <si>
    <t>INVENTORIES</t>
  </si>
  <si>
    <t>FY_2008</t>
  </si>
  <si>
    <t>STOCKINTRADE</t>
  </si>
  <si>
    <t>FY_2009</t>
  </si>
  <si>
    <t>EMPLOYEE</t>
  </si>
  <si>
    <t>FY_2010</t>
  </si>
  <si>
    <t>FY_2011</t>
  </si>
  <si>
    <t>D&amp;A</t>
  </si>
  <si>
    <t>FY_2012</t>
  </si>
  <si>
    <t>ROYALTIES</t>
  </si>
  <si>
    <t>FY_2013</t>
  </si>
  <si>
    <t>POWER&amp;FUEL</t>
  </si>
  <si>
    <t>FY_2014</t>
  </si>
  <si>
    <t>OTHER EXP</t>
  </si>
  <si>
    <t>FY_2015</t>
  </si>
  <si>
    <t>MATERIAL</t>
  </si>
  <si>
    <t>FY_2016</t>
  </si>
  <si>
    <t>SHARE%</t>
  </si>
  <si>
    <t>Q1_FY24</t>
  </si>
  <si>
    <t>Q1_FY25</t>
  </si>
  <si>
    <t>COST</t>
  </si>
  <si>
    <t>FY_2017</t>
  </si>
  <si>
    <t>STOCK SPLIT 10:1</t>
  </si>
  <si>
    <t>FY_2018</t>
  </si>
  <si>
    <t>FY_2019</t>
  </si>
  <si>
    <t>MARGIN</t>
  </si>
  <si>
    <t>FY_2020</t>
  </si>
  <si>
    <t>EPS</t>
  </si>
  <si>
    <t>FY_2021</t>
  </si>
  <si>
    <t>PROFIT</t>
  </si>
  <si>
    <t>FY_2022</t>
  </si>
  <si>
    <t>PBT%</t>
  </si>
  <si>
    <t>FY_2023</t>
  </si>
  <si>
    <t>PBT</t>
  </si>
  <si>
    <t>FY_2024</t>
  </si>
  <si>
    <t>TRAIL_25</t>
  </si>
  <si>
    <t>EBIT%</t>
  </si>
  <si>
    <t>LOW PE</t>
  </si>
  <si>
    <t>HIGH PE</t>
  </si>
  <si>
    <t>LOW PRICE</t>
  </si>
  <si>
    <t>HIGH PRICE</t>
  </si>
  <si>
    <t>DEBT</t>
  </si>
  <si>
    <t>RESERVE</t>
  </si>
  <si>
    <t>SALES</t>
  </si>
  <si>
    <t>STEEL MNT</t>
  </si>
  <si>
    <t>YEAR</t>
  </si>
  <si>
    <t>RAWDATA</t>
  </si>
  <si>
    <t>EBIT</t>
  </si>
  <si>
    <t>History</t>
  </si>
  <si>
    <t>EBITDA%</t>
  </si>
  <si>
    <t>EBITDA</t>
  </si>
  <si>
    <t>CYEAR</t>
  </si>
  <si>
    <t>Growth 5 Years</t>
  </si>
  <si>
    <t>Growth 10 Years</t>
  </si>
  <si>
    <t>VOLUME</t>
  </si>
  <si>
    <t>Growth 15 YEARS</t>
  </si>
  <si>
    <t>FY23</t>
  </si>
  <si>
    <t>FY24</t>
  </si>
  <si>
    <t>RESULTS</t>
  </si>
  <si>
    <t>Q4_FY23</t>
  </si>
  <si>
    <t>Q4_FY24</t>
  </si>
  <si>
    <t>FAIR_PBV</t>
  </si>
  <si>
    <t>Actual Growth</t>
  </si>
  <si>
    <t>FY_2025</t>
  </si>
  <si>
    <t>F_PE_25</t>
  </si>
  <si>
    <t>TRAILPE</t>
  </si>
  <si>
    <t>FY_2030</t>
  </si>
  <si>
    <t>FY_2035</t>
  </si>
  <si>
    <t>F_BV_25</t>
  </si>
  <si>
    <t>T_BV</t>
  </si>
  <si>
    <t>BV_24</t>
  </si>
  <si>
    <t>TRAILEPS</t>
  </si>
  <si>
    <t>Q3_FY24</t>
  </si>
  <si>
    <t>Q2_FY24</t>
  </si>
  <si>
    <t>Years</t>
  </si>
  <si>
    <t>Estimate</t>
  </si>
  <si>
    <t>Loss 2 Profit</t>
  </si>
  <si>
    <t>fy_2025</t>
  </si>
  <si>
    <t>PE</t>
  </si>
  <si>
    <t>Sales</t>
  </si>
  <si>
    <t>F_PEG</t>
  </si>
  <si>
    <t>F_EPS_25</t>
  </si>
  <si>
    <t>T_EPS</t>
  </si>
  <si>
    <t>EPS_24</t>
  </si>
  <si>
    <t>EST_FY_2025</t>
  </si>
  <si>
    <t>9M_FY24</t>
  </si>
  <si>
    <t>H1_FY24</t>
  </si>
  <si>
    <t>Trend</t>
  </si>
  <si>
    <t>BV_FV</t>
  </si>
  <si>
    <t>EPS_FV</t>
  </si>
  <si>
    <t>Expectation</t>
  </si>
  <si>
    <t>FCF IN CR</t>
  </si>
  <si>
    <t>CFD</t>
  </si>
  <si>
    <t>OCFR</t>
  </si>
  <si>
    <t>PEG</t>
  </si>
  <si>
    <t>DIV_YIELD</t>
  </si>
  <si>
    <t>F-PE</t>
  </si>
  <si>
    <t>T_ROCE%</t>
  </si>
  <si>
    <t>TRADE CYC</t>
  </si>
  <si>
    <t>CUR.RATIO</t>
  </si>
  <si>
    <t>P-MARGIN</t>
  </si>
  <si>
    <t>SALES GROWTH</t>
  </si>
  <si>
    <t>CFR</t>
  </si>
  <si>
    <t>VALUATIONS</t>
  </si>
  <si>
    <t>Growth</t>
  </si>
  <si>
    <t>Previous Ye_24</t>
  </si>
  <si>
    <t>PPE</t>
  </si>
  <si>
    <t>CASHFLOW</t>
  </si>
  <si>
    <t>CFF</t>
  </si>
  <si>
    <t>CFI</t>
  </si>
  <si>
    <t>CFO</t>
  </si>
  <si>
    <t>TRADE REC</t>
  </si>
  <si>
    <t>LIABILITIES</t>
  </si>
  <si>
    <t>ASSETS</t>
  </si>
  <si>
    <t>CUR.LIABILITIES</t>
  </si>
  <si>
    <t>CUR.ASSETS</t>
  </si>
  <si>
    <t>Lease Cr</t>
  </si>
  <si>
    <t>Debt</t>
  </si>
  <si>
    <t>Reserves Cr</t>
  </si>
  <si>
    <t>Equity</t>
  </si>
  <si>
    <t>F-EPS</t>
  </si>
  <si>
    <t>Profit in Cr</t>
  </si>
  <si>
    <t>Sales in Cr</t>
  </si>
  <si>
    <t>STEEL PROD.</t>
  </si>
  <si>
    <t>Marketcap in Cr</t>
  </si>
  <si>
    <t>Price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</si>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</sst>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19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color rgb="FF000000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i/>
      <sz val="11"/>
      <color theme="1"/>
      <name val="Arial"/>
    </font>
    <font>
      <sz val="11"/>
      <name val="Arial"/>
    </font>
    <font>
      <u/>
      <sz val="15"/>
      <color rgb="FFFFFFFF"/>
      <name val="Arial"/>
    </font>
    <font>
      <b/>
      <i/>
      <sz val="11"/>
      <color theme="1"/>
      <name val="Calibri"/>
    </font>
    <font>
      <b/>
      <sz val="11"/>
      <color theme="1"/>
      <name val="Calibri"/>
    </font>
    <font>
      <sz val="11"/>
      <color rgb="FFFFFFFF"/>
      <name val="Calibri"/>
    </font>
    <font>
      <sz val="11"/>
      <color rgb="FFFFFFFF"/>
      <name val="Arial"/>
    </font>
    <font>
      <b/>
      <sz val="11"/>
      <color rgb="FFFFFFFF"/>
      <name val="Calibri"/>
    </font>
    <font>
      <i/>
      <sz val="11"/>
      <color rgb="FF000000"/>
      <name val="Calibri"/>
    </font>
    <font>
      <b/>
      <sz val="11"/>
      <color theme="0"/>
      <name val="&quot;Times New Roman&quot;"/>
    </font>
    <font>
      <sz val="11"/>
      <color rgb="FF000000"/>
      <name val="Arial"/>
    </font>
    <font>
      <b/>
      <sz val="32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4C1130"/>
        <bgColor rgb="FF4C1130"/>
      </patternFill>
    </fill>
    <fill>
      <patternFill patternType="solid">
        <fgColor rgb="FFCCCCCC"/>
        <bgColor rgb="FFCCCCCC"/>
      </patternFill>
    </fill>
    <fill>
      <patternFill patternType="solid">
        <fgColor rgb="FF3C78D8"/>
        <bgColor rgb="FF3C7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theme="4"/>
      </patternFill>
    </fill>
    <fill>
      <patternFill patternType="solid">
        <fgColor rgb="FFF9DDDB"/>
        <bgColor rgb="FFF9DDDB"/>
      </patternFill>
    </fill>
    <fill>
      <patternFill patternType="solid">
        <fgColor rgb="FFE67C73"/>
        <bgColor rgb="FFE67C73"/>
      </patternFill>
    </fill>
    <fill>
      <patternFill patternType="solid">
        <fgColor rgb="FFB7B7B7"/>
        <bgColor rgb="FFB7B7B7"/>
      </patternFill>
    </fill>
    <fill>
      <patternFill patternType="solid">
        <fgColor rgb="FFF7D5D2"/>
        <bgColor rgb="FFF7D5D2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1" fontId="4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0" fontId="4" fillId="0" borderId="1" xfId="0" applyNumberFormat="1" applyFont="1" applyBorder="1"/>
    <xf numFmtId="0" fontId="4" fillId="0" borderId="0" xfId="0" applyFont="1"/>
    <xf numFmtId="164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2" fillId="2" borderId="0" xfId="0" applyFont="1" applyFill="1"/>
    <xf numFmtId="0" fontId="2" fillId="2" borderId="2" xfId="0" applyFont="1" applyFill="1" applyBorder="1"/>
    <xf numFmtId="0" fontId="6" fillId="0" borderId="0" xfId="0" applyFont="1"/>
    <xf numFmtId="1" fontId="4" fillId="0" borderId="0" xfId="0" applyNumberFormat="1" applyFont="1" applyAlignment="1">
      <alignment horizontal="right"/>
    </xf>
    <xf numFmtId="0" fontId="6" fillId="0" borderId="3" xfId="0" applyFont="1" applyBorder="1"/>
    <xf numFmtId="0" fontId="4" fillId="0" borderId="4" xfId="0" applyFont="1" applyBorder="1" applyAlignment="1">
      <alignment horizontal="right"/>
    </xf>
    <xf numFmtId="0" fontId="6" fillId="0" borderId="5" xfId="0" applyFont="1" applyBorder="1"/>
    <xf numFmtId="1" fontId="4" fillId="0" borderId="5" xfId="0" applyNumberFormat="1" applyFont="1" applyBorder="1" applyAlignment="1">
      <alignment horizontal="right"/>
    </xf>
    <xf numFmtId="0" fontId="7" fillId="4" borderId="6" xfId="0" applyFont="1" applyFill="1" applyBorder="1" applyAlignment="1">
      <alignment horizontal="right"/>
    </xf>
    <xf numFmtId="1" fontId="7" fillId="4" borderId="6" xfId="0" applyNumberFormat="1" applyFont="1" applyFill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165" fontId="4" fillId="0" borderId="0" xfId="0" applyNumberFormat="1" applyFont="1"/>
    <xf numFmtId="165" fontId="7" fillId="4" borderId="6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right"/>
    </xf>
    <xf numFmtId="164" fontId="4" fillId="0" borderId="0" xfId="0" applyNumberFormat="1" applyFont="1"/>
    <xf numFmtId="164" fontId="7" fillId="4" borderId="6" xfId="0" applyNumberFormat="1" applyFont="1" applyFill="1" applyBorder="1" applyAlignment="1">
      <alignment horizontal="right"/>
    </xf>
    <xf numFmtId="2" fontId="4" fillId="0" borderId="4" xfId="0" applyNumberFormat="1" applyFont="1" applyBorder="1" applyAlignment="1">
      <alignment horizontal="right"/>
    </xf>
    <xf numFmtId="1" fontId="4" fillId="0" borderId="0" xfId="0" applyNumberFormat="1" applyFont="1"/>
    <xf numFmtId="0" fontId="8" fillId="0" borderId="4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0" fontId="0" fillId="0" borderId="0" xfId="0"/>
    <xf numFmtId="0" fontId="8" fillId="0" borderId="9" xfId="0" applyFont="1" applyBorder="1"/>
    <xf numFmtId="0" fontId="8" fillId="0" borderId="10" xfId="0" applyFont="1" applyBorder="1"/>
    <xf numFmtId="0" fontId="8" fillId="0" borderId="6" xfId="0" applyFont="1" applyBorder="1"/>
    <xf numFmtId="0" fontId="9" fillId="5" borderId="1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9" fontId="1" fillId="0" borderId="0" xfId="0" applyNumberFormat="1" applyFont="1"/>
    <xf numFmtId="0" fontId="1" fillId="6" borderId="1" xfId="0" applyFont="1" applyFill="1" applyBorder="1"/>
    <xf numFmtId="164" fontId="4" fillId="6" borderId="1" xfId="0" applyNumberFormat="1" applyFont="1" applyFill="1" applyBorder="1" applyAlignment="1">
      <alignment horizontal="right"/>
    </xf>
    <xf numFmtId="1" fontId="4" fillId="6" borderId="1" xfId="0" applyNumberFormat="1" applyFont="1" applyFill="1" applyBorder="1" applyAlignment="1">
      <alignment horizontal="right"/>
    </xf>
    <xf numFmtId="9" fontId="4" fillId="6" borderId="1" xfId="0" applyNumberFormat="1" applyFont="1" applyFill="1" applyBorder="1" applyAlignment="1">
      <alignment horizontal="right"/>
    </xf>
    <xf numFmtId="164" fontId="1" fillId="0" borderId="0" xfId="0" applyNumberFormat="1" applyFont="1"/>
    <xf numFmtId="0" fontId="4" fillId="0" borderId="1" xfId="0" applyFont="1" applyBorder="1" applyAlignment="1">
      <alignment horizontal="left"/>
    </xf>
    <xf numFmtId="9" fontId="10" fillId="0" borderId="6" xfId="0" applyNumberFormat="1" applyFont="1" applyBorder="1" applyAlignment="1">
      <alignment horizontal="right"/>
    </xf>
    <xf numFmtId="9" fontId="11" fillId="0" borderId="0" xfId="0" applyNumberFormat="1" applyFont="1" applyAlignment="1">
      <alignment horizontal="right"/>
    </xf>
    <xf numFmtId="1" fontId="10" fillId="7" borderId="6" xfId="0" applyNumberFormat="1" applyFont="1" applyFill="1" applyBorder="1" applyAlignment="1">
      <alignment horizontal="right"/>
    </xf>
    <xf numFmtId="0" fontId="10" fillId="7" borderId="6" xfId="0" applyFont="1" applyFill="1" applyBorder="1"/>
    <xf numFmtId="1" fontId="1" fillId="6" borderId="1" xfId="0" applyNumberFormat="1" applyFont="1" applyFill="1" applyBorder="1"/>
    <xf numFmtId="0" fontId="4" fillId="6" borderId="1" xfId="0" applyFont="1" applyFill="1" applyBorder="1" applyAlignment="1">
      <alignment horizontal="right"/>
    </xf>
    <xf numFmtId="9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7" borderId="1" xfId="0" applyFont="1" applyFill="1" applyBorder="1"/>
    <xf numFmtId="0" fontId="1" fillId="0" borderId="1" xfId="0" applyFont="1" applyBorder="1"/>
    <xf numFmtId="0" fontId="12" fillId="8" borderId="1" xfId="0" applyFont="1" applyFill="1" applyBorder="1"/>
    <xf numFmtId="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4" fillId="6" borderId="1" xfId="0" applyNumberFormat="1" applyFont="1" applyFill="1" applyBorder="1" applyAlignment="1">
      <alignment horizontal="right"/>
    </xf>
    <xf numFmtId="164" fontId="13" fillId="5" borderId="1" xfId="0" applyNumberFormat="1" applyFont="1" applyFill="1" applyBorder="1"/>
    <xf numFmtId="0" fontId="13" fillId="5" borderId="1" xfId="0" applyFont="1" applyFill="1" applyBorder="1"/>
    <xf numFmtId="0" fontId="13" fillId="5" borderId="1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14" fillId="8" borderId="1" xfId="0" applyFont="1" applyFill="1" applyBorder="1"/>
    <xf numFmtId="166" fontId="1" fillId="0" borderId="0" xfId="0" applyNumberFormat="1" applyFont="1"/>
    <xf numFmtId="3" fontId="1" fillId="0" borderId="0" xfId="0" applyNumberFormat="1" applyFont="1"/>
    <xf numFmtId="1" fontId="1" fillId="0" borderId="1" xfId="0" applyNumberFormat="1" applyFont="1" applyBorder="1"/>
    <xf numFmtId="165" fontId="1" fillId="6" borderId="1" xfId="0" applyNumberFormat="1" applyFont="1" applyFill="1" applyBorder="1"/>
    <xf numFmtId="9" fontId="1" fillId="6" borderId="1" xfId="0" applyNumberFormat="1" applyFont="1" applyFill="1" applyBorder="1"/>
    <xf numFmtId="166" fontId="15" fillId="6" borderId="1" xfId="0" applyNumberFormat="1" applyFont="1" applyFill="1" applyBorder="1" applyAlignment="1">
      <alignment horizontal="right"/>
    </xf>
    <xf numFmtId="9" fontId="15" fillId="6" borderId="1" xfId="0" applyNumberFormat="1" applyFont="1" applyFill="1" applyBorder="1" applyAlignment="1">
      <alignment horizontal="right"/>
    </xf>
    <xf numFmtId="0" fontId="3" fillId="6" borderId="1" xfId="0" applyFont="1" applyFill="1" applyBorder="1"/>
    <xf numFmtId="0" fontId="16" fillId="9" borderId="1" xfId="0" applyFont="1" applyFill="1" applyBorder="1" applyAlignment="1">
      <alignment horizontal="left"/>
    </xf>
    <xf numFmtId="0" fontId="17" fillId="0" borderId="0" xfId="0" applyFont="1"/>
    <xf numFmtId="0" fontId="3" fillId="0" borderId="0" xfId="0" applyFont="1"/>
    <xf numFmtId="164" fontId="3" fillId="7" borderId="1" xfId="0" applyNumberFormat="1" applyFont="1" applyFill="1" applyBorder="1" applyAlignment="1">
      <alignment horizontal="center"/>
    </xf>
    <xf numFmtId="164" fontId="3" fillId="10" borderId="1" xfId="0" applyNumberFormat="1" applyFont="1" applyFill="1" applyBorder="1" applyAlignment="1">
      <alignment horizontal="center"/>
    </xf>
    <xf numFmtId="164" fontId="3" fillId="11" borderId="1" xfId="0" applyNumberFormat="1" applyFont="1" applyFill="1" applyBorder="1" applyAlignment="1">
      <alignment horizontal="center"/>
    </xf>
    <xf numFmtId="165" fontId="17" fillId="0" borderId="1" xfId="0" applyNumberFormat="1" applyFont="1" applyBorder="1"/>
    <xf numFmtId="9" fontId="1" fillId="0" borderId="1" xfId="0" applyNumberFormat="1" applyFont="1" applyBorder="1"/>
    <xf numFmtId="9" fontId="17" fillId="0" borderId="1" xfId="0" applyNumberFormat="1" applyFont="1" applyBorder="1"/>
    <xf numFmtId="9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165" fontId="1" fillId="0" borderId="1" xfId="0" applyNumberFormat="1" applyFont="1" applyBorder="1"/>
    <xf numFmtId="9" fontId="6" fillId="7" borderId="1" xfId="0" applyNumberFormat="1" applyFont="1" applyFill="1" applyBorder="1"/>
    <xf numFmtId="0" fontId="6" fillId="7" borderId="0" xfId="0" applyFont="1" applyFill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6" fillId="0" borderId="1" xfId="0" applyNumberFormat="1" applyFont="1" applyBorder="1" applyAlignment="1">
      <alignment horizontal="right"/>
    </xf>
    <xf numFmtId="0" fontId="12" fillId="8" borderId="1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3" xfId="0" applyFont="1" applyBorder="1"/>
    <xf numFmtId="1" fontId="3" fillId="10" borderId="1" xfId="0" applyNumberFormat="1" applyFont="1" applyFill="1" applyBorder="1" applyAlignment="1">
      <alignment horizontal="center"/>
    </xf>
    <xf numFmtId="1" fontId="1" fillId="12" borderId="1" xfId="0" applyNumberFormat="1" applyFont="1" applyFill="1" applyBorder="1"/>
    <xf numFmtId="1" fontId="6" fillId="12" borderId="1" xfId="0" applyNumberFormat="1" applyFont="1" applyFill="1" applyBorder="1" applyAlignment="1">
      <alignment horizontal="right"/>
    </xf>
    <xf numFmtId="0" fontId="14" fillId="8" borderId="1" xfId="0" applyFont="1" applyFill="1" applyBorder="1" applyAlignment="1">
      <alignment horizontal="left"/>
    </xf>
    <xf numFmtId="0" fontId="8" fillId="0" borderId="12" xfId="0" applyFont="1" applyBorder="1"/>
    <xf numFmtId="164" fontId="18" fillId="4" borderId="12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3" fontId="3" fillId="1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5" fillId="12" borderId="4" xfId="0" applyFont="1" applyFill="1" applyBorder="1" applyAlignment="1">
      <alignment horizontal="right"/>
    </xf>
    <xf numFmtId="1" fontId="15" fillId="12" borderId="4" xfId="0" applyNumberFormat="1" applyFont="1" applyFill="1" applyBorder="1" applyAlignment="1">
      <alignment horizontal="right"/>
    </xf>
    <xf numFmtId="164" fontId="4" fillId="12" borderId="1" xfId="0" applyNumberFormat="1" applyFont="1" applyFill="1" applyBorder="1" applyAlignment="1">
      <alignment horizontal="right"/>
    </xf>
    <xf numFmtId="1" fontId="4" fillId="12" borderId="1" xfId="0" applyNumberFormat="1" applyFont="1" applyFill="1" applyBorder="1" applyAlignment="1">
      <alignment horizontal="right"/>
    </xf>
    <xf numFmtId="165" fontId="4" fillId="12" borderId="1" xfId="0" applyNumberFormat="1" applyFont="1" applyFill="1" applyBorder="1" applyAlignment="1">
      <alignment horizontal="right"/>
    </xf>
    <xf numFmtId="9" fontId="4" fillId="12" borderId="1" xfId="0" applyNumberFormat="1" applyFont="1" applyFill="1" applyBorder="1" applyAlignment="1">
      <alignment horizontal="right"/>
    </xf>
    <xf numFmtId="166" fontId="4" fillId="12" borderId="1" xfId="0" applyNumberFormat="1" applyFont="1" applyFill="1" applyBorder="1" applyAlignment="1">
      <alignment horizontal="right"/>
    </xf>
    <xf numFmtId="0" fontId="4" fillId="12" borderId="1" xfId="0" applyFont="1" applyFill="1" applyBorder="1"/>
    <xf numFmtId="3" fontId="4" fillId="12" borderId="1" xfId="0" applyNumberFormat="1" applyFont="1" applyFill="1" applyBorder="1"/>
    <xf numFmtId="0" fontId="3" fillId="7" borderId="0" xfId="0" applyFont="1" applyFill="1"/>
    <xf numFmtId="0" fontId="14" fillId="8" borderId="0" xfId="0" applyFont="1" applyFill="1" applyAlignment="1">
      <alignment wrapText="1"/>
    </xf>
    <xf numFmtId="10" fontId="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7" borderId="1" xfId="0" applyNumberFormat="1" applyFont="1" applyFill="1" applyBorder="1" applyAlignment="1">
      <alignment horizontal="center"/>
    </xf>
    <xf numFmtId="0" fontId="14" fillId="8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Market Cap vs COMPANY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'Iron &amp; Steel'!$D$1</c:f>
              <c:strCache>
                <c:ptCount val="1"/>
                <c:pt idx="0">
                  <c:v>Market Cap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5FB-48DE-9DE3-7A4B9E0FDCD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5FB-48DE-9DE3-7A4B9E0FDCD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05FB-48DE-9DE3-7A4B9E0FDCD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05FB-48DE-9DE3-7A4B9E0FDCD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05FB-48DE-9DE3-7A4B9E0FDCD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05FB-48DE-9DE3-7A4B9E0FDCD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05FB-48DE-9DE3-7A4B9E0FDCD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05FB-48DE-9DE3-7A4B9E0FDCD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05FB-48DE-9DE3-7A4B9E0FDCD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05FB-48DE-9DE3-7A4B9E0FDCD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05FB-48DE-9DE3-7A4B9E0FDCDF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</c:spPr>
            <c:extLst>
              <c:ext xmlns:c16="http://schemas.microsoft.com/office/drawing/2014/chart" uri="{C3380CC4-5D6E-409C-BE32-E72D297353CC}">
                <c16:uniqueId val="{00000017-05FB-48DE-9DE3-7A4B9E0FDCDF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</c:spPr>
            <c:extLst>
              <c:ext xmlns:c16="http://schemas.microsoft.com/office/drawing/2014/chart" uri="{C3380CC4-5D6E-409C-BE32-E72D297353CC}">
                <c16:uniqueId val="{00000019-05FB-48DE-9DE3-7A4B9E0FDCDF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</c:spPr>
            <c:extLst>
              <c:ext xmlns:c16="http://schemas.microsoft.com/office/drawing/2014/chart" uri="{C3380CC4-5D6E-409C-BE32-E72D297353CC}">
                <c16:uniqueId val="{0000001B-05FB-48DE-9DE3-7A4B9E0FDCDF}"/>
              </c:ext>
            </c:extLst>
          </c:dPt>
          <c:cat>
            <c:strRef>
              <c:f>'Iron &amp; Steel'!$B$2:$B$15</c:f>
              <c:strCache>
                <c:ptCount val="14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  <c:pt idx="11">
                  <c:v>SCANSTL</c:v>
                </c:pt>
                <c:pt idx="12">
                  <c:v>KAJARIR</c:v>
                </c:pt>
                <c:pt idx="13">
                  <c:v>ANKITMETAL</c:v>
                </c:pt>
              </c:strCache>
            </c:strRef>
          </c:cat>
          <c:val>
            <c:numRef>
              <c:f>'Iron &amp; Steel'!$D$2:$D$15</c:f>
              <c:numCache>
                <c:formatCode>0</c:formatCode>
                <c:ptCount val="14"/>
                <c:pt idx="0">
                  <c:v>219100.59409999999</c:v>
                </c:pt>
                <c:pt idx="1">
                  <c:v>202904.80781639999</c:v>
                </c:pt>
                <c:pt idx="2">
                  <c:v>98364.963124999995</c:v>
                </c:pt>
                <c:pt idx="3">
                  <c:v>61071.621221000001</c:v>
                </c:pt>
                <c:pt idx="4">
                  <c:v>62951.58</c:v>
                </c:pt>
                <c:pt idx="5">
                  <c:v>19265.25447</c:v>
                </c:pt>
                <c:pt idx="6">
                  <c:v>16812.785929999998</c:v>
                </c:pt>
                <c:pt idx="7">
                  <c:v>9634.1017929000009</c:v>
                </c:pt>
                <c:pt idx="8">
                  <c:v>4484.4202800000003</c:v>
                </c:pt>
                <c:pt idx="9">
                  <c:v>3429.9775619000002</c:v>
                </c:pt>
                <c:pt idx="10">
                  <c:v>2627.9409999999998</c:v>
                </c:pt>
                <c:pt idx="11">
                  <c:v>314.63719479999997</c:v>
                </c:pt>
                <c:pt idx="12">
                  <c:v>166.40520000000001</c:v>
                </c:pt>
                <c:pt idx="13">
                  <c:v>59.125300000000003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5FB-48DE-9DE3-7A4B9E0FD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ICR: 2.8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Steel'!$G$137</c:f>
              <c:strCache>
                <c:ptCount val="1"/>
                <c:pt idx="0">
                  <c:v>ICR</c:v>
                </c:pt>
              </c:strCache>
            </c:strRef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A7F0-4F7D-8853-C61428CFA957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A7F0-4F7D-8853-C61428CFA957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A7F0-4F7D-8853-C61428CFA957}"/>
              </c:ext>
            </c:extLst>
          </c:dPt>
          <c:dPt>
            <c:idx val="6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A7F0-4F7D-8853-C61428CFA957}"/>
              </c:ext>
            </c:extLst>
          </c:dPt>
          <c:dPt>
            <c:idx val="1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A7F0-4F7D-8853-C61428CFA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Steel'!$F$138:$F$148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Steel'!$G$138:$G$148</c:f>
              <c:numCache>
                <c:formatCode>0.0</c:formatCode>
                <c:ptCount val="11"/>
                <c:pt idx="0">
                  <c:v>1.6043175891046073</c:v>
                </c:pt>
                <c:pt idx="1">
                  <c:v>3.6459755516748689</c:v>
                </c:pt>
                <c:pt idx="2">
                  <c:v>5.012456747404844</c:v>
                </c:pt>
                <c:pt idx="3">
                  <c:v>1.5100638193421698</c:v>
                </c:pt>
                <c:pt idx="4">
                  <c:v>10.006172839506172</c:v>
                </c:pt>
                <c:pt idx="5">
                  <c:v>11</c:v>
                </c:pt>
                <c:pt idx="6">
                  <c:v>1.7865168539325842</c:v>
                </c:pt>
                <c:pt idx="7">
                  <c:v>7.112903225806452</c:v>
                </c:pt>
                <c:pt idx="8">
                  <c:v>4.5061728395061724</c:v>
                </c:pt>
                <c:pt idx="9">
                  <c:v>5.0487804878048781</c:v>
                </c:pt>
                <c:pt idx="10">
                  <c:v>-1.2994350282485876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A7F0-4F7D-8853-C61428CFA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91914"/>
        <c:axId val="623544491"/>
      </c:barChart>
      <c:catAx>
        <c:axId val="907991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3544491"/>
        <c:crosses val="autoZero"/>
        <c:auto val="1"/>
        <c:lblAlgn val="ctr"/>
        <c:lblOffset val="100"/>
        <c:noMultiLvlLbl val="1"/>
      </c:catAx>
      <c:valAx>
        <c:axId val="6235444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ICR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79919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DEBTRATIO: INDUSTRY 0.6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Steel'!$K$137</c:f>
              <c:strCache>
                <c:ptCount val="1"/>
                <c:pt idx="0">
                  <c:v>DEBTRATIO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8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DB2-40BD-9E71-26F8C91B5C36}"/>
              </c:ext>
            </c:extLst>
          </c:dPt>
          <c:dPt>
            <c:idx val="9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DB2-40BD-9E71-26F8C91B5C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Steel'!$J$138:$J$148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Steel'!$K$138:$K$148</c:f>
              <c:numCache>
                <c:formatCode>0.00</c:formatCode>
                <c:ptCount val="11"/>
                <c:pt idx="0">
                  <c:v>0.65083033092832199</c:v>
                </c:pt>
                <c:pt idx="1">
                  <c:v>0.66593976027724844</c:v>
                </c:pt>
                <c:pt idx="2">
                  <c:v>0.42073339611144961</c:v>
                </c:pt>
                <c:pt idx="3">
                  <c:v>0.56777504972300319</c:v>
                </c:pt>
                <c:pt idx="4">
                  <c:v>0.54406989303867925</c:v>
                </c:pt>
                <c:pt idx="5">
                  <c:v>0.37107959510578448</c:v>
                </c:pt>
                <c:pt idx="6">
                  <c:v>0.69156249999999997</c:v>
                </c:pt>
                <c:pt idx="7">
                  <c:v>0.34698789352103815</c:v>
                </c:pt>
                <c:pt idx="8">
                  <c:v>0.26696552790230327</c:v>
                </c:pt>
                <c:pt idx="9">
                  <c:v>0.27374562427071181</c:v>
                </c:pt>
                <c:pt idx="10">
                  <c:v>0.70621657754010692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DB2-40BD-9E71-26F8C91B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734439"/>
        <c:axId val="1303114696"/>
      </c:barChart>
      <c:catAx>
        <c:axId val="1904734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3114696"/>
        <c:crosses val="autoZero"/>
        <c:auto val="1"/>
        <c:lblAlgn val="ctr"/>
        <c:lblOffset val="100"/>
        <c:noMultiLvlLbl val="1"/>
      </c:catAx>
      <c:valAx>
        <c:axId val="13031146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DEBTRATIO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473443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ROE and ROA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Steel'!$C$168</c:f>
              <c:strCache>
                <c:ptCount val="1"/>
                <c:pt idx="0">
                  <c:v>ROE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Steel'!$B$169:$B$179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Steel'!$C$169:$C$179</c:f>
              <c:numCache>
                <c:formatCode>0.0%</c:formatCode>
                <c:ptCount val="11"/>
                <c:pt idx="0">
                  <c:v>5.489462724969827E-2</c:v>
                </c:pt>
                <c:pt idx="1">
                  <c:v>8.8929514411812488E-2</c:v>
                </c:pt>
                <c:pt idx="2">
                  <c:v>9.502175888288461E-2</c:v>
                </c:pt>
                <c:pt idx="3">
                  <c:v>3.8843395069816364E-2</c:v>
                </c:pt>
                <c:pt idx="4">
                  <c:v>0.15714093973901333</c:v>
                </c:pt>
                <c:pt idx="5">
                  <c:v>0.10399344645073311</c:v>
                </c:pt>
                <c:pt idx="6">
                  <c:v>5.8823529411764705E-2</c:v>
                </c:pt>
                <c:pt idx="7">
                  <c:v>0.15980907577966455</c:v>
                </c:pt>
                <c:pt idx="8">
                  <c:v>0.23518245095971313</c:v>
                </c:pt>
                <c:pt idx="9">
                  <c:v>6.1073609771777566E-2</c:v>
                </c:pt>
                <c:pt idx="10">
                  <c:v>0.1956769055745165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3D61-46A2-9490-67FD41EF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869765"/>
        <c:axId val="1618166433"/>
      </c:barChart>
      <c:lineChart>
        <c:grouping val="standard"/>
        <c:varyColors val="0"/>
        <c:ser>
          <c:idx val="1"/>
          <c:order val="1"/>
          <c:tx>
            <c:strRef>
              <c:f>'Iron &amp; Steel'!$D$168</c:f>
              <c:strCache>
                <c:ptCount val="1"/>
                <c:pt idx="0">
                  <c:v>ROA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Steel'!$B$169:$B$179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Steel'!$D$169:$D$179</c:f>
              <c:numCache>
                <c:formatCode>0.0%</c:formatCode>
                <c:ptCount val="11"/>
                <c:pt idx="0">
                  <c:v>1.9167538830590261E-2</c:v>
                </c:pt>
                <c:pt idx="1">
                  <c:v>2.970781490283797E-2</c:v>
                </c:pt>
                <c:pt idx="2">
                  <c:v>5.5032404586495318E-2</c:v>
                </c:pt>
                <c:pt idx="3">
                  <c:v>1.6789084502641115E-2</c:v>
                </c:pt>
                <c:pt idx="4">
                  <c:v>7.1642152262262532E-2</c:v>
                </c:pt>
                <c:pt idx="5">
                  <c:v>6.2481855946902212E-2</c:v>
                </c:pt>
                <c:pt idx="6">
                  <c:v>1.8124999999999999E-2</c:v>
                </c:pt>
                <c:pt idx="7">
                  <c:v>0.10435726120933478</c:v>
                </c:pt>
                <c:pt idx="8">
                  <c:v>0.17236048848353686</c:v>
                </c:pt>
                <c:pt idx="9">
                  <c:v>4.4340723453908985E-2</c:v>
                </c:pt>
                <c:pt idx="10">
                  <c:v>5.7486631016042782E-2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1-46A2-9490-67FD41EFF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869765"/>
        <c:axId val="1618166433"/>
      </c:lineChart>
      <c:catAx>
        <c:axId val="19748697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8166433"/>
        <c:crosses val="autoZero"/>
        <c:auto val="1"/>
        <c:lblAlgn val="ctr"/>
        <c:lblOffset val="100"/>
        <c:noMultiLvlLbl val="1"/>
      </c:catAx>
      <c:valAx>
        <c:axId val="16181664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48697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TRAIL_PE and PBV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Steel'!$H$168</c:f>
              <c:strCache>
                <c:ptCount val="1"/>
                <c:pt idx="0">
                  <c:v>TRAIL_PE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382-49E7-8A72-145EAA42B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Steel'!$G$169:$G$179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Steel'!$H$169:$H$179</c:f>
              <c:numCache>
                <c:formatCode>0.0</c:formatCode>
                <c:ptCount val="11"/>
                <c:pt idx="0">
                  <c:v>17.78</c:v>
                </c:pt>
                <c:pt idx="1">
                  <c:v>-51.952554744525543</c:v>
                </c:pt>
                <c:pt idx="2">
                  <c:v>14.18</c:v>
                </c:pt>
                <c:pt idx="3">
                  <c:v>16.98</c:v>
                </c:pt>
                <c:pt idx="4">
                  <c:v>14.72</c:v>
                </c:pt>
                <c:pt idx="5">
                  <c:v>15.77</c:v>
                </c:pt>
                <c:pt idx="6">
                  <c:v>27.31</c:v>
                </c:pt>
                <c:pt idx="7">
                  <c:v>14.55</c:v>
                </c:pt>
                <c:pt idx="8">
                  <c:v>26.98</c:v>
                </c:pt>
                <c:pt idx="9">
                  <c:v>10.39</c:v>
                </c:pt>
                <c:pt idx="10">
                  <c:v>12.2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B382-49E7-8A72-145EAA42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2268013"/>
        <c:axId val="6545578"/>
      </c:barChart>
      <c:lineChart>
        <c:grouping val="standard"/>
        <c:varyColors val="0"/>
        <c:ser>
          <c:idx val="1"/>
          <c:order val="1"/>
          <c:tx>
            <c:strRef>
              <c:f>'Iron &amp; Steel'!$I$168</c:f>
              <c:strCache>
                <c:ptCount val="1"/>
                <c:pt idx="0">
                  <c:v>PBV</c:v>
                </c:pt>
              </c:strCache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Steel'!$G$169:$G$179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Steel'!$I$169:$I$179</c:f>
              <c:numCache>
                <c:formatCode>0.00</c:formatCode>
                <c:ptCount val="11"/>
                <c:pt idx="0">
                  <c:v>3.3056707703688049</c:v>
                </c:pt>
                <c:pt idx="1">
                  <c:v>1.8891210711525936</c:v>
                </c:pt>
                <c:pt idx="2">
                  <c:v>1.8322122036162396</c:v>
                </c:pt>
                <c:pt idx="3">
                  <c:v>0.87520030806138294</c:v>
                </c:pt>
                <c:pt idx="4">
                  <c:v>3.8726467731760743</c:v>
                </c:pt>
                <c:pt idx="5">
                  <c:v>2.0248512861736332</c:v>
                </c:pt>
                <c:pt idx="6">
                  <c:v>13.193717277486911</c:v>
                </c:pt>
                <c:pt idx="7">
                  <c:v>2.0988342617471658</c:v>
                </c:pt>
                <c:pt idx="8">
                  <c:v>0.76795366795366782</c:v>
                </c:pt>
                <c:pt idx="9">
                  <c:v>1.0016382978723404</c:v>
                </c:pt>
                <c:pt idx="10">
                  <c:v>2.3648093841642228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82-49E7-8A72-145EAA42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268013"/>
        <c:axId val="6545578"/>
      </c:lineChart>
      <c:catAx>
        <c:axId val="21322680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45578"/>
        <c:crosses val="autoZero"/>
        <c:auto val="1"/>
        <c:lblAlgn val="ctr"/>
        <c:lblOffset val="100"/>
        <c:noMultiLvlLbl val="1"/>
      </c:catAx>
      <c:valAx>
        <c:axId val="654557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226801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YIELD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Steel'!$M$168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ED0-4C71-92FD-D87C3EC14E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Steel'!$L$169:$L$179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Steel'!$M$169:$M$179</c:f>
              <c:numCache>
                <c:formatCode>0.0%</c:formatCode>
                <c:ptCount val="11"/>
                <c:pt idx="0">
                  <c:v>5.6234003656307131E-2</c:v>
                </c:pt>
                <c:pt idx="1">
                  <c:v>-1.9248331577098703E-2</c:v>
                </c:pt>
                <c:pt idx="2">
                  <c:v>7.0524671266762137E-2</c:v>
                </c:pt>
                <c:pt idx="3">
                  <c:v>5.892506865437426E-2</c:v>
                </c:pt>
                <c:pt idx="4">
                  <c:v>6.7938870852799108E-2</c:v>
                </c:pt>
                <c:pt idx="5">
                  <c:v>6.3425960602202097E-2</c:v>
                </c:pt>
                <c:pt idx="6">
                  <c:v>3.6613756613756612E-2</c:v>
                </c:pt>
                <c:pt idx="7">
                  <c:v>6.8705985915492956E-2</c:v>
                </c:pt>
                <c:pt idx="8">
                  <c:v>3.7056442010002383E-2</c:v>
                </c:pt>
                <c:pt idx="9">
                  <c:v>9.6252036936447585E-2</c:v>
                </c:pt>
                <c:pt idx="10">
                  <c:v>8.1964285714285712E-2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ED0-4C71-92FD-D87C3EC1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944765"/>
        <c:axId val="1992393808"/>
      </c:barChart>
      <c:catAx>
        <c:axId val="4849447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2393808"/>
        <c:crosses val="autoZero"/>
        <c:auto val="1"/>
        <c:lblAlgn val="ctr"/>
        <c:lblOffset val="100"/>
        <c:noMultiLvlLbl val="1"/>
      </c:catAx>
      <c:valAx>
        <c:axId val="19923938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YIELD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494476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'Iron &amp; Steel'!$G$38</c:f>
              <c:strCache>
                <c:ptCount val="1"/>
                <c:pt idx="0">
                  <c:v>SALES_23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52E7-4041-9552-2D07400F407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52E7-4041-9552-2D07400F407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52E7-4041-9552-2D07400F407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52E7-4041-9552-2D07400F407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52E7-4041-9552-2D07400F407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52E7-4041-9552-2D07400F407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52E7-4041-9552-2D07400F407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52E7-4041-9552-2D07400F407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52E7-4041-9552-2D07400F407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52E7-4041-9552-2D07400F407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52E7-4041-9552-2D07400F407F}"/>
              </c:ext>
            </c:extLst>
          </c:dPt>
          <c:cat>
            <c:strRef>
              <c:f>'Iron &amp; Steel'!$F$39:$F$49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Steel'!$G$39:$G$49</c:f>
              <c:numCache>
                <c:formatCode>General</c:formatCode>
                <c:ptCount val="11"/>
                <c:pt idx="0">
                  <c:v>165960</c:v>
                </c:pt>
                <c:pt idx="1">
                  <c:v>243353</c:v>
                </c:pt>
                <c:pt idx="2">
                  <c:v>52711</c:v>
                </c:pt>
                <c:pt idx="3">
                  <c:v>104448</c:v>
                </c:pt>
                <c:pt idx="4">
                  <c:v>35967</c:v>
                </c:pt>
                <c:pt idx="5">
                  <c:v>12610</c:v>
                </c:pt>
                <c:pt idx="6">
                  <c:v>6125</c:v>
                </c:pt>
                <c:pt idx="7">
                  <c:v>4212</c:v>
                </c:pt>
                <c:pt idx="8">
                  <c:v>3488</c:v>
                </c:pt>
                <c:pt idx="9">
                  <c:v>3444</c:v>
                </c:pt>
                <c:pt idx="10">
                  <c:v>5567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2E7-4041-9552-2D07400F4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PROFIT_23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'Iron &amp; Steel'!$K$38</c:f>
              <c:strCache>
                <c:ptCount val="1"/>
                <c:pt idx="0">
                  <c:v>PROFIT_23</c:v>
                </c:pt>
              </c:strCache>
            </c:strRef>
          </c:tx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FC6D-410A-9745-7D408E18DEC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FC6D-410A-9745-7D408E18DEC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FC6D-410A-9745-7D408E18DEC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FC6D-410A-9745-7D408E18DEC1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FC6D-410A-9745-7D408E18DEC1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FC6D-410A-9745-7D408E18DEC1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FC6D-410A-9745-7D408E18DEC1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</c:spPr>
            <c:extLst>
              <c:ext xmlns:c16="http://schemas.microsoft.com/office/drawing/2014/chart" uri="{C3380CC4-5D6E-409C-BE32-E72D297353CC}">
                <c16:uniqueId val="{0000000F-FC6D-410A-9745-7D408E18DEC1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</c:spPr>
            <c:extLst>
              <c:ext xmlns:c16="http://schemas.microsoft.com/office/drawing/2014/chart" uri="{C3380CC4-5D6E-409C-BE32-E72D297353CC}">
                <c16:uniqueId val="{00000011-FC6D-410A-9745-7D408E18DEC1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</c:spPr>
            <c:extLst>
              <c:ext xmlns:c16="http://schemas.microsoft.com/office/drawing/2014/chart" uri="{C3380CC4-5D6E-409C-BE32-E72D297353CC}">
                <c16:uniqueId val="{00000013-FC6D-410A-9745-7D408E18DEC1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</c:spPr>
            <c:extLst>
              <c:ext xmlns:c16="http://schemas.microsoft.com/office/drawing/2014/chart" uri="{C3380CC4-5D6E-409C-BE32-E72D297353CC}">
                <c16:uniqueId val="{00000015-FC6D-410A-9745-7D408E18DEC1}"/>
              </c:ext>
            </c:extLst>
          </c:dPt>
          <c:cat>
            <c:strRef>
              <c:f>'Iron &amp; Steel'!$J$39:$J$49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Steel'!$K$39:$K$49</c:f>
              <c:numCache>
                <c:formatCode>General</c:formatCode>
                <c:ptCount val="11"/>
                <c:pt idx="0">
                  <c:v>4139</c:v>
                </c:pt>
                <c:pt idx="1">
                  <c:v>8075</c:v>
                </c:pt>
                <c:pt idx="2">
                  <c:v>3974</c:v>
                </c:pt>
                <c:pt idx="3">
                  <c:v>2176</c:v>
                </c:pt>
                <c:pt idx="4">
                  <c:v>2084</c:v>
                </c:pt>
                <c:pt idx="5">
                  <c:v>848</c:v>
                </c:pt>
                <c:pt idx="6">
                  <c:v>58</c:v>
                </c:pt>
                <c:pt idx="7">
                  <c:v>604</c:v>
                </c:pt>
                <c:pt idx="8">
                  <c:v>1115</c:v>
                </c:pt>
                <c:pt idx="9">
                  <c:v>190</c:v>
                </c:pt>
                <c:pt idx="10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C6D-410A-9745-7D408E18D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SALES_5Y_GR INDUSTRY: 14.7%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Steel'!$C$73</c:f>
              <c:strCache>
                <c:ptCount val="1"/>
                <c:pt idx="0">
                  <c:v>SALES_5Y_GR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9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20-444F-A885-F987B46053CA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420-444F-A885-F987B46053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Steel'!$B$74:$B$84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Steel'!$C$74:$C$84</c:f>
              <c:numCache>
                <c:formatCode>0.0%</c:formatCode>
                <c:ptCount val="11"/>
                <c:pt idx="0">
                  <c:v>0.18341162869005889</c:v>
                </c:pt>
                <c:pt idx="1">
                  <c:v>0.12840905920610846</c:v>
                </c:pt>
                <c:pt idx="2">
                  <c:v>0.13142267735758018</c:v>
                </c:pt>
                <c:pt idx="3">
                  <c:v>0.12113959849018552</c:v>
                </c:pt>
                <c:pt idx="4">
                  <c:v>0.24933640674619184</c:v>
                </c:pt>
                <c:pt idx="5">
                  <c:v>0.2679321225049478</c:v>
                </c:pt>
                <c:pt idx="6">
                  <c:v>0.20359082936664041</c:v>
                </c:pt>
                <c:pt idx="7">
                  <c:v>0.13695829328445863</c:v>
                </c:pt>
                <c:pt idx="8">
                  <c:v>0.10398150386129013</c:v>
                </c:pt>
                <c:pt idx="9">
                  <c:v>2.7509729570529107E-2</c:v>
                </c:pt>
                <c:pt idx="10">
                  <c:v>9.5515505989804961E-2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C420-444F-A885-F987B4605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925810"/>
        <c:axId val="1124188625"/>
      </c:barChart>
      <c:catAx>
        <c:axId val="18819258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4188625"/>
        <c:crosses val="autoZero"/>
        <c:auto val="1"/>
        <c:lblAlgn val="ctr"/>
        <c:lblOffset val="100"/>
        <c:noMultiLvlLbl val="1"/>
      </c:catAx>
      <c:valAx>
        <c:axId val="11241886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SALES_5Y_GR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1925810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CY_SALES GR: INDUSTRY: 0.6%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Steel'!$G$73</c:f>
              <c:strCache>
                <c:ptCount val="1"/>
                <c:pt idx="0">
                  <c:v>CY_SALES GR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ED6-4879-8C7B-17917CE279D8}"/>
              </c:ext>
            </c:extLst>
          </c:dPt>
          <c:dPt>
            <c:idx val="2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ED6-4879-8C7B-17917CE279D8}"/>
              </c:ext>
            </c:extLst>
          </c:dPt>
          <c:dPt>
            <c:idx val="7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ED6-4879-8C7B-17917CE279D8}"/>
              </c:ext>
            </c:extLst>
          </c:dPt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ED6-4879-8C7B-17917CE279D8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ED6-4879-8C7B-17917CE279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Steel'!$F$74:$F$84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Steel'!$G$74:$G$84</c:f>
              <c:numCache>
                <c:formatCode>0.0%</c:formatCode>
                <c:ptCount val="11"/>
                <c:pt idx="0">
                  <c:v>8.2199488491048633E-2</c:v>
                </c:pt>
                <c:pt idx="1">
                  <c:v>-5.8791395619770648E-2</c:v>
                </c:pt>
                <c:pt idx="2">
                  <c:v>-5.9984075024329786E-2</c:v>
                </c:pt>
                <c:pt idx="3">
                  <c:v>2.7908705869856831E-2</c:v>
                </c:pt>
                <c:pt idx="4">
                  <c:v>0.12251745015618365</c:v>
                </c:pt>
                <c:pt idx="5">
                  <c:v>0.16512758201701083</c:v>
                </c:pt>
                <c:pt idx="6">
                  <c:v>3.79459213815041E-2</c:v>
                </c:pt>
                <c:pt idx="7">
                  <c:v>-5.3967234179248313E-2</c:v>
                </c:pt>
                <c:pt idx="8">
                  <c:v>-5.8468502451904936E-2</c:v>
                </c:pt>
                <c:pt idx="9">
                  <c:v>0.14549938347718872</c:v>
                </c:pt>
                <c:pt idx="10">
                  <c:v>-7.5205640423031683E-2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8ED6-4879-8C7B-17917CE27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144886"/>
        <c:axId val="1881058738"/>
      </c:barChart>
      <c:catAx>
        <c:axId val="5641448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1058738"/>
        <c:crosses val="autoZero"/>
        <c:auto val="1"/>
        <c:lblAlgn val="ctr"/>
        <c:lblOffset val="100"/>
        <c:noMultiLvlLbl val="1"/>
      </c:catAx>
      <c:valAx>
        <c:axId val="188105873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CY_SALES GR</a:t>
                </a:r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414488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MARGIN_23 and CY_MARGIN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Steel'!$C$105</c:f>
              <c:strCache>
                <c:ptCount val="1"/>
                <c:pt idx="0">
                  <c:v>MARGIN_23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Steel'!$B$106:$B$116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Steel'!$C$106:$C$116</c:f>
              <c:numCache>
                <c:formatCode>0.0%</c:formatCode>
                <c:ptCount val="11"/>
                <c:pt idx="0">
                  <c:v>2.4939744516751024E-2</c:v>
                </c:pt>
                <c:pt idx="1">
                  <c:v>3.3182249653795105E-2</c:v>
                </c:pt>
                <c:pt idx="2">
                  <c:v>7.5392233120221586E-2</c:v>
                </c:pt>
                <c:pt idx="3">
                  <c:v>2.0833333333333332E-2</c:v>
                </c:pt>
                <c:pt idx="4">
                  <c:v>5.7942002391080716E-2</c:v>
                </c:pt>
                <c:pt idx="5">
                  <c:v>6.7248215701823946E-2</c:v>
                </c:pt>
                <c:pt idx="6">
                  <c:v>9.4693877551020409E-3</c:v>
                </c:pt>
                <c:pt idx="7">
                  <c:v>0.14339981006647673</c:v>
                </c:pt>
                <c:pt idx="8" formatCode="General">
                  <c:v>0</c:v>
                </c:pt>
                <c:pt idx="9">
                  <c:v>5.516840882694541E-2</c:v>
                </c:pt>
                <c:pt idx="10">
                  <c:v>3.0896353511765763E-2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CF4E-43F8-96AB-BE77CA5FF815}"/>
            </c:ext>
          </c:extLst>
        </c:ser>
        <c:ser>
          <c:idx val="1"/>
          <c:order val="1"/>
          <c:tx>
            <c:strRef>
              <c:f>'Iron &amp; Steel'!$D$105</c:f>
              <c:strCache>
                <c:ptCount val="1"/>
                <c:pt idx="0">
                  <c:v>CY_MARGIN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Steel'!$B$106:$B$116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Steel'!$D$106:$D$116</c:f>
              <c:numCache>
                <c:formatCode>0.0%</c:formatCode>
                <c:ptCount val="11"/>
                <c:pt idx="0">
                  <c:v>6.0271620109971481E-2</c:v>
                </c:pt>
                <c:pt idx="1">
                  <c:v>-3.2360082913828844E-2</c:v>
                </c:pt>
                <c:pt idx="2">
                  <c:v>0.11785882352941177</c:v>
                </c:pt>
                <c:pt idx="3">
                  <c:v>2.5058448184554178E-2</c:v>
                </c:pt>
                <c:pt idx="4">
                  <c:v>7.5340112683798269E-2</c:v>
                </c:pt>
                <c:pt idx="5">
                  <c:v>8.4367504432161858E-2</c:v>
                </c:pt>
                <c:pt idx="6">
                  <c:v>0.13266199649737304</c:v>
                </c:pt>
                <c:pt idx="7">
                  <c:v>0.14736842105263157</c:v>
                </c:pt>
                <c:pt idx="8">
                  <c:v>4.0064102564102567E-2</c:v>
                </c:pt>
                <c:pt idx="9">
                  <c:v>9.2931467527807676E-2</c:v>
                </c:pt>
                <c:pt idx="10">
                  <c:v>1.8805590851334181E-2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CF4E-43F8-96AB-BE77CA5FF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2426221"/>
        <c:axId val="986267867"/>
      </c:barChart>
      <c:catAx>
        <c:axId val="6024262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6267867"/>
        <c:crosses val="autoZero"/>
        <c:auto val="1"/>
        <c:lblAlgn val="ctr"/>
        <c:lblOffset val="100"/>
        <c:noMultiLvlLbl val="1"/>
      </c:catAx>
      <c:valAx>
        <c:axId val="986267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N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2426221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CUR. RATIO: INDUSRTRY 0.9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Steel'!$H$105</c:f>
              <c:strCache>
                <c:ptCount val="1"/>
                <c:pt idx="0">
                  <c:v>CUR. RATIO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FC1-4619-8EE2-7532986FBB04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FC1-4619-8EE2-7532986FBB04}"/>
              </c:ext>
            </c:extLst>
          </c:dPt>
          <c:dPt>
            <c:idx val="3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FC1-4619-8EE2-7532986FBB04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FC1-4619-8EE2-7532986FBB04}"/>
              </c:ext>
            </c:extLst>
          </c:dPt>
          <c:dPt>
            <c:idx val="7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FC1-4619-8EE2-7532986FBB04}"/>
              </c:ext>
            </c:extLst>
          </c:dPt>
          <c:dPt>
            <c:idx val="10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FC1-4619-8EE2-7532986FBB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Steel'!$G$106:$G$116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Steel'!$H$106:$H$116</c:f>
              <c:numCache>
                <c:formatCode>0.0</c:formatCode>
                <c:ptCount val="11"/>
                <c:pt idx="0">
                  <c:v>0.85500389464270254</c:v>
                </c:pt>
                <c:pt idx="1">
                  <c:v>0.7301552220134172</c:v>
                </c:pt>
                <c:pt idx="2">
                  <c:v>1.0227488151658768</c:v>
                </c:pt>
                <c:pt idx="3">
                  <c:v>0.82846589095629253</c:v>
                </c:pt>
                <c:pt idx="4">
                  <c:v>1.4234838971978645</c:v>
                </c:pt>
                <c:pt idx="5">
                  <c:v>1.0244673790257004</c:v>
                </c:pt>
                <c:pt idx="6">
                  <c:v>0.84007029876977157</c:v>
                </c:pt>
                <c:pt idx="7">
                  <c:v>2.8963236054163941</c:v>
                </c:pt>
                <c:pt idx="8">
                  <c:v>1.5238095238095237</c:v>
                </c:pt>
                <c:pt idx="9">
                  <c:v>0.98034682080924851</c:v>
                </c:pt>
                <c:pt idx="10">
                  <c:v>3.8280467445742903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AFC1-4619-8EE2-7532986FB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161215"/>
        <c:axId val="1117466492"/>
      </c:barChart>
      <c:catAx>
        <c:axId val="1361612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7466492"/>
        <c:crosses val="autoZero"/>
        <c:auto val="1"/>
        <c:lblAlgn val="ctr"/>
        <c:lblOffset val="100"/>
        <c:noMultiLvlLbl val="1"/>
      </c:catAx>
      <c:valAx>
        <c:axId val="11174664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CUR. RATIO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16121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TR.DAYS: INDSUTRY 15 DAYS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Steel'!$L$105</c:f>
              <c:strCache>
                <c:ptCount val="1"/>
                <c:pt idx="0">
                  <c:v>TR.DAYS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D34-4C83-BFD5-4E4C151EB161}"/>
              </c:ext>
            </c:extLst>
          </c:dPt>
          <c:dPt>
            <c:idx val="2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D34-4C83-BFD5-4E4C151EB161}"/>
              </c:ext>
            </c:extLst>
          </c:dPt>
          <c:dPt>
            <c:idx val="4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D34-4C83-BFD5-4E4C151EB161}"/>
              </c:ext>
            </c:extLst>
          </c:dPt>
          <c:dPt>
            <c:idx val="8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D34-4C83-BFD5-4E4C151EB161}"/>
              </c:ext>
            </c:extLst>
          </c:dPt>
          <c:dPt>
            <c:idx val="9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D34-4C83-BFD5-4E4C151EB161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D34-4C83-BFD5-4E4C151EB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Steel'!$K$106:$K$116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Steel'!$L$106:$L$116</c:f>
              <c:numCache>
                <c:formatCode>0</c:formatCode>
                <c:ptCount val="11"/>
                <c:pt idx="0">
                  <c:v>15.806549771029163</c:v>
                </c:pt>
                <c:pt idx="1">
                  <c:v>10.168698146314203</c:v>
                </c:pt>
                <c:pt idx="2">
                  <c:v>4.909506554609095</c:v>
                </c:pt>
                <c:pt idx="3">
                  <c:v>23.448195752910539</c:v>
                </c:pt>
                <c:pt idx="4">
                  <c:v>29.156768704645923</c:v>
                </c:pt>
                <c:pt idx="5">
                  <c:v>16.500257731958762</c:v>
                </c:pt>
                <c:pt idx="6">
                  <c:v>12.931428571428571</c:v>
                </c:pt>
                <c:pt idx="7">
                  <c:v>23.291714150047479</c:v>
                </c:pt>
                <c:pt idx="8">
                  <c:v>31.91657110091743</c:v>
                </c:pt>
                <c:pt idx="9">
                  <c:v>10.810104529616725</c:v>
                </c:pt>
                <c:pt idx="10">
                  <c:v>34.028201904077605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ED34-4C83-BFD5-4E4C151EB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392455"/>
        <c:axId val="1922422502"/>
      </c:barChart>
      <c:catAx>
        <c:axId val="4693924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22422502"/>
        <c:crosses val="autoZero"/>
        <c:auto val="1"/>
        <c:lblAlgn val="ctr"/>
        <c:lblOffset val="100"/>
        <c:noMultiLvlLbl val="1"/>
      </c:catAx>
      <c:valAx>
        <c:axId val="19224225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TR.DAYS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939245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 i="0">
                <a:solidFill>
                  <a:srgbClr val="757575"/>
                </a:solidFill>
                <a:latin typeface="+mn-lt"/>
              </a:defRPr>
            </a:pPr>
            <a:r>
              <a:rPr lang="en-IN" b="0" i="0">
                <a:solidFill>
                  <a:srgbClr val="757575"/>
                </a:solidFill>
                <a:latin typeface="+mn-lt"/>
              </a:rPr>
              <a:t>DEBT2EQUITY vs COMPANY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'Iron &amp; Steel'!$C$137</c:f>
              <c:strCache>
                <c:ptCount val="1"/>
                <c:pt idx="0">
                  <c:v>DEBT2EQUITY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DCB-44BB-9941-0113DC29C8EE}"/>
              </c:ext>
            </c:extLst>
          </c:dPt>
          <c:dPt>
            <c:idx val="1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CB-44BB-9941-0113DC29C8EE}"/>
              </c:ext>
            </c:extLst>
          </c:dPt>
          <c:dPt>
            <c:idx val="6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DCB-44BB-9941-0113DC29C8EE}"/>
              </c:ext>
            </c:extLst>
          </c:dPt>
          <c:dPt>
            <c:idx val="8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DCB-44BB-9941-0113DC29C8EE}"/>
              </c:ext>
            </c:extLst>
          </c:dPt>
          <c:dPt>
            <c:idx val="9"/>
            <c:invertIfNegative val="1"/>
            <c:bubble3D val="0"/>
            <c:spPr>
              <a:solidFill>
                <a:srgbClr val="274E1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DCB-44BB-9941-0113DC29C8EE}"/>
              </c:ext>
            </c:extLst>
          </c:dPt>
          <c:dPt>
            <c:idx val="10"/>
            <c:invertIfNegative val="1"/>
            <c:bubble3D val="0"/>
            <c:spPr>
              <a:solidFill>
                <a:srgbClr val="FF0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DCB-44BB-9941-0113DC29C8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'Iron &amp; Steel'!$B$138:$B$148</c:f>
              <c:strCache>
                <c:ptCount val="11"/>
                <c:pt idx="0">
                  <c:v>JSWSTEEL</c:v>
                </c:pt>
                <c:pt idx="1">
                  <c:v>TATASTEEL</c:v>
                </c:pt>
                <c:pt idx="2">
                  <c:v>JINDALSTEL</c:v>
                </c:pt>
                <c:pt idx="3">
                  <c:v>SAIL</c:v>
                </c:pt>
                <c:pt idx="4">
                  <c:v>JSL</c:v>
                </c:pt>
                <c:pt idx="5">
                  <c:v>SHYAMMETL</c:v>
                </c:pt>
                <c:pt idx="6">
                  <c:v>JAIBALAJI</c:v>
                </c:pt>
                <c:pt idx="7">
                  <c:v>SARDAEN</c:v>
                </c:pt>
                <c:pt idx="8">
                  <c:v>SUNFLAG</c:v>
                </c:pt>
                <c:pt idx="9">
                  <c:v>PRAKASH</c:v>
                </c:pt>
                <c:pt idx="10">
                  <c:v>MUKANDLTD</c:v>
                </c:pt>
              </c:strCache>
            </c:strRef>
          </c:cat>
          <c:val>
            <c:numRef>
              <c:f>'Iron &amp; Steel'!$C$138:$C$148</c:f>
              <c:numCache>
                <c:formatCode>0.00</c:formatCode>
                <c:ptCount val="11"/>
                <c:pt idx="0">
                  <c:v>1.0599610074404169</c:v>
                </c:pt>
                <c:pt idx="1">
                  <c:v>0.92495461290882097</c:v>
                </c:pt>
                <c:pt idx="2">
                  <c:v>0.30768495050451916</c:v>
                </c:pt>
                <c:pt idx="3">
                  <c:v>0.45502520357973303</c:v>
                </c:pt>
                <c:pt idx="4">
                  <c:v>0.42479629738545827</c:v>
                </c:pt>
                <c:pt idx="5">
                  <c:v>0.24278790732810424</c:v>
                </c:pt>
                <c:pt idx="6">
                  <c:v>0.66835699797160242</c:v>
                </c:pt>
                <c:pt idx="7">
                  <c:v>0.32271379094115377</c:v>
                </c:pt>
                <c:pt idx="8">
                  <c:v>0.16283484496941575</c:v>
                </c:pt>
                <c:pt idx="9">
                  <c:v>0.13854066216650596</c:v>
                </c:pt>
                <c:pt idx="10">
                  <c:v>1.7030716723549488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C-3DCB-44BB-9941-0113DC29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490779"/>
        <c:axId val="1093223873"/>
      </c:barChart>
      <c:catAx>
        <c:axId val="5434907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COMPANY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3223873"/>
        <c:crosses val="autoZero"/>
        <c:auto val="1"/>
        <c:lblAlgn val="ctr"/>
        <c:lblOffset val="100"/>
        <c:noMultiLvlLbl val="1"/>
      </c:catAx>
      <c:valAx>
        <c:axId val="10932238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 i="0">
                    <a:solidFill>
                      <a:srgbClr val="000000"/>
                    </a:solidFill>
                    <a:latin typeface="+mn-lt"/>
                  </a:rPr>
                  <a:t>DEBT2EQUITY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3490779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2.pn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50</xdr:row>
      <xdr:rowOff>-104775</xdr:rowOff>
    </xdr:from>
    <xdr:ext cx="6981825" cy="69818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543E8114-9F96-4FCC-B3FF-A7C3CD68795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658225"/>
          <a:ext cx="6981825" cy="6981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54</xdr:row>
      <xdr:rowOff>95250</xdr:rowOff>
    </xdr:from>
    <xdr:ext cx="4448175" cy="27908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7B80426B-AB53-4357-92B5-74D7B12BB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933450</xdr:colOff>
      <xdr:row>54</xdr:row>
      <xdr:rowOff>95250</xdr:rowOff>
    </xdr:from>
    <xdr:ext cx="4495800" cy="279082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E8347C79-1216-4956-BFBA-A0160089BD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9</xdr:col>
      <xdr:colOff>628650</xdr:colOff>
      <xdr:row>54</xdr:row>
      <xdr:rowOff>95250</xdr:rowOff>
    </xdr:from>
    <xdr:ext cx="4562475" cy="2790825"/>
    <xdr:graphicFrame macro="">
      <xdr:nvGraphicFramePr>
        <xdr:cNvPr id="4" name="Chart 3" title="Chart">
          <a:extLst>
            <a:ext uri="{FF2B5EF4-FFF2-40B4-BE49-F238E27FC236}">
              <a16:creationId xmlns:a16="http://schemas.microsoft.com/office/drawing/2014/main" id="{BE0F81ED-D6B6-4F0D-8F7C-0C114EBAA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200025</xdr:colOff>
      <xdr:row>86</xdr:row>
      <xdr:rowOff>47625</xdr:rowOff>
    </xdr:from>
    <xdr:ext cx="4733925" cy="2924175"/>
    <xdr:graphicFrame macro="">
      <xdr:nvGraphicFramePr>
        <xdr:cNvPr id="5" name="Chart 4" title="Chart">
          <a:extLst>
            <a:ext uri="{FF2B5EF4-FFF2-40B4-BE49-F238E27FC236}">
              <a16:creationId xmlns:a16="http://schemas.microsoft.com/office/drawing/2014/main" id="{242E5189-343A-48F7-9634-847BA8F90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133350</xdr:colOff>
      <xdr:row>86</xdr:row>
      <xdr:rowOff>47625</xdr:rowOff>
    </xdr:from>
    <xdr:ext cx="4838700" cy="2924175"/>
    <xdr:graphicFrame macro="">
      <xdr:nvGraphicFramePr>
        <xdr:cNvPr id="6" name="Chart 5" title="Chart">
          <a:extLst>
            <a:ext uri="{FF2B5EF4-FFF2-40B4-BE49-F238E27FC236}">
              <a16:creationId xmlns:a16="http://schemas.microsoft.com/office/drawing/2014/main" id="{473C2737-80C5-4C6D-B266-EC218C077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142875</xdr:colOff>
      <xdr:row>118</xdr:row>
      <xdr:rowOff>57150</xdr:rowOff>
    </xdr:from>
    <xdr:ext cx="4791075" cy="2971800"/>
    <xdr:graphicFrame macro="">
      <xdr:nvGraphicFramePr>
        <xdr:cNvPr id="7" name="Chart 6" title="Chart">
          <a:extLst>
            <a:ext uri="{FF2B5EF4-FFF2-40B4-BE49-F238E27FC236}">
              <a16:creationId xmlns:a16="http://schemas.microsoft.com/office/drawing/2014/main" id="{F909602E-77C0-4359-82BF-3B0FE1951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5</xdr:col>
      <xdr:colOff>133350</xdr:colOff>
      <xdr:row>118</xdr:row>
      <xdr:rowOff>38100</xdr:rowOff>
    </xdr:from>
    <xdr:ext cx="4838700" cy="3009900"/>
    <xdr:graphicFrame macro="">
      <xdr:nvGraphicFramePr>
        <xdr:cNvPr id="8" name="Chart 7" title="Chart">
          <a:extLst>
            <a:ext uri="{FF2B5EF4-FFF2-40B4-BE49-F238E27FC236}">
              <a16:creationId xmlns:a16="http://schemas.microsoft.com/office/drawing/2014/main" id="{8A8032BC-EDFA-4DAA-81D4-54B73BB66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171450</xdr:colOff>
      <xdr:row>118</xdr:row>
      <xdr:rowOff>38100</xdr:rowOff>
    </xdr:from>
    <xdr:ext cx="4838700" cy="3009900"/>
    <xdr:graphicFrame macro="">
      <xdr:nvGraphicFramePr>
        <xdr:cNvPr id="9" name="Chart 8" title="Chart">
          <a:extLst>
            <a:ext uri="{FF2B5EF4-FFF2-40B4-BE49-F238E27FC236}">
              <a16:creationId xmlns:a16="http://schemas.microsoft.com/office/drawing/2014/main" id="{5718D8BE-5925-4EE2-9D44-61CF4270B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142875</xdr:colOff>
      <xdr:row>150</xdr:row>
      <xdr:rowOff>47625</xdr:rowOff>
    </xdr:from>
    <xdr:ext cx="4629150" cy="2857500"/>
    <xdr:graphicFrame macro="">
      <xdr:nvGraphicFramePr>
        <xdr:cNvPr id="10" name="Chart 9" title="Chart">
          <a:extLst>
            <a:ext uri="{FF2B5EF4-FFF2-40B4-BE49-F238E27FC236}">
              <a16:creationId xmlns:a16="http://schemas.microsoft.com/office/drawing/2014/main" id="{AF528773-53E1-4400-B81A-CE5ABAC5A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4</xdr:col>
      <xdr:colOff>933450</xdr:colOff>
      <xdr:row>150</xdr:row>
      <xdr:rowOff>57150</xdr:rowOff>
    </xdr:from>
    <xdr:ext cx="4629150" cy="2857500"/>
    <xdr:graphicFrame macro="">
      <xdr:nvGraphicFramePr>
        <xdr:cNvPr id="11" name="Chart 10" title="Chart">
          <a:extLst>
            <a:ext uri="{FF2B5EF4-FFF2-40B4-BE49-F238E27FC236}">
              <a16:creationId xmlns:a16="http://schemas.microsoft.com/office/drawing/2014/main" id="{D618F9D5-E048-480E-AA46-4D654916A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9</xdr:col>
      <xdr:colOff>762000</xdr:colOff>
      <xdr:row>150</xdr:row>
      <xdr:rowOff>57150</xdr:rowOff>
    </xdr:from>
    <xdr:ext cx="4629150" cy="2857500"/>
    <xdr:graphicFrame macro="">
      <xdr:nvGraphicFramePr>
        <xdr:cNvPr id="12" name="Chart 11" title="Chart">
          <a:extLst>
            <a:ext uri="{FF2B5EF4-FFF2-40B4-BE49-F238E27FC236}">
              <a16:creationId xmlns:a16="http://schemas.microsoft.com/office/drawing/2014/main" id="{561E9617-766E-4B64-BF03-FD18CABEE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209550</xdr:colOff>
      <xdr:row>181</xdr:row>
      <xdr:rowOff>76200</xdr:rowOff>
    </xdr:from>
    <xdr:ext cx="4676775" cy="2924175"/>
    <xdr:graphicFrame macro="">
      <xdr:nvGraphicFramePr>
        <xdr:cNvPr id="13" name="Chart 12" title="Chart">
          <a:extLst>
            <a:ext uri="{FF2B5EF4-FFF2-40B4-BE49-F238E27FC236}">
              <a16:creationId xmlns:a16="http://schemas.microsoft.com/office/drawing/2014/main" id="{2CF34B87-2530-4DA4-A6EA-2C1F49039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5</xdr:col>
      <xdr:colOff>85725</xdr:colOff>
      <xdr:row>181</xdr:row>
      <xdr:rowOff>76200</xdr:rowOff>
    </xdr:from>
    <xdr:ext cx="4733925" cy="2924175"/>
    <xdr:graphicFrame macro="">
      <xdr:nvGraphicFramePr>
        <xdr:cNvPr id="14" name="Chart 13" title="Chart">
          <a:extLst>
            <a:ext uri="{FF2B5EF4-FFF2-40B4-BE49-F238E27FC236}">
              <a16:creationId xmlns:a16="http://schemas.microsoft.com/office/drawing/2014/main" id="{85133D8B-98C4-4AE0-863C-818CE2F5B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10</xdr:col>
      <xdr:colOff>19050</xdr:colOff>
      <xdr:row>181</xdr:row>
      <xdr:rowOff>76200</xdr:rowOff>
    </xdr:from>
    <xdr:ext cx="4676775" cy="2924175"/>
    <xdr:graphicFrame macro="">
      <xdr:nvGraphicFramePr>
        <xdr:cNvPr id="15" name="Chart 14" title="Chart">
          <a:extLst>
            <a:ext uri="{FF2B5EF4-FFF2-40B4-BE49-F238E27FC236}">
              <a16:creationId xmlns:a16="http://schemas.microsoft.com/office/drawing/2014/main" id="{527AB0BD-A0B8-4B37-8D33-8DAE9ECC8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914400</xdr:colOff>
      <xdr:row>21</xdr:row>
      <xdr:rowOff>95250</xdr:rowOff>
    </xdr:from>
    <xdr:ext cx="3971925" cy="2552700"/>
    <xdr:pic>
      <xdr:nvPicPr>
        <xdr:cNvPr id="16" name="image2.png" title="Image">
          <a:extLst>
            <a:ext uri="{FF2B5EF4-FFF2-40B4-BE49-F238E27FC236}">
              <a16:creationId xmlns:a16="http://schemas.microsoft.com/office/drawing/2014/main" id="{3CBA05A1-032D-4766-8490-E518F8284B4A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14400" y="4255770"/>
          <a:ext cx="3971925" cy="2552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942975</xdr:colOff>
      <xdr:row>21</xdr:row>
      <xdr:rowOff>95250</xdr:rowOff>
    </xdr:from>
    <xdr:ext cx="5943600" cy="2447925"/>
    <xdr:pic>
      <xdr:nvPicPr>
        <xdr:cNvPr id="17" name="image1.png" title="Image">
          <a:extLst>
            <a:ext uri="{FF2B5EF4-FFF2-40B4-BE49-F238E27FC236}">
              <a16:creationId xmlns:a16="http://schemas.microsoft.com/office/drawing/2014/main" id="{4F67C776-A3E4-42EE-92E8-CBED47F1CB76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743575" y="4255770"/>
          <a:ext cx="5943600" cy="24479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Iron%20_%20SteelInterm.Products%20(2).xlsx" TargetMode="External"/><Relationship Id="rId1" Type="http://schemas.openxmlformats.org/officeDocument/2006/relationships/externalLinkPath" Target="/Users/profi/Downloads/Iron%20_%20SteelInterm.Product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ron &amp; Steel"/>
      <sheetName val="Iron &amp; Steelinterm. Products"/>
      <sheetName val="RawData"/>
      <sheetName val="DashBoard"/>
      <sheetName val="TATASTEEL"/>
      <sheetName val="SARDAEN"/>
      <sheetName val="GPIL"/>
      <sheetName val="TATASPONGE"/>
      <sheetName val="TATAMETALI"/>
      <sheetName val="sail"/>
      <sheetName val="KSL"/>
      <sheetName val="SUNFLAG"/>
    </sheetNames>
    <sheetDataSet>
      <sheetData sheetId="0">
        <row r="1">
          <cell r="D1" t="str">
            <v>Market Cap</v>
          </cell>
        </row>
        <row r="2">
          <cell r="B2" t="str">
            <v>JSWSTEEL</v>
          </cell>
          <cell r="D2">
            <v>219100.59409999999</v>
          </cell>
        </row>
        <row r="3">
          <cell r="B3" t="str">
            <v>TATASTEEL</v>
          </cell>
          <cell r="D3">
            <v>202904.80781639999</v>
          </cell>
        </row>
        <row r="4">
          <cell r="B4" t="str">
            <v>JINDALSTEL</v>
          </cell>
          <cell r="D4">
            <v>98364.963124999995</v>
          </cell>
        </row>
        <row r="5">
          <cell r="B5" t="str">
            <v>SAIL</v>
          </cell>
          <cell r="D5">
            <v>61071.621221000001</v>
          </cell>
        </row>
        <row r="6">
          <cell r="B6" t="str">
            <v>JSL</v>
          </cell>
          <cell r="D6">
            <v>62951.58</v>
          </cell>
        </row>
        <row r="7">
          <cell r="B7" t="str">
            <v>SHYAMMETL</v>
          </cell>
          <cell r="D7">
            <v>19265.25447</v>
          </cell>
        </row>
        <row r="8">
          <cell r="B8" t="str">
            <v>JAIBALAJI</v>
          </cell>
          <cell r="D8">
            <v>16812.785929999998</v>
          </cell>
        </row>
        <row r="9">
          <cell r="B9" t="str">
            <v>SARDAEN</v>
          </cell>
          <cell r="D9">
            <v>9634.1017929000009</v>
          </cell>
        </row>
        <row r="10">
          <cell r="B10" t="str">
            <v>SUNFLAG</v>
          </cell>
          <cell r="D10">
            <v>4484.4202800000003</v>
          </cell>
        </row>
        <row r="11">
          <cell r="B11" t="str">
            <v>PRAKASH</v>
          </cell>
          <cell r="D11">
            <v>3429.9775619000002</v>
          </cell>
        </row>
        <row r="12">
          <cell r="B12" t="str">
            <v>MUKANDLTD</v>
          </cell>
          <cell r="D12">
            <v>2627.9409999999998</v>
          </cell>
        </row>
        <row r="13">
          <cell r="B13" t="str">
            <v>SCANSTL</v>
          </cell>
          <cell r="D13">
            <v>314.63719479999997</v>
          </cell>
        </row>
        <row r="14">
          <cell r="B14" t="str">
            <v>KAJARIR</v>
          </cell>
          <cell r="D14">
            <v>166.40520000000001</v>
          </cell>
        </row>
        <row r="15">
          <cell r="B15" t="str">
            <v>ANKITMETAL</v>
          </cell>
          <cell r="D15">
            <v>59.125300000000003</v>
          </cell>
        </row>
        <row r="38">
          <cell r="G38" t="str">
            <v>SALES_23</v>
          </cell>
          <cell r="K38" t="str">
            <v>PROFIT_23</v>
          </cell>
        </row>
        <row r="39">
          <cell r="F39" t="str">
            <v>JSWSTEEL</v>
          </cell>
          <cell r="G39">
            <v>165960</v>
          </cell>
          <cell r="J39" t="str">
            <v>JSWSTEEL</v>
          </cell>
          <cell r="K39">
            <v>4139</v>
          </cell>
        </row>
        <row r="40">
          <cell r="F40" t="str">
            <v>TATASTEEL</v>
          </cell>
          <cell r="G40">
            <v>243353</v>
          </cell>
          <cell r="J40" t="str">
            <v>TATASTEEL</v>
          </cell>
          <cell r="K40">
            <v>8075</v>
          </cell>
        </row>
        <row r="41">
          <cell r="F41" t="str">
            <v>JINDALSTEL</v>
          </cell>
          <cell r="G41">
            <v>52711</v>
          </cell>
          <cell r="J41" t="str">
            <v>JINDALSTEL</v>
          </cell>
          <cell r="K41">
            <v>3974</v>
          </cell>
        </row>
        <row r="42">
          <cell r="F42" t="str">
            <v>SAIL</v>
          </cell>
          <cell r="G42">
            <v>104448</v>
          </cell>
          <cell r="J42" t="str">
            <v>SAIL</v>
          </cell>
          <cell r="K42">
            <v>2176</v>
          </cell>
        </row>
        <row r="43">
          <cell r="F43" t="str">
            <v>JSL</v>
          </cell>
          <cell r="G43">
            <v>35967</v>
          </cell>
          <cell r="J43" t="str">
            <v>JSL</v>
          </cell>
          <cell r="K43">
            <v>2084</v>
          </cell>
        </row>
        <row r="44">
          <cell r="F44" t="str">
            <v>SHYAMMETL</v>
          </cell>
          <cell r="G44">
            <v>12610</v>
          </cell>
          <cell r="J44" t="str">
            <v>SHYAMMETL</v>
          </cell>
          <cell r="K44">
            <v>848</v>
          </cell>
        </row>
        <row r="45">
          <cell r="F45" t="str">
            <v>JAIBALAJI</v>
          </cell>
          <cell r="G45">
            <v>6125</v>
          </cell>
          <cell r="J45" t="str">
            <v>JAIBALAJI</v>
          </cell>
          <cell r="K45">
            <v>58</v>
          </cell>
        </row>
        <row r="46">
          <cell r="F46" t="str">
            <v>SARDAEN</v>
          </cell>
          <cell r="G46">
            <v>4212</v>
          </cell>
          <cell r="J46" t="str">
            <v>SARDAEN</v>
          </cell>
          <cell r="K46">
            <v>604</v>
          </cell>
        </row>
        <row r="47">
          <cell r="F47" t="str">
            <v>SUNFLAG</v>
          </cell>
          <cell r="G47">
            <v>3488</v>
          </cell>
          <cell r="J47" t="str">
            <v>SUNFLAG</v>
          </cell>
          <cell r="K47">
            <v>1115</v>
          </cell>
        </row>
        <row r="48">
          <cell r="F48" t="str">
            <v>PRAKASH</v>
          </cell>
          <cell r="G48">
            <v>3444</v>
          </cell>
          <cell r="J48" t="str">
            <v>PRAKASH</v>
          </cell>
          <cell r="K48">
            <v>190</v>
          </cell>
        </row>
        <row r="49">
          <cell r="F49" t="str">
            <v>MUKANDLTD</v>
          </cell>
          <cell r="G49">
            <v>5567</v>
          </cell>
          <cell r="J49" t="str">
            <v>MUKANDLTD</v>
          </cell>
          <cell r="K49">
            <v>172</v>
          </cell>
        </row>
        <row r="73">
          <cell r="C73" t="str">
            <v>SALES_5Y_GR</v>
          </cell>
          <cell r="G73" t="str">
            <v>CY_SALES GR</v>
          </cell>
        </row>
        <row r="74">
          <cell r="B74" t="str">
            <v>JSWSTEEL</v>
          </cell>
          <cell r="C74">
            <v>0.18341162869005889</v>
          </cell>
          <cell r="F74" t="str">
            <v>JSWSTEEL</v>
          </cell>
          <cell r="G74">
            <v>8.2199488491048633E-2</v>
          </cell>
        </row>
        <row r="75">
          <cell r="B75" t="str">
            <v>TATASTEEL</v>
          </cell>
          <cell r="C75">
            <v>0.12840905920610846</v>
          </cell>
          <cell r="F75" t="str">
            <v>TATASTEEL</v>
          </cell>
          <cell r="G75">
            <v>-5.8791395619770648E-2</v>
          </cell>
        </row>
        <row r="76">
          <cell r="B76" t="str">
            <v>JINDALSTEL</v>
          </cell>
          <cell r="C76">
            <v>0.13142267735758018</v>
          </cell>
          <cell r="F76" t="str">
            <v>JINDALSTEL</v>
          </cell>
          <cell r="G76">
            <v>-5.9984075024329786E-2</v>
          </cell>
        </row>
        <row r="77">
          <cell r="B77" t="str">
            <v>SAIL</v>
          </cell>
          <cell r="C77">
            <v>0.12113959849018552</v>
          </cell>
          <cell r="F77" t="str">
            <v>SAIL</v>
          </cell>
          <cell r="G77">
            <v>2.7908705869856831E-2</v>
          </cell>
        </row>
        <row r="78">
          <cell r="B78" t="str">
            <v>JSL</v>
          </cell>
          <cell r="C78">
            <v>0.24933640674619184</v>
          </cell>
          <cell r="F78" t="str">
            <v>JSL</v>
          </cell>
          <cell r="G78">
            <v>0.12251745015618365</v>
          </cell>
        </row>
        <row r="79">
          <cell r="B79" t="str">
            <v>SHYAMMETL</v>
          </cell>
          <cell r="C79">
            <v>0.2679321225049478</v>
          </cell>
          <cell r="F79" t="str">
            <v>SHYAMMETL</v>
          </cell>
          <cell r="G79">
            <v>0.16512758201701083</v>
          </cell>
        </row>
        <row r="80">
          <cell r="B80" t="str">
            <v>JAIBALAJI</v>
          </cell>
          <cell r="C80">
            <v>0.20359082936664041</v>
          </cell>
          <cell r="F80" t="str">
            <v>JAIBALAJI</v>
          </cell>
          <cell r="G80">
            <v>3.79459213815041E-2</v>
          </cell>
        </row>
        <row r="81">
          <cell r="B81" t="str">
            <v>SARDAEN</v>
          </cell>
          <cell r="C81">
            <v>0.13695829328445863</v>
          </cell>
          <cell r="F81" t="str">
            <v>SARDAEN</v>
          </cell>
          <cell r="G81">
            <v>-5.3967234179248313E-2</v>
          </cell>
        </row>
        <row r="82">
          <cell r="B82" t="str">
            <v>SUNFLAG</v>
          </cell>
          <cell r="C82">
            <v>0.10398150386129013</v>
          </cell>
          <cell r="F82" t="str">
            <v>SUNFLAG</v>
          </cell>
          <cell r="G82">
            <v>-5.8468502451904936E-2</v>
          </cell>
        </row>
        <row r="83">
          <cell r="B83" t="str">
            <v>PRAKASH</v>
          </cell>
          <cell r="C83">
            <v>2.7509729570529107E-2</v>
          </cell>
          <cell r="F83" t="str">
            <v>PRAKASH</v>
          </cell>
          <cell r="G83">
            <v>0.14549938347718872</v>
          </cell>
        </row>
        <row r="84">
          <cell r="B84" t="str">
            <v>MUKANDLTD</v>
          </cell>
          <cell r="C84">
            <v>9.5515505989804961E-2</v>
          </cell>
          <cell r="F84" t="str">
            <v>MUKANDLTD</v>
          </cell>
          <cell r="G84">
            <v>-7.5205640423031683E-2</v>
          </cell>
        </row>
        <row r="105">
          <cell r="C105" t="str">
            <v>MARGIN_23</v>
          </cell>
          <cell r="D105" t="str">
            <v>CY_MARGIN</v>
          </cell>
          <cell r="H105" t="str">
            <v>CUR. RATIO</v>
          </cell>
          <cell r="L105" t="str">
            <v>TR.DAYS</v>
          </cell>
        </row>
        <row r="106">
          <cell r="B106" t="str">
            <v>JSWSTEEL</v>
          </cell>
          <cell r="C106">
            <v>2.4939744516751024E-2</v>
          </cell>
          <cell r="D106">
            <v>6.0271620109971481E-2</v>
          </cell>
          <cell r="G106" t="str">
            <v>JSWSTEEL</v>
          </cell>
          <cell r="H106">
            <v>0.85500389464270254</v>
          </cell>
          <cell r="K106" t="str">
            <v>JSWSTEEL</v>
          </cell>
          <cell r="L106">
            <v>15.806549771029163</v>
          </cell>
        </row>
        <row r="107">
          <cell r="B107" t="str">
            <v>TATASTEEL</v>
          </cell>
          <cell r="C107">
            <v>3.3182249653795105E-2</v>
          </cell>
          <cell r="D107">
            <v>-3.2360082913828844E-2</v>
          </cell>
          <cell r="G107" t="str">
            <v>TATASTEEL</v>
          </cell>
          <cell r="H107">
            <v>0.7301552220134172</v>
          </cell>
          <cell r="K107" t="str">
            <v>TATASTEEL</v>
          </cell>
          <cell r="L107">
            <v>10.168698146314203</v>
          </cell>
        </row>
        <row r="108">
          <cell r="B108" t="str">
            <v>JINDALSTEL</v>
          </cell>
          <cell r="C108">
            <v>7.5392233120221586E-2</v>
          </cell>
          <cell r="D108">
            <v>0.11785882352941177</v>
          </cell>
          <cell r="G108" t="str">
            <v>JINDALSTEL</v>
          </cell>
          <cell r="H108">
            <v>1.0227488151658768</v>
          </cell>
          <cell r="K108" t="str">
            <v>JINDALSTEL</v>
          </cell>
          <cell r="L108">
            <v>4.909506554609095</v>
          </cell>
        </row>
        <row r="109">
          <cell r="B109" t="str">
            <v>SAIL</v>
          </cell>
          <cell r="C109">
            <v>2.0833333333333332E-2</v>
          </cell>
          <cell r="D109">
            <v>2.5058448184554178E-2</v>
          </cell>
          <cell r="G109" t="str">
            <v>SAIL</v>
          </cell>
          <cell r="H109">
            <v>0.82846589095629253</v>
          </cell>
          <cell r="K109" t="str">
            <v>SAIL</v>
          </cell>
          <cell r="L109">
            <v>23.448195752910539</v>
          </cell>
        </row>
        <row r="110">
          <cell r="B110" t="str">
            <v>JSL</v>
          </cell>
          <cell r="C110">
            <v>5.7942002391080716E-2</v>
          </cell>
          <cell r="D110">
            <v>7.5340112683798269E-2</v>
          </cell>
          <cell r="G110" t="str">
            <v>JSL</v>
          </cell>
          <cell r="H110">
            <v>1.4234838971978645</v>
          </cell>
          <cell r="K110" t="str">
            <v>JSL</v>
          </cell>
          <cell r="L110">
            <v>29.156768704645923</v>
          </cell>
        </row>
        <row r="111">
          <cell r="B111" t="str">
            <v>SHYAMMETL</v>
          </cell>
          <cell r="C111">
            <v>6.7248215701823946E-2</v>
          </cell>
          <cell r="D111">
            <v>8.4367504432161858E-2</v>
          </cell>
          <cell r="G111" t="str">
            <v>SHYAMMETL</v>
          </cell>
          <cell r="H111">
            <v>1.0244673790257004</v>
          </cell>
          <cell r="K111" t="str">
            <v>SHYAMMETL</v>
          </cell>
          <cell r="L111">
            <v>16.500257731958762</v>
          </cell>
        </row>
        <row r="112">
          <cell r="B112" t="str">
            <v>JAIBALAJI</v>
          </cell>
          <cell r="C112">
            <v>9.4693877551020409E-3</v>
          </cell>
          <cell r="D112">
            <v>0.13266199649737304</v>
          </cell>
          <cell r="G112" t="str">
            <v>JAIBALAJI</v>
          </cell>
          <cell r="H112">
            <v>0.84007029876977157</v>
          </cell>
          <cell r="K112" t="str">
            <v>JAIBALAJI</v>
          </cell>
          <cell r="L112">
            <v>12.931428571428571</v>
          </cell>
        </row>
        <row r="113">
          <cell r="B113" t="str">
            <v>SARDAEN</v>
          </cell>
          <cell r="C113">
            <v>0.14339981006647673</v>
          </cell>
          <cell r="D113">
            <v>0.14736842105263157</v>
          </cell>
          <cell r="G113" t="str">
            <v>SARDAEN</v>
          </cell>
          <cell r="H113">
            <v>2.8963236054163941</v>
          </cell>
          <cell r="K113" t="str">
            <v>SARDAEN</v>
          </cell>
          <cell r="L113">
            <v>23.291714150047479</v>
          </cell>
        </row>
        <row r="114">
          <cell r="B114" t="str">
            <v>SUNFLAG</v>
          </cell>
          <cell r="C114" t="str">
            <v>NA</v>
          </cell>
          <cell r="D114">
            <v>4.0064102564102567E-2</v>
          </cell>
          <cell r="G114" t="str">
            <v>SUNFLAG</v>
          </cell>
          <cell r="H114">
            <v>1.5238095238095237</v>
          </cell>
          <cell r="K114" t="str">
            <v>SUNFLAG</v>
          </cell>
          <cell r="L114">
            <v>31.91657110091743</v>
          </cell>
        </row>
        <row r="115">
          <cell r="B115" t="str">
            <v>PRAKASH</v>
          </cell>
          <cell r="C115">
            <v>5.516840882694541E-2</v>
          </cell>
          <cell r="D115">
            <v>9.2931467527807676E-2</v>
          </cell>
          <cell r="G115" t="str">
            <v>PRAKASH</v>
          </cell>
          <cell r="H115">
            <v>0.98034682080924851</v>
          </cell>
          <cell r="K115" t="str">
            <v>PRAKASH</v>
          </cell>
          <cell r="L115">
            <v>10.810104529616725</v>
          </cell>
        </row>
        <row r="116">
          <cell r="B116" t="str">
            <v>MUKANDLTD</v>
          </cell>
          <cell r="C116">
            <v>3.0896353511765763E-2</v>
          </cell>
          <cell r="D116">
            <v>1.8805590851334181E-2</v>
          </cell>
          <cell r="G116" t="str">
            <v>MUKANDLTD</v>
          </cell>
          <cell r="H116">
            <v>3.8280467445742903</v>
          </cell>
          <cell r="K116" t="str">
            <v>MUKANDLTD</v>
          </cell>
          <cell r="L116">
            <v>34.028201904077605</v>
          </cell>
        </row>
        <row r="137">
          <cell r="C137" t="str">
            <v>DEBT2EQUITY</v>
          </cell>
          <cell r="G137" t="str">
            <v>ICR</v>
          </cell>
          <cell r="K137" t="str">
            <v>DEBTRATIO</v>
          </cell>
        </row>
        <row r="138">
          <cell r="B138" t="str">
            <v>JSWSTEEL</v>
          </cell>
          <cell r="C138">
            <v>1.0599610074404169</v>
          </cell>
          <cell r="F138" t="str">
            <v>JSWSTEEL</v>
          </cell>
          <cell r="G138">
            <v>1.6043175891046073</v>
          </cell>
          <cell r="J138" t="str">
            <v>JSWSTEEL</v>
          </cell>
          <cell r="K138">
            <v>0.65083033092832199</v>
          </cell>
        </row>
        <row r="139">
          <cell r="B139" t="str">
            <v>TATASTEEL</v>
          </cell>
          <cell r="C139">
            <v>0.92495461290882097</v>
          </cell>
          <cell r="F139" t="str">
            <v>TATASTEEL</v>
          </cell>
          <cell r="G139">
            <v>3.6459755516748689</v>
          </cell>
          <cell r="J139" t="str">
            <v>TATASTEEL</v>
          </cell>
          <cell r="K139">
            <v>0.66593976027724844</v>
          </cell>
        </row>
        <row r="140">
          <cell r="B140" t="str">
            <v>JINDALSTEL</v>
          </cell>
          <cell r="C140">
            <v>0.30768495050451916</v>
          </cell>
          <cell r="F140" t="str">
            <v>JINDALSTEL</v>
          </cell>
          <cell r="G140">
            <v>5.012456747404844</v>
          </cell>
          <cell r="J140" t="str">
            <v>JINDALSTEL</v>
          </cell>
          <cell r="K140">
            <v>0.42073339611144961</v>
          </cell>
        </row>
        <row r="141">
          <cell r="B141" t="str">
            <v>SAIL</v>
          </cell>
          <cell r="C141">
            <v>0.45502520357973303</v>
          </cell>
          <cell r="F141" t="str">
            <v>SAIL</v>
          </cell>
          <cell r="G141">
            <v>1.5100638193421698</v>
          </cell>
          <cell r="J141" t="str">
            <v>SAIL</v>
          </cell>
          <cell r="K141">
            <v>0.56777504972300319</v>
          </cell>
        </row>
        <row r="142">
          <cell r="B142" t="str">
            <v>JSL</v>
          </cell>
          <cell r="C142">
            <v>0.42479629738545827</v>
          </cell>
          <cell r="F142" t="str">
            <v>JSL</v>
          </cell>
          <cell r="G142">
            <v>10.006172839506172</v>
          </cell>
          <cell r="J142" t="str">
            <v>JSL</v>
          </cell>
          <cell r="K142">
            <v>0.54406989303867925</v>
          </cell>
        </row>
        <row r="143">
          <cell r="B143" t="str">
            <v>SHYAMMETL</v>
          </cell>
          <cell r="C143">
            <v>0.24278790732810424</v>
          </cell>
          <cell r="F143" t="str">
            <v>SHYAMMETL</v>
          </cell>
          <cell r="G143">
            <v>11</v>
          </cell>
          <cell r="J143" t="str">
            <v>SHYAMMETL</v>
          </cell>
          <cell r="K143">
            <v>0.37107959510578448</v>
          </cell>
        </row>
        <row r="144">
          <cell r="B144" t="str">
            <v>JAIBALAJI</v>
          </cell>
          <cell r="C144">
            <v>0.66835699797160242</v>
          </cell>
          <cell r="F144" t="str">
            <v>JAIBALAJI</v>
          </cell>
          <cell r="G144">
            <v>1.7865168539325842</v>
          </cell>
          <cell r="J144" t="str">
            <v>JAIBALAJI</v>
          </cell>
          <cell r="K144">
            <v>0.69156249999999997</v>
          </cell>
        </row>
        <row r="145">
          <cell r="B145" t="str">
            <v>SARDAEN</v>
          </cell>
          <cell r="C145">
            <v>0.32271379094115377</v>
          </cell>
          <cell r="F145" t="str">
            <v>SARDAEN</v>
          </cell>
          <cell r="G145">
            <v>7.112903225806452</v>
          </cell>
          <cell r="J145" t="str">
            <v>SARDAEN</v>
          </cell>
          <cell r="K145">
            <v>0.34698789352103815</v>
          </cell>
        </row>
        <row r="146">
          <cell r="B146" t="str">
            <v>SUNFLAG</v>
          </cell>
          <cell r="C146">
            <v>0.16283484496941575</v>
          </cell>
          <cell r="F146" t="str">
            <v>SUNFLAG</v>
          </cell>
          <cell r="G146">
            <v>4.5061728395061724</v>
          </cell>
          <cell r="J146" t="str">
            <v>SUNFLAG</v>
          </cell>
          <cell r="K146">
            <v>0.26696552790230327</v>
          </cell>
        </row>
        <row r="147">
          <cell r="B147" t="str">
            <v>PRAKASH</v>
          </cell>
          <cell r="C147">
            <v>0.13854066216650596</v>
          </cell>
          <cell r="F147" t="str">
            <v>PRAKASH</v>
          </cell>
          <cell r="G147">
            <v>5.0487804878048781</v>
          </cell>
          <cell r="J147" t="str">
            <v>PRAKASH</v>
          </cell>
          <cell r="K147">
            <v>0.27374562427071181</v>
          </cell>
        </row>
        <row r="148">
          <cell r="B148" t="str">
            <v>MUKANDLTD</v>
          </cell>
          <cell r="C148">
            <v>1.7030716723549488</v>
          </cell>
          <cell r="F148" t="str">
            <v>MUKANDLTD</v>
          </cell>
          <cell r="G148">
            <v>-1.2994350282485876</v>
          </cell>
          <cell r="J148" t="str">
            <v>MUKANDLTD</v>
          </cell>
          <cell r="K148">
            <v>0.70621657754010692</v>
          </cell>
        </row>
        <row r="168">
          <cell r="C168" t="str">
            <v>ROE</v>
          </cell>
          <cell r="D168" t="str">
            <v>ROA</v>
          </cell>
          <cell r="H168" t="str">
            <v>TRAIL_PE</v>
          </cell>
          <cell r="I168" t="str">
            <v>PBV</v>
          </cell>
          <cell r="M168" t="str">
            <v>YIELD</v>
          </cell>
        </row>
        <row r="169">
          <cell r="B169" t="str">
            <v>JSWSTEEL</v>
          </cell>
          <cell r="C169">
            <v>5.489462724969827E-2</v>
          </cell>
          <cell r="D169">
            <v>1.9167538830590261E-2</v>
          </cell>
          <cell r="G169" t="str">
            <v>JSWSTEEL</v>
          </cell>
          <cell r="H169">
            <v>17.78</v>
          </cell>
          <cell r="I169">
            <v>3.3056707703688049</v>
          </cell>
          <cell r="L169" t="str">
            <v>JSWSTEEL</v>
          </cell>
          <cell r="M169">
            <v>5.6234003656307131E-2</v>
          </cell>
        </row>
        <row r="170">
          <cell r="B170" t="str">
            <v>TATASTEEL</v>
          </cell>
          <cell r="C170">
            <v>8.8929514411812488E-2</v>
          </cell>
          <cell r="D170">
            <v>2.970781490283797E-2</v>
          </cell>
          <cell r="G170" t="str">
            <v>TATASTEEL</v>
          </cell>
          <cell r="H170">
            <v>-51.952554744525543</v>
          </cell>
          <cell r="I170">
            <v>1.8891210711525936</v>
          </cell>
          <cell r="L170" t="str">
            <v>TATASTEEL</v>
          </cell>
          <cell r="M170">
            <v>-1.9248331577098703E-2</v>
          </cell>
        </row>
        <row r="171">
          <cell r="B171" t="str">
            <v>JINDALSTEL</v>
          </cell>
          <cell r="C171">
            <v>9.502175888288461E-2</v>
          </cell>
          <cell r="D171">
            <v>5.5032404586495318E-2</v>
          </cell>
          <cell r="G171" t="str">
            <v>JINDALSTEL</v>
          </cell>
          <cell r="H171">
            <v>14.18</v>
          </cell>
          <cell r="I171">
            <v>1.8322122036162396</v>
          </cell>
          <cell r="L171" t="str">
            <v>JINDALSTEL</v>
          </cell>
          <cell r="M171">
            <v>7.0524671266762137E-2</v>
          </cell>
        </row>
        <row r="172">
          <cell r="B172" t="str">
            <v>SAIL</v>
          </cell>
          <cell r="C172">
            <v>3.8843395069816364E-2</v>
          </cell>
          <cell r="D172">
            <v>1.6789084502641115E-2</v>
          </cell>
          <cell r="G172" t="str">
            <v>SAIL</v>
          </cell>
          <cell r="H172">
            <v>16.98</v>
          </cell>
          <cell r="I172">
            <v>0.87520030806138294</v>
          </cell>
          <cell r="L172" t="str">
            <v>SAIL</v>
          </cell>
          <cell r="M172">
            <v>5.892506865437426E-2</v>
          </cell>
        </row>
        <row r="173">
          <cell r="B173" t="str">
            <v>JSL</v>
          </cell>
          <cell r="C173">
            <v>0.15714093973901333</v>
          </cell>
          <cell r="D173">
            <v>7.1642152262262532E-2</v>
          </cell>
          <cell r="G173" t="str">
            <v>JSL</v>
          </cell>
          <cell r="H173">
            <v>14.72</v>
          </cell>
          <cell r="I173">
            <v>3.8726467731760743</v>
          </cell>
          <cell r="L173" t="str">
            <v>JSL</v>
          </cell>
          <cell r="M173">
            <v>6.7938870852799108E-2</v>
          </cell>
        </row>
        <row r="174">
          <cell r="B174" t="str">
            <v>SHYAMMETL</v>
          </cell>
          <cell r="C174">
            <v>0.10399344645073311</v>
          </cell>
          <cell r="D174">
            <v>6.2481855946902212E-2</v>
          </cell>
          <cell r="G174" t="str">
            <v>SHYAMMETL</v>
          </cell>
          <cell r="H174">
            <v>15.77</v>
          </cell>
          <cell r="I174">
            <v>2.0248512861736332</v>
          </cell>
          <cell r="L174" t="str">
            <v>SHYAMMETL</v>
          </cell>
          <cell r="M174">
            <v>6.3425960602202097E-2</v>
          </cell>
        </row>
        <row r="175">
          <cell r="B175" t="str">
            <v>JAIBALAJI</v>
          </cell>
          <cell r="C175">
            <v>5.8823529411764705E-2</v>
          </cell>
          <cell r="D175">
            <v>1.8124999999999999E-2</v>
          </cell>
          <cell r="G175" t="str">
            <v>JAIBALAJI</v>
          </cell>
          <cell r="H175">
            <v>27.31</v>
          </cell>
          <cell r="I175">
            <v>13.193717277486911</v>
          </cell>
          <cell r="L175" t="str">
            <v>JAIBALAJI</v>
          </cell>
          <cell r="M175">
            <v>3.6613756613756612E-2</v>
          </cell>
        </row>
        <row r="176">
          <cell r="B176" t="str">
            <v>SARDAEN</v>
          </cell>
          <cell r="C176">
            <v>0.15980907577966455</v>
          </cell>
          <cell r="D176">
            <v>0.10435726120933478</v>
          </cell>
          <cell r="G176" t="str">
            <v>SARDAEN</v>
          </cell>
          <cell r="H176">
            <v>14.55</v>
          </cell>
          <cell r="I176">
            <v>2.0988342617471658</v>
          </cell>
          <cell r="L176" t="str">
            <v>SARDAEN</v>
          </cell>
          <cell r="M176">
            <v>6.8705985915492956E-2</v>
          </cell>
        </row>
        <row r="177">
          <cell r="B177" t="str">
            <v>SUNFLAG</v>
          </cell>
          <cell r="C177">
            <v>0.23518245095971313</v>
          </cell>
          <cell r="D177">
            <v>0.17236048848353686</v>
          </cell>
          <cell r="G177" t="str">
            <v>SUNFLAG</v>
          </cell>
          <cell r="H177">
            <v>26.98</v>
          </cell>
          <cell r="I177">
            <v>0.76795366795366782</v>
          </cell>
          <cell r="L177" t="str">
            <v>SUNFLAG</v>
          </cell>
          <cell r="M177">
            <v>3.7056442010002383E-2</v>
          </cell>
        </row>
        <row r="178">
          <cell r="B178" t="str">
            <v>PRAKASH</v>
          </cell>
          <cell r="C178">
            <v>6.1073609771777566E-2</v>
          </cell>
          <cell r="D178">
            <v>4.4340723453908985E-2</v>
          </cell>
          <cell r="G178" t="str">
            <v>PRAKASH</v>
          </cell>
          <cell r="H178">
            <v>10.39</v>
          </cell>
          <cell r="I178">
            <v>1.0016382978723404</v>
          </cell>
          <cell r="L178" t="str">
            <v>PRAKASH</v>
          </cell>
          <cell r="M178">
            <v>9.6252036936447585E-2</v>
          </cell>
        </row>
        <row r="179">
          <cell r="B179" t="str">
            <v>MUKANDLTD</v>
          </cell>
          <cell r="C179">
            <v>0.1956769055745165</v>
          </cell>
          <cell r="D179">
            <v>5.7486631016042782E-2</v>
          </cell>
          <cell r="G179" t="str">
            <v>MUKANDLTD</v>
          </cell>
          <cell r="H179">
            <v>12.2</v>
          </cell>
          <cell r="I179">
            <v>2.3648093841642228</v>
          </cell>
          <cell r="L179" t="str">
            <v>MUKANDLTD</v>
          </cell>
          <cell r="M179">
            <v>8.1964285714285712E-2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C8EE6-DCEF-4A6E-9629-82A451D9DFB6}">
  <sheetPr>
    <outlinePr summaryBelow="0" summaryRight="0"/>
  </sheetPr>
  <dimension ref="A2:AD90"/>
  <sheetViews>
    <sheetView showGridLines="0" tabSelected="1" workbookViewId="0"/>
  </sheetViews>
  <sheetFormatPr defaultColWidth="14" defaultRowHeight="15" customHeight="1"/>
  <cols>
    <col min="1" max="1" width="17.44140625" customWidth="1"/>
    <col min="2" max="2" width="15.5546875" customWidth="1"/>
    <col min="3" max="3" width="14.5546875" customWidth="1"/>
    <col min="4" max="4" width="12.88671875" customWidth="1"/>
    <col min="5" max="5" width="15.21875" customWidth="1"/>
    <col min="6" max="6" width="12.6640625" customWidth="1"/>
    <col min="7" max="7" width="11.6640625" customWidth="1"/>
    <col min="8" max="8" width="13.44140625" customWidth="1"/>
    <col min="9" max="9" width="10.5546875" customWidth="1"/>
    <col min="10" max="10" width="13" customWidth="1"/>
    <col min="11" max="11" width="12.44140625" customWidth="1"/>
    <col min="12" max="12" width="11.77734375" customWidth="1"/>
    <col min="13" max="13" width="12.109375" customWidth="1"/>
    <col min="14" max="14" width="14.88671875" customWidth="1"/>
    <col min="15" max="15" width="13.77734375" customWidth="1"/>
    <col min="16" max="16" width="10.21875" customWidth="1"/>
    <col min="17" max="17" width="10.44140625" customWidth="1"/>
    <col min="18" max="18" width="16.21875" customWidth="1"/>
    <col min="19" max="19" width="19.44140625" customWidth="1"/>
  </cols>
  <sheetData>
    <row r="2" spans="1:23" ht="15" customHeight="1">
      <c r="A2" s="136" t="s">
        <v>197</v>
      </c>
      <c r="B2" s="136" t="s">
        <v>196</v>
      </c>
      <c r="C2" s="136" t="s">
        <v>195</v>
      </c>
      <c r="D2" s="136" t="s">
        <v>194</v>
      </c>
      <c r="E2" s="136" t="s">
        <v>193</v>
      </c>
      <c r="F2" s="136" t="s">
        <v>192</v>
      </c>
      <c r="G2" s="136" t="s">
        <v>191</v>
      </c>
      <c r="H2" s="136" t="s">
        <v>12</v>
      </c>
      <c r="I2" s="136" t="s">
        <v>190</v>
      </c>
      <c r="J2" s="136" t="s">
        <v>189</v>
      </c>
      <c r="K2" s="136" t="s">
        <v>188</v>
      </c>
      <c r="L2" s="136" t="s">
        <v>187</v>
      </c>
      <c r="M2" s="136" t="s">
        <v>186</v>
      </c>
      <c r="N2" s="136" t="s">
        <v>185</v>
      </c>
      <c r="O2" s="136" t="s">
        <v>184</v>
      </c>
      <c r="P2" s="136" t="s">
        <v>183</v>
      </c>
      <c r="Q2" s="136" t="s">
        <v>182</v>
      </c>
      <c r="R2" s="136" t="s">
        <v>181</v>
      </c>
      <c r="S2" s="136" t="s">
        <v>180</v>
      </c>
      <c r="T2" s="136" t="s">
        <v>179</v>
      </c>
      <c r="U2" s="136" t="s">
        <v>178</v>
      </c>
      <c r="V2" s="136" t="s">
        <v>177</v>
      </c>
      <c r="W2" s="89"/>
    </row>
    <row r="3" spans="1:23" ht="15" customHeight="1">
      <c r="A3" s="65" t="s">
        <v>42</v>
      </c>
      <c r="B3" s="135">
        <f ca="1">IFERROR(__xludf.DUMMYFUNCTION("GOOGLEFINANCE(""nse:""&amp;A3,""price"")"),899)</f>
        <v>899</v>
      </c>
      <c r="C3" s="135">
        <f ca="1">IFERROR(__xludf.DUMMYFUNCTION("GOOGLEFINANCE(""nse:""&amp;A3,""MARKETCAP"")/10000000"),219100.5941)</f>
        <v>219100.59409999999</v>
      </c>
      <c r="D3" s="134">
        <f>C14</f>
        <v>28.013999999999999</v>
      </c>
      <c r="E3" s="134">
        <f>D14</f>
        <v>183756.30000000002</v>
      </c>
      <c r="F3" s="134">
        <f>E14</f>
        <v>3675.1260000000002</v>
      </c>
      <c r="G3" s="134">
        <f>F14</f>
        <v>14.899400000000002</v>
      </c>
      <c r="H3" s="133">
        <v>1</v>
      </c>
      <c r="I3" s="133">
        <v>305</v>
      </c>
      <c r="J3" s="134">
        <f>I29</f>
        <v>80445</v>
      </c>
      <c r="K3" s="134">
        <f>J29</f>
        <v>85575</v>
      </c>
      <c r="L3" s="133">
        <v>2409</v>
      </c>
      <c r="M3" s="133">
        <v>64534</v>
      </c>
      <c r="N3" s="133">
        <v>66065</v>
      </c>
      <c r="O3" s="133">
        <v>228198</v>
      </c>
      <c r="P3" s="133">
        <v>148422</v>
      </c>
      <c r="Q3" s="133">
        <v>7548</v>
      </c>
      <c r="R3" s="132">
        <v>12078</v>
      </c>
      <c r="S3" s="132">
        <v>-14638</v>
      </c>
      <c r="T3" s="132">
        <v>-5005</v>
      </c>
      <c r="U3" s="131">
        <f>SUM(R3:T3)</f>
        <v>-7565</v>
      </c>
      <c r="V3" s="131">
        <v>-15801</v>
      </c>
      <c r="W3" s="89"/>
    </row>
    <row r="4" spans="1:23" ht="15" customHeight="1">
      <c r="A4" s="65" t="s">
        <v>176</v>
      </c>
      <c r="B4" s="133">
        <v>830</v>
      </c>
      <c r="C4" s="134">
        <f ca="1">B4*C3/B3</f>
        <v>202284.19699999999</v>
      </c>
      <c r="D4" s="134">
        <f>C30</f>
        <v>26.68</v>
      </c>
      <c r="E4" s="134">
        <f>D30</f>
        <v>175006</v>
      </c>
      <c r="F4" s="134">
        <f>E30</f>
        <v>8973</v>
      </c>
      <c r="G4" s="134">
        <f>F30</f>
        <v>36.340000000000003</v>
      </c>
      <c r="H4" s="133">
        <v>1</v>
      </c>
      <c r="I4" s="133">
        <v>301</v>
      </c>
      <c r="J4" s="134">
        <f>I30</f>
        <v>77364</v>
      </c>
      <c r="K4" s="134">
        <f>J30</f>
        <v>85575</v>
      </c>
      <c r="L4" s="133">
        <v>2011</v>
      </c>
      <c r="M4" s="133">
        <v>68150</v>
      </c>
      <c r="N4" s="133">
        <v>69963</v>
      </c>
      <c r="O4" s="133">
        <v>211078</v>
      </c>
      <c r="P4" s="133">
        <v>144039</v>
      </c>
      <c r="Q4" s="133">
        <v>7134</v>
      </c>
      <c r="R4" s="132">
        <v>23323</v>
      </c>
      <c r="S4" s="132">
        <v>-10711</v>
      </c>
      <c r="T4" s="132">
        <v>-5977</v>
      </c>
      <c r="U4" s="131">
        <f>SUM(R4:T4)</f>
        <v>6635</v>
      </c>
      <c r="V4" s="131">
        <v>-14784</v>
      </c>
      <c r="W4" s="89"/>
    </row>
    <row r="5" spans="1:23" ht="14.4">
      <c r="A5" s="67" t="s">
        <v>175</v>
      </c>
      <c r="B5" s="130">
        <f ca="1">(B3/B4)-1</f>
        <v>8.313253012048194E-2</v>
      </c>
      <c r="C5" s="130">
        <f ca="1">(C3/C4)-1</f>
        <v>8.313253012048194E-2</v>
      </c>
      <c r="D5" s="130">
        <f>(D3/D4)-1</f>
        <v>5.0000000000000044E-2</v>
      </c>
      <c r="E5" s="130">
        <f>(E3/E4)-1</f>
        <v>5.0000000000000044E-2</v>
      </c>
      <c r="F5" s="130">
        <f>(F3/F4)-1</f>
        <v>-0.59042393848211305</v>
      </c>
      <c r="G5" s="130">
        <f>(G3/G4)-1</f>
        <v>-0.59</v>
      </c>
      <c r="H5" s="130">
        <f>(H3/H4)-1</f>
        <v>0</v>
      </c>
      <c r="I5" s="130">
        <f>(I3/I4)-1</f>
        <v>1.3289036544850585E-2</v>
      </c>
      <c r="J5" s="130">
        <f>(J3/J4)-1</f>
        <v>3.9824724678144907E-2</v>
      </c>
      <c r="K5" s="130">
        <f>(K3/K4)-1</f>
        <v>0</v>
      </c>
      <c r="L5" s="130">
        <f>(L3/L4)-1</f>
        <v>0.19791148682247628</v>
      </c>
      <c r="M5" s="130">
        <f>(M3/M4)-1</f>
        <v>-5.3059427732942033E-2</v>
      </c>
      <c r="N5" s="130">
        <f>(N3/N4)-1</f>
        <v>-5.5715163729399775E-2</v>
      </c>
      <c r="O5" s="130">
        <f>(O3/O4)-1</f>
        <v>8.1107457906555824E-2</v>
      </c>
      <c r="P5" s="130">
        <f>(P3/P4)-1</f>
        <v>3.042925874242397E-2</v>
      </c>
      <c r="Q5" s="130">
        <f>(Q3/Q4)-1</f>
        <v>5.8031959629941232E-2</v>
      </c>
      <c r="R5" s="130">
        <f>(R3/R4)-1</f>
        <v>-0.48214209149766329</v>
      </c>
      <c r="S5" s="130">
        <f>(S3/S4)-1</f>
        <v>0.36663243394641021</v>
      </c>
      <c r="T5" s="130">
        <f>(T3/T4)-1</f>
        <v>-0.16262338966036471</v>
      </c>
      <c r="U5" s="130"/>
      <c r="V5" s="130">
        <f>(V3/V4)-1</f>
        <v>6.8790584415584499E-2</v>
      </c>
    </row>
    <row r="7" spans="1:23" ht="15" customHeight="1">
      <c r="A7" s="129" t="s">
        <v>60</v>
      </c>
      <c r="B7" s="129" t="s">
        <v>61</v>
      </c>
      <c r="C7" s="21"/>
      <c r="D7" s="21"/>
      <c r="E7" s="129" t="s">
        <v>63</v>
      </c>
      <c r="F7" s="21"/>
      <c r="G7" s="21"/>
      <c r="H7" s="129" t="s">
        <v>64</v>
      </c>
      <c r="J7" s="21"/>
      <c r="K7" s="21"/>
      <c r="L7" s="129" t="s">
        <v>174</v>
      </c>
      <c r="M7" s="21"/>
      <c r="O7" s="21"/>
      <c r="P7" s="21"/>
      <c r="Q7" s="21"/>
      <c r="R7" s="129" t="s">
        <v>173</v>
      </c>
      <c r="S7" s="128"/>
      <c r="T7" s="90"/>
      <c r="U7" s="89"/>
      <c r="V7" s="89"/>
      <c r="W7" s="89"/>
    </row>
    <row r="8" spans="1:23" ht="14.4">
      <c r="A8" s="126" t="s">
        <v>172</v>
      </c>
      <c r="B8" s="126" t="s">
        <v>171</v>
      </c>
      <c r="C8" s="127" t="s">
        <v>170</v>
      </c>
      <c r="D8" s="126" t="s">
        <v>169</v>
      </c>
      <c r="E8" s="126" t="s">
        <v>33</v>
      </c>
      <c r="F8" s="126" t="s">
        <v>34</v>
      </c>
      <c r="G8" s="126" t="s">
        <v>30</v>
      </c>
      <c r="H8" s="126" t="s">
        <v>35</v>
      </c>
      <c r="I8" s="126" t="s">
        <v>168</v>
      </c>
      <c r="J8" s="126" t="s">
        <v>36</v>
      </c>
      <c r="K8" s="126" t="s">
        <v>37</v>
      </c>
      <c r="L8" s="126" t="s">
        <v>167</v>
      </c>
      <c r="M8" s="126" t="s">
        <v>39</v>
      </c>
      <c r="N8" s="126" t="s">
        <v>166</v>
      </c>
      <c r="O8" s="126" t="s">
        <v>40</v>
      </c>
      <c r="P8" s="126" t="s">
        <v>41</v>
      </c>
      <c r="Q8" s="126" t="s">
        <v>165</v>
      </c>
      <c r="R8" s="126" t="s">
        <v>164</v>
      </c>
      <c r="S8" s="126" t="s">
        <v>163</v>
      </c>
      <c r="T8" s="126" t="s">
        <v>162</v>
      </c>
      <c r="U8" s="89"/>
      <c r="V8" s="89"/>
      <c r="W8" s="89"/>
    </row>
    <row r="9" spans="1:23" ht="15" customHeight="1">
      <c r="A9" s="124">
        <f>T23</f>
        <v>1.7293250894274248E-2</v>
      </c>
      <c r="B9" s="124">
        <f>R34</f>
        <v>2.0189553594299421E-2</v>
      </c>
      <c r="C9" s="124">
        <f>M3/N3</f>
        <v>0.97682585332626959</v>
      </c>
      <c r="D9" s="125">
        <f>(Q3/E3)*365</f>
        <v>14.992792083863245</v>
      </c>
      <c r="E9" s="124">
        <f>K3/(I3+J3)</f>
        <v>1.0597523219814242</v>
      </c>
      <c r="F9" s="124">
        <f>P3/O3</f>
        <v>0.65040885546762017</v>
      </c>
      <c r="G9" s="122">
        <f>R35</f>
        <v>1.5923781958514232</v>
      </c>
      <c r="H9" s="124">
        <f>F3/(I3+J3)</f>
        <v>4.5512396284829726E-2</v>
      </c>
      <c r="I9" s="123">
        <f>23521/(I29+J29)</f>
        <v>0.14167570172268401</v>
      </c>
      <c r="J9" s="121">
        <f>F3/I3</f>
        <v>12.049593442622951</v>
      </c>
      <c r="K9" s="124">
        <f>F3/O3</f>
        <v>1.6104987773775406E-2</v>
      </c>
      <c r="L9" s="121">
        <f ca="1">B3/G3</f>
        <v>60.338000187927022</v>
      </c>
      <c r="M9" s="123">
        <f ca="1">G3/B3</f>
        <v>1.6573303670745273E-2</v>
      </c>
      <c r="N9" s="123">
        <f ca="1">7.3/B3</f>
        <v>8.1201334816462731E-3</v>
      </c>
      <c r="O9" s="122">
        <f>(J3+I3)/(I3/H3)</f>
        <v>264.75409836065575</v>
      </c>
      <c r="P9" s="121">
        <f ca="1">B3/O9</f>
        <v>3.3956037151702785</v>
      </c>
      <c r="Q9" s="121">
        <f ca="1">U12</f>
        <v>-1.0158192090395479</v>
      </c>
      <c r="R9" s="119">
        <f>R3-N3</f>
        <v>-53987</v>
      </c>
      <c r="S9" s="120">
        <f>R3-K3</f>
        <v>-73497</v>
      </c>
      <c r="T9" s="119">
        <f>R3-V3</f>
        <v>27879</v>
      </c>
      <c r="U9" s="89"/>
      <c r="V9" s="89"/>
      <c r="W9" s="89"/>
    </row>
    <row r="10" spans="1:23" ht="15" customHeight="1">
      <c r="A10" s="89"/>
      <c r="B10" s="90"/>
      <c r="C10" s="89"/>
      <c r="D10" s="89"/>
      <c r="E10" s="89"/>
      <c r="F10" s="89"/>
      <c r="G10" s="89"/>
      <c r="H10" s="89"/>
      <c r="I10" s="90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</row>
    <row r="11" spans="1:23" ht="15" customHeight="1">
      <c r="A11" s="68" t="s">
        <v>161</v>
      </c>
      <c r="B11" s="106" t="s">
        <v>145</v>
      </c>
      <c r="C11" s="74" t="s">
        <v>115</v>
      </c>
      <c r="D11" s="74" t="s">
        <v>114</v>
      </c>
      <c r="E11" s="74" t="s">
        <v>100</v>
      </c>
      <c r="F11" s="74" t="s">
        <v>98</v>
      </c>
      <c r="G11" s="74" t="s">
        <v>160</v>
      </c>
      <c r="H11" s="74" t="s">
        <v>40</v>
      </c>
      <c r="I11" s="74" t="s">
        <v>159</v>
      </c>
      <c r="K11" s="68" t="s">
        <v>158</v>
      </c>
      <c r="L11" s="68" t="s">
        <v>157</v>
      </c>
      <c r="M11" s="68" t="s">
        <v>156</v>
      </c>
      <c r="N11" s="68" t="s">
        <v>128</v>
      </c>
      <c r="O11" s="68" t="s">
        <v>90</v>
      </c>
      <c r="P11" s="68" t="s">
        <v>155</v>
      </c>
      <c r="Q11" s="65"/>
      <c r="R11" s="99" t="s">
        <v>154</v>
      </c>
      <c r="S11" s="99" t="s">
        <v>153</v>
      </c>
      <c r="T11" s="99" t="s">
        <v>152</v>
      </c>
      <c r="U11" s="68" t="s">
        <v>151</v>
      </c>
      <c r="V11" s="89"/>
      <c r="W11" s="89"/>
    </row>
    <row r="12" spans="1:23" ht="15" customHeight="1">
      <c r="A12" s="102"/>
      <c r="B12" s="113" t="s">
        <v>138</v>
      </c>
      <c r="C12" s="112">
        <f>FV(C17,5,0,-C13,0)</f>
        <v>55.107778123109895</v>
      </c>
      <c r="D12" s="112">
        <f>FV(D17,5,0,-D13,0)</f>
        <v>651360.70143408852</v>
      </c>
      <c r="E12" s="112">
        <f>FV(E17,5,0,-E13,0)</f>
        <v>37896.758705852168</v>
      </c>
      <c r="F12" s="112">
        <f>FV(F17,5,0,-F13,0)</f>
        <v>153.63798864636854</v>
      </c>
      <c r="G12" s="112">
        <f>F12*15</f>
        <v>2304.5698296955279</v>
      </c>
      <c r="H12" s="112">
        <f>FV(G17,5,0,-H13,0)</f>
        <v>1304.9024962646442</v>
      </c>
      <c r="I12" s="111">
        <f>H12*2</f>
        <v>2609.8049925292885</v>
      </c>
      <c r="K12" s="65" t="s">
        <v>150</v>
      </c>
      <c r="L12" s="63">
        <v>0.1</v>
      </c>
      <c r="M12" s="63">
        <v>0.08</v>
      </c>
      <c r="N12" s="63">
        <v>0.05</v>
      </c>
      <c r="O12" s="63">
        <v>1.7000000000000001E-2</v>
      </c>
      <c r="P12" s="63">
        <v>0.05</v>
      </c>
      <c r="Q12" s="89"/>
      <c r="R12" s="118">
        <v>36.340000000000003</v>
      </c>
      <c r="S12" s="117">
        <f>P17</f>
        <v>30.1</v>
      </c>
      <c r="T12" s="116">
        <v>15</v>
      </c>
      <c r="U12" s="115">
        <f ca="1">T14/-59</f>
        <v>-1.0158192090395479</v>
      </c>
      <c r="V12" s="89"/>
      <c r="W12" s="89"/>
    </row>
    <row r="13" spans="1:23" ht="15" customHeight="1">
      <c r="A13" s="102"/>
      <c r="B13" s="113" t="s">
        <v>137</v>
      </c>
      <c r="C13" s="112">
        <f>FV(C18,5,0,-C14,0)</f>
        <v>39.291084183829803</v>
      </c>
      <c r="D13" s="112">
        <f>FV(D18,5,0,-D14,0)</f>
        <v>369599.55475340615</v>
      </c>
      <c r="E13" s="112">
        <f>D13*H18</f>
        <v>21503.638634388146</v>
      </c>
      <c r="F13" s="112">
        <f>(E13*F14)/E14</f>
        <v>87.178320816538744</v>
      </c>
      <c r="G13" s="112">
        <f>F13*15</f>
        <v>1307.6748122480813</v>
      </c>
      <c r="H13" s="112">
        <f>FV(G18,5,0,-H14,0)</f>
        <v>621.28106231807976</v>
      </c>
      <c r="I13" s="111">
        <f>H13*2</f>
        <v>1242.5621246361595</v>
      </c>
      <c r="K13" s="65" t="s">
        <v>96</v>
      </c>
      <c r="L13" s="71">
        <v>0.06</v>
      </c>
      <c r="M13" s="71">
        <v>5.8999999999999997E-2</v>
      </c>
      <c r="N13" s="71">
        <v>5.1999999999999998E-2</v>
      </c>
      <c r="O13" s="71">
        <v>0.02</v>
      </c>
      <c r="P13" s="71">
        <v>0.02</v>
      </c>
      <c r="Q13" s="89"/>
      <c r="R13" s="99" t="s">
        <v>149</v>
      </c>
      <c r="S13" s="99" t="s">
        <v>136</v>
      </c>
      <c r="T13" s="99" t="s">
        <v>135</v>
      </c>
      <c r="U13" s="114"/>
      <c r="V13" s="89"/>
      <c r="W13" s="89"/>
    </row>
    <row r="14" spans="1:23" ht="15" customHeight="1">
      <c r="B14" s="113" t="s">
        <v>148</v>
      </c>
      <c r="C14" s="112">
        <f>FV(C19,1,0,-C30,0)</f>
        <v>28.013999999999999</v>
      </c>
      <c r="D14" s="112">
        <f>FV(D19,1,0,-D30,0)</f>
        <v>183756.30000000002</v>
      </c>
      <c r="E14" s="112">
        <f>D14*H19</f>
        <v>3675.1260000000002</v>
      </c>
      <c r="F14" s="112">
        <f>FV(F19,1,0,-F30,0)</f>
        <v>14.899400000000002</v>
      </c>
      <c r="G14" s="112">
        <f>F14*15</f>
        <v>223.49100000000001</v>
      </c>
      <c r="H14" s="112">
        <f>FV(G19,1,0,-255,0)</f>
        <v>295.79999999999995</v>
      </c>
      <c r="I14" s="111">
        <f>H14*2</f>
        <v>591.59999999999991</v>
      </c>
      <c r="K14" s="67" t="s">
        <v>100</v>
      </c>
      <c r="L14" s="67" t="s">
        <v>147</v>
      </c>
      <c r="M14" s="95">
        <v>18.22</v>
      </c>
      <c r="N14" s="95">
        <v>1.17</v>
      </c>
      <c r="O14" s="95">
        <v>-0.64</v>
      </c>
      <c r="P14" s="95">
        <v>-0.59</v>
      </c>
      <c r="Q14" s="89"/>
      <c r="R14" s="93">
        <f>B4/R12</f>
        <v>22.839845899834891</v>
      </c>
      <c r="S14" s="110">
        <f ca="1">B3/S12</f>
        <v>29.867109634551493</v>
      </c>
      <c r="T14" s="91">
        <f ca="1">B3/T12</f>
        <v>59.93333333333333</v>
      </c>
      <c r="U14" s="109"/>
      <c r="V14" s="89"/>
      <c r="W14" s="89"/>
    </row>
    <row r="15" spans="1:23" ht="14.4">
      <c r="B15" s="108"/>
      <c r="D15" s="50"/>
      <c r="P15" s="89"/>
      <c r="Q15" s="89"/>
      <c r="R15" s="107"/>
      <c r="S15" s="107"/>
      <c r="T15" s="107"/>
      <c r="V15" s="89"/>
      <c r="W15" s="89"/>
    </row>
    <row r="16" spans="1:23" ht="15" customHeight="1">
      <c r="A16" s="68" t="s">
        <v>146</v>
      </c>
      <c r="B16" s="106" t="s">
        <v>145</v>
      </c>
      <c r="C16" s="74" t="s">
        <v>115</v>
      </c>
      <c r="D16" s="74" t="s">
        <v>114</v>
      </c>
      <c r="E16" s="74" t="s">
        <v>100</v>
      </c>
      <c r="F16" s="74" t="s">
        <v>98</v>
      </c>
      <c r="G16" s="74" t="s">
        <v>40</v>
      </c>
      <c r="H16" s="74" t="s">
        <v>96</v>
      </c>
      <c r="K16" s="68" t="s">
        <v>142</v>
      </c>
      <c r="L16" s="68" t="s">
        <v>144</v>
      </c>
      <c r="M16" s="68" t="s">
        <v>143</v>
      </c>
      <c r="N16" s="68" t="s">
        <v>131</v>
      </c>
      <c r="O16" s="68" t="s">
        <v>90</v>
      </c>
      <c r="P16" s="68" t="s">
        <v>142</v>
      </c>
      <c r="R16" s="99" t="s">
        <v>141</v>
      </c>
      <c r="S16" s="99" t="s">
        <v>140</v>
      </c>
      <c r="T16" s="99" t="s">
        <v>139</v>
      </c>
      <c r="U16" s="48"/>
    </row>
    <row r="17" spans="1:30" ht="15" customHeight="1">
      <c r="A17" s="102"/>
      <c r="B17" s="98" t="s">
        <v>138</v>
      </c>
      <c r="C17" s="95">
        <v>7.0000000000000007E-2</v>
      </c>
      <c r="D17" s="95">
        <v>0.12</v>
      </c>
      <c r="E17" s="95">
        <v>0.12</v>
      </c>
      <c r="F17" s="101">
        <v>0.12</v>
      </c>
      <c r="G17" s="50">
        <v>0.16</v>
      </c>
      <c r="H17" s="100">
        <v>6.7000000000000004E-2</v>
      </c>
      <c r="K17" s="65" t="s">
        <v>98</v>
      </c>
      <c r="L17" s="105">
        <v>11.38</v>
      </c>
      <c r="M17" s="105">
        <v>9.92</v>
      </c>
      <c r="N17" s="105">
        <v>5.33</v>
      </c>
      <c r="O17" s="105">
        <v>3.47</v>
      </c>
      <c r="P17" s="70">
        <f>SUM(L17:O17)</f>
        <v>30.1</v>
      </c>
      <c r="R17" s="104">
        <v>255</v>
      </c>
      <c r="S17" s="104">
        <v>265</v>
      </c>
      <c r="T17" s="103">
        <f>H14</f>
        <v>295.79999999999995</v>
      </c>
      <c r="U17" s="55"/>
    </row>
    <row r="18" spans="1:30" ht="15" customHeight="1">
      <c r="A18" s="102"/>
      <c r="B18" s="98" t="s">
        <v>137</v>
      </c>
      <c r="C18" s="95">
        <v>7.0000000000000007E-2</v>
      </c>
      <c r="D18" s="95">
        <v>0.15</v>
      </c>
      <c r="E18" s="95">
        <v>0.15</v>
      </c>
      <c r="F18" s="101">
        <v>0.15</v>
      </c>
      <c r="G18" s="95">
        <v>0.16</v>
      </c>
      <c r="H18" s="100">
        <f>AVERAGE(G22:G25)</f>
        <v>5.8180910549892849E-2</v>
      </c>
      <c r="M18" s="89"/>
      <c r="R18" s="99" t="s">
        <v>41</v>
      </c>
      <c r="S18" s="99" t="s">
        <v>136</v>
      </c>
      <c r="T18" s="99" t="s">
        <v>135</v>
      </c>
      <c r="U18" s="55"/>
    </row>
    <row r="19" spans="1:30" ht="15" customHeight="1">
      <c r="A19" s="89"/>
      <c r="B19" s="98" t="s">
        <v>134</v>
      </c>
      <c r="C19" s="97">
        <v>0.05</v>
      </c>
      <c r="D19" s="97">
        <v>0.05</v>
      </c>
      <c r="E19" s="97">
        <f>(E14/E30)-1</f>
        <v>-0.59042393848211305</v>
      </c>
      <c r="F19" s="96">
        <v>-0.59</v>
      </c>
      <c r="G19" s="95">
        <v>0.16</v>
      </c>
      <c r="H19" s="94">
        <v>0.02</v>
      </c>
      <c r="I19" s="90"/>
      <c r="J19" s="89"/>
      <c r="K19" s="89"/>
      <c r="L19" s="89"/>
      <c r="M19" s="89"/>
      <c r="R19" s="93">
        <f>B4/R17</f>
        <v>3.2549019607843137</v>
      </c>
      <c r="S19" s="92">
        <f ca="1">B3/S17</f>
        <v>3.3924528301886792</v>
      </c>
      <c r="T19" s="91">
        <f ca="1">B3/T17</f>
        <v>3.0392156862745101</v>
      </c>
      <c r="U19" s="55"/>
    </row>
    <row r="20" spans="1:30" ht="15" customHeight="1">
      <c r="A20" s="89"/>
      <c r="B20" s="90"/>
      <c r="C20" s="89"/>
      <c r="D20" s="89"/>
      <c r="E20" s="89"/>
      <c r="F20" s="89"/>
      <c r="G20" s="89"/>
      <c r="H20" s="89"/>
      <c r="I20" s="90"/>
      <c r="J20" s="89"/>
      <c r="K20" s="89"/>
      <c r="L20" s="89"/>
      <c r="M20" s="89"/>
      <c r="T20" s="50"/>
      <c r="Y20" s="50"/>
    </row>
    <row r="21" spans="1:30" ht="15" customHeight="1">
      <c r="A21" s="75" t="s">
        <v>60</v>
      </c>
      <c r="B21" s="88" t="s">
        <v>133</v>
      </c>
      <c r="C21" s="74" t="s">
        <v>115</v>
      </c>
      <c r="D21" s="74" t="s">
        <v>114</v>
      </c>
      <c r="E21" s="74" t="s">
        <v>100</v>
      </c>
      <c r="F21" s="74" t="s">
        <v>98</v>
      </c>
      <c r="G21" s="74" t="s">
        <v>96</v>
      </c>
      <c r="H21" s="74" t="s">
        <v>8</v>
      </c>
      <c r="I21" s="74" t="s">
        <v>113</v>
      </c>
      <c r="J21" s="74" t="s">
        <v>112</v>
      </c>
      <c r="K21" s="74" t="s">
        <v>111</v>
      </c>
      <c r="L21" s="74" t="s">
        <v>110</v>
      </c>
      <c r="M21" s="74" t="s">
        <v>109</v>
      </c>
      <c r="N21" s="74" t="s">
        <v>108</v>
      </c>
      <c r="O21" s="74" t="s">
        <v>132</v>
      </c>
      <c r="Q21" s="68" t="s">
        <v>129</v>
      </c>
      <c r="R21" s="68" t="s">
        <v>90</v>
      </c>
      <c r="S21" s="68" t="s">
        <v>89</v>
      </c>
      <c r="T21" s="68" t="s">
        <v>60</v>
      </c>
      <c r="V21" s="68" t="s">
        <v>129</v>
      </c>
      <c r="W21" s="68" t="s">
        <v>131</v>
      </c>
      <c r="X21" s="68" t="s">
        <v>130</v>
      </c>
      <c r="Y21" s="68" t="s">
        <v>60</v>
      </c>
      <c r="AA21" s="68" t="s">
        <v>129</v>
      </c>
      <c r="AB21" s="68" t="s">
        <v>128</v>
      </c>
      <c r="AC21" s="68" t="s">
        <v>127</v>
      </c>
      <c r="AD21" s="68" t="s">
        <v>60</v>
      </c>
    </row>
    <row r="22" spans="1:30" ht="15" customHeight="1">
      <c r="B22" s="87" t="s">
        <v>126</v>
      </c>
      <c r="C22" s="83">
        <f>(C30/C45)^(1/15)-1</f>
        <v>0.14015824688081846</v>
      </c>
      <c r="D22" s="83">
        <f>(D30/D45)^(1/15)-1</f>
        <v>0.1676565482752459</v>
      </c>
      <c r="E22" s="83">
        <f>(E30/E45)^(1/15)-1</f>
        <v>0.26158487989230395</v>
      </c>
      <c r="F22" s="83">
        <f>((10*F30)/F45)^(1/15)-1</f>
        <v>0.24938974614346843</v>
      </c>
      <c r="G22" s="86">
        <f>MEDIAN(G30:G45)</f>
        <v>5.3189838341280576E-2</v>
      </c>
      <c r="H22" s="83">
        <f>(H30/H45)^(1/15)-1</f>
        <v>3.3151194586623633E-2</v>
      </c>
      <c r="I22" s="83">
        <f>(I30/I45)^(1/15)-1</f>
        <v>0.17079008689457087</v>
      </c>
      <c r="J22" s="83">
        <f>(J30/J45)^(1/15)-1</f>
        <v>0.11575680027310997</v>
      </c>
      <c r="K22" s="83">
        <f>((10*K30)/K45)^(1/15)-1</f>
        <v>0.14315159647279052</v>
      </c>
      <c r="L22" s="83">
        <f>((10*L30)/L45)^(1/15)-1</f>
        <v>0.28281843707536303</v>
      </c>
      <c r="M22" s="85">
        <f>MEDIAN(M30:M45)</f>
        <v>17.679801218065602</v>
      </c>
      <c r="N22" s="85">
        <f>MEDIAN(N30:N45)</f>
        <v>8.7160685970298921</v>
      </c>
      <c r="O22" s="80">
        <f>MEDIAN(O30:O45)</f>
        <v>0.94073200120494027</v>
      </c>
      <c r="Q22" s="65" t="s">
        <v>125</v>
      </c>
      <c r="R22" s="64">
        <v>6.35</v>
      </c>
      <c r="S22" s="64">
        <v>6.43</v>
      </c>
      <c r="T22" s="71">
        <f>(R22/S22)^(1/1)-1</f>
        <v>-1.244167962674958E-2</v>
      </c>
      <c r="V22" s="65" t="s">
        <v>114</v>
      </c>
      <c r="W22" s="64">
        <v>46269</v>
      </c>
      <c r="X22" s="64">
        <v>46962</v>
      </c>
      <c r="Y22" s="63">
        <f>(W22/X22)^(1/1)-1</f>
        <v>-1.475661172863163E-2</v>
      </c>
      <c r="AA22" s="65" t="s">
        <v>114</v>
      </c>
      <c r="AB22" s="64">
        <v>175006</v>
      </c>
      <c r="AC22" s="64">
        <v>165960</v>
      </c>
      <c r="AD22" s="71">
        <f>(AB22/AC22)^(1/1)-1</f>
        <v>5.4507110147023363E-2</v>
      </c>
    </row>
    <row r="23" spans="1:30" ht="15" customHeight="1">
      <c r="B23" s="87" t="s">
        <v>124</v>
      </c>
      <c r="C23" s="83">
        <f>(C30/C40)^(1/10)-1</f>
        <v>8.1656899170832409E-2</v>
      </c>
      <c r="D23" s="83">
        <f>(D30/D40)^(1/10)-1</f>
        <v>0.12349030518367599</v>
      </c>
      <c r="E23" s="83">
        <f>(E30/E40)^(1/10)-1</f>
        <v>0.34829439060835488</v>
      </c>
      <c r="F23" s="83">
        <f>((10*F30)/F40)^(1/10)-1</f>
        <v>0.35552816080547633</v>
      </c>
      <c r="G23" s="86">
        <f>MEDIAN(G30:G40)</f>
        <v>5.5107148883514256E-2</v>
      </c>
      <c r="H23" s="83">
        <f>(H30/H40)^(1/10)-1</f>
        <v>2.3534106423956258E-2</v>
      </c>
      <c r="I23" s="83">
        <f>(I30/I40)^(1/10)-1</f>
        <v>0.1399853065734471</v>
      </c>
      <c r="J23" s="83">
        <f>(J30/J40)^(1/10)-1</f>
        <v>9.426930026570024E-2</v>
      </c>
      <c r="K23" s="83">
        <f>((10*K30)/K40)^(1/10)-1</f>
        <v>0.23933191976131396</v>
      </c>
      <c r="L23" s="83">
        <f>((10*L30)/L40)^(1/10)-1</f>
        <v>0.31043816764201693</v>
      </c>
      <c r="M23" s="85">
        <f>MEDIAN(M30:M40)</f>
        <v>14.40291704649043</v>
      </c>
      <c r="N23" s="85">
        <f>MEDIAN(N30:N40)</f>
        <v>8.1048867699642422</v>
      </c>
      <c r="O23" s="80">
        <f>MEDIAN(O30:O40)</f>
        <v>1.3205537806176784</v>
      </c>
      <c r="Q23" s="65" t="s">
        <v>114</v>
      </c>
      <c r="R23" s="64">
        <v>42943</v>
      </c>
      <c r="S23" s="64">
        <v>42213</v>
      </c>
      <c r="T23" s="71">
        <f>(R23/S23)^(1/1)-1</f>
        <v>1.7293250894274248E-2</v>
      </c>
      <c r="V23" s="65" t="s">
        <v>91</v>
      </c>
      <c r="W23" s="64">
        <v>44401</v>
      </c>
      <c r="X23" s="64">
        <v>43170</v>
      </c>
      <c r="Y23" s="63">
        <f>(W23/X23)^(1/1)-1</f>
        <v>2.851517257354641E-2</v>
      </c>
      <c r="AA23" s="65" t="s">
        <v>91</v>
      </c>
      <c r="AB23" s="64">
        <v>163047</v>
      </c>
      <c r="AC23" s="64">
        <v>161789</v>
      </c>
      <c r="AD23" s="63">
        <f>(AB23/AC23)^(1/1)-1</f>
        <v>7.7755595250603715E-3</v>
      </c>
    </row>
    <row r="24" spans="1:30" ht="15" customHeight="1">
      <c r="B24" s="87" t="s">
        <v>123</v>
      </c>
      <c r="C24" s="83">
        <f>(C30/C35)^(1/5)-1</f>
        <v>9.836300783242713E-2</v>
      </c>
      <c r="D24" s="83">
        <f>(D30/D35)^(1/5)-1</f>
        <v>0.162306993268033</v>
      </c>
      <c r="E24" s="83">
        <f>(E30/E35)^(1/5)-1</f>
        <v>3.5852160439033609E-2</v>
      </c>
      <c r="F24" s="83">
        <f>(F30/F35)^(1/5)-1</f>
        <v>2.724383051521384E-2</v>
      </c>
      <c r="G24" s="86">
        <f>MEDIAN(G30:G35)</f>
        <v>7.3154127175729666E-2</v>
      </c>
      <c r="H24" s="83">
        <f>(H30/H35)^(1/5)-1</f>
        <v>4.8927248055996575E-2</v>
      </c>
      <c r="I24" s="83">
        <f>(I30/I35)^(1/5)-1</f>
        <v>0.17532796999620071</v>
      </c>
      <c r="J24" s="83">
        <f>(J30/J35)^(1/5)-1</f>
        <v>0.10375344819544052</v>
      </c>
      <c r="K24" s="83">
        <f>(K30/K35)^(1/5)-1</f>
        <v>0.15952210410216439</v>
      </c>
      <c r="L24" s="83">
        <f>(L30/L35)^(1/5)-1</f>
        <v>0.21303722903759459</v>
      </c>
      <c r="M24" s="85">
        <f>MEDIAN(M30:M35)</f>
        <v>16.528037784270246</v>
      </c>
      <c r="N24" s="85">
        <f>MEDIAN(N30:N35)</f>
        <v>8.0971396393101038</v>
      </c>
      <c r="O24" s="80">
        <f>MEDIAN(O30:O35)</f>
        <v>1.9353140394088668</v>
      </c>
      <c r="Q24" s="65" t="s">
        <v>91</v>
      </c>
      <c r="R24" s="64">
        <v>41715</v>
      </c>
      <c r="S24" s="64">
        <v>39030</v>
      </c>
      <c r="T24" s="63">
        <f>(R24/S24)^(1/1)-1</f>
        <v>6.8793235972328892E-2</v>
      </c>
      <c r="V24" s="65" t="s">
        <v>23</v>
      </c>
      <c r="W24" s="64">
        <v>2062</v>
      </c>
      <c r="X24" s="64">
        <v>2139</v>
      </c>
      <c r="Y24" s="63">
        <f>(W24/X24)^(1/1)-1</f>
        <v>-3.5998129967274473E-2</v>
      </c>
      <c r="AA24" s="65" t="s">
        <v>23</v>
      </c>
      <c r="AB24" s="64">
        <v>8105</v>
      </c>
      <c r="AC24" s="64">
        <v>6902</v>
      </c>
      <c r="AD24" s="63">
        <f>(AB24/AC24)^(1/1)-1</f>
        <v>0.17429730512894803</v>
      </c>
    </row>
    <row r="25" spans="1:30" ht="15" customHeight="1">
      <c r="B25" s="51" t="s">
        <v>122</v>
      </c>
      <c r="C25" s="83">
        <f>(C30/C31)-1</f>
        <v>8.5877085877085868E-2</v>
      </c>
      <c r="D25" s="83">
        <f>(D30/D31)-1</f>
        <v>5.4507110147023363E-2</v>
      </c>
      <c r="E25" s="83">
        <f>(E30/E31)-1</f>
        <v>1.1679149553032135</v>
      </c>
      <c r="F25" s="83">
        <f>(F30/F31)-1</f>
        <v>1.1066666666666669</v>
      </c>
      <c r="G25" s="84">
        <f>G30</f>
        <v>5.1272527799046889E-2</v>
      </c>
      <c r="H25" s="83">
        <f>(H30/H31)-1</f>
        <v>1.3289036544850585E-2</v>
      </c>
      <c r="I25" s="83">
        <f>(I30/I31)-1</f>
        <v>0.18304431599229276</v>
      </c>
      <c r="J25" s="83">
        <f>(J30/J31)-1</f>
        <v>8.5398645392049888E-2</v>
      </c>
      <c r="K25" s="83">
        <f>(K30/K31)-1</f>
        <v>0.13291139240506333</v>
      </c>
      <c r="L25" s="83">
        <f>(L30/L31)-1</f>
        <v>0.29807692307692313</v>
      </c>
      <c r="M25" s="82">
        <f>M30</f>
        <v>24.628508530544853</v>
      </c>
      <c r="N25" s="82">
        <f>N30</f>
        <v>18.57457347275729</v>
      </c>
      <c r="O25" s="55">
        <f>O30</f>
        <v>2.6470588235294117</v>
      </c>
      <c r="Q25" s="65" t="s">
        <v>121</v>
      </c>
      <c r="R25" s="64">
        <f>R23-(R38+R39+R40+R41+R44+R45+R46)</f>
        <v>5510</v>
      </c>
      <c r="S25" s="64">
        <f>S23-(S38+S39+S40+S41+S44+S45+S46)</f>
        <v>7046</v>
      </c>
      <c r="T25" s="63">
        <f>(R25/S25)^(1/1)-1</f>
        <v>-0.21799602611410729</v>
      </c>
      <c r="V25" s="65" t="s">
        <v>100</v>
      </c>
      <c r="W25" s="64">
        <v>1322</v>
      </c>
      <c r="X25" s="64">
        <v>3741</v>
      </c>
      <c r="Y25" s="63">
        <f>(W25/X25)^(1/1)-1</f>
        <v>-0.6466185511895215</v>
      </c>
      <c r="AA25" s="65" t="s">
        <v>100</v>
      </c>
      <c r="AB25" s="64">
        <v>8973</v>
      </c>
      <c r="AC25" s="64">
        <v>4139</v>
      </c>
      <c r="AD25" s="63">
        <f>(AB25/AC25)^(1/1)-1</f>
        <v>1.1679149553032135</v>
      </c>
    </row>
    <row r="26" spans="1:30" ht="15" customHeight="1">
      <c r="N26" s="81">
        <f>AVERAGE(M22:N25)</f>
        <v>14.591491632304082</v>
      </c>
      <c r="O26" s="80">
        <f>AVERAGE(O23:O25)</f>
        <v>1.9676422145186523</v>
      </c>
      <c r="Q26" s="65" t="s">
        <v>120</v>
      </c>
      <c r="R26" s="71">
        <f>R25/R23</f>
        <v>0.12830961972847729</v>
      </c>
      <c r="S26" s="71">
        <f>S25/S23</f>
        <v>0.16691540520692677</v>
      </c>
      <c r="T26" s="71">
        <f>R26-S26</f>
        <v>-3.8605785478449478E-2</v>
      </c>
      <c r="V26" s="65" t="s">
        <v>98</v>
      </c>
      <c r="W26" s="64">
        <v>5.33</v>
      </c>
      <c r="X26" s="64">
        <v>15.24</v>
      </c>
      <c r="Y26" s="63">
        <f>(W26/X26)^(1/1)-1</f>
        <v>-0.65026246719160108</v>
      </c>
      <c r="AA26" s="65" t="s">
        <v>98</v>
      </c>
      <c r="AB26" s="64">
        <v>36.340000000000003</v>
      </c>
      <c r="AC26" s="64">
        <v>17.25</v>
      </c>
      <c r="AD26" s="63">
        <f>(AB26/AC26)^(1/1)-1</f>
        <v>1.1066666666666669</v>
      </c>
    </row>
    <row r="27" spans="1:30" ht="15" customHeight="1">
      <c r="B27" s="79" t="s">
        <v>119</v>
      </c>
      <c r="C27" s="78">
        <f>C29/C49</f>
        <v>12.666666666666666</v>
      </c>
      <c r="D27" s="78">
        <f>D29/D49</f>
        <v>26.235753933064011</v>
      </c>
      <c r="E27" s="78">
        <f>E29/E49</f>
        <v>8.5184631828159656</v>
      </c>
      <c r="F27" s="76">
        <f>17*10</f>
        <v>170</v>
      </c>
      <c r="G27" s="77"/>
      <c r="H27" s="77"/>
      <c r="J27" s="77"/>
      <c r="K27" s="76">
        <f>K31*10</f>
        <v>7900</v>
      </c>
      <c r="L27" s="76">
        <f>L31*10</f>
        <v>5200</v>
      </c>
      <c r="Q27" s="65" t="s">
        <v>118</v>
      </c>
      <c r="R27" s="64">
        <f>R25-R42</f>
        <v>3301</v>
      </c>
      <c r="S27" s="64">
        <f>S25-S42</f>
        <v>5146</v>
      </c>
      <c r="T27" s="63">
        <f>(R27/S27)^(1/1)-1</f>
        <v>-0.35853089778468716</v>
      </c>
      <c r="V27" s="65" t="s">
        <v>96</v>
      </c>
      <c r="W27" s="71">
        <f>W25/W22</f>
        <v>2.8572046078367806E-2</v>
      </c>
      <c r="X27" s="71">
        <f>X25/X22</f>
        <v>7.9660150760189091E-2</v>
      </c>
      <c r="Y27" s="71">
        <f>W27-X27</f>
        <v>-5.1088104681821289E-2</v>
      </c>
      <c r="AA27" s="65" t="s">
        <v>96</v>
      </c>
      <c r="AB27" s="71">
        <f>AB25/AB22</f>
        <v>5.1272527799046889E-2</v>
      </c>
      <c r="AC27" s="71">
        <f>AC25/AC22</f>
        <v>2.4939744516751024E-2</v>
      </c>
      <c r="AD27" s="71">
        <f>AB27-AC27</f>
        <v>2.6332783282295866E-2</v>
      </c>
    </row>
    <row r="28" spans="1:30" ht="15" customHeight="1">
      <c r="A28" s="75" t="s">
        <v>117</v>
      </c>
      <c r="B28" s="75" t="s">
        <v>116</v>
      </c>
      <c r="C28" s="74" t="s">
        <v>115</v>
      </c>
      <c r="D28" s="74" t="s">
        <v>114</v>
      </c>
      <c r="E28" s="74" t="s">
        <v>100</v>
      </c>
      <c r="F28" s="74" t="s">
        <v>98</v>
      </c>
      <c r="G28" s="74" t="s">
        <v>96</v>
      </c>
      <c r="H28" s="74" t="s">
        <v>8</v>
      </c>
      <c r="I28" s="74" t="s">
        <v>113</v>
      </c>
      <c r="J28" s="74" t="s">
        <v>112</v>
      </c>
      <c r="K28" s="74" t="s">
        <v>111</v>
      </c>
      <c r="L28" s="74" t="s">
        <v>110</v>
      </c>
      <c r="M28" s="74" t="s">
        <v>109</v>
      </c>
      <c r="N28" s="74" t="s">
        <v>108</v>
      </c>
      <c r="O28" s="73" t="s">
        <v>41</v>
      </c>
      <c r="Q28" s="65" t="s">
        <v>107</v>
      </c>
      <c r="R28" s="71">
        <f>R27/R23</f>
        <v>7.6869338425354539E-2</v>
      </c>
      <c r="S28" s="71">
        <f>S27/S23</f>
        <v>0.1219055741122403</v>
      </c>
      <c r="T28" s="71">
        <f>R28-S28</f>
        <v>-4.5036235686885764E-2</v>
      </c>
      <c r="V28" s="65" t="s">
        <v>30</v>
      </c>
      <c r="W28" s="70">
        <f>(W22-W23+W24)/W24</f>
        <v>1.9059165858389913</v>
      </c>
      <c r="X28" s="70">
        <f>(X22-X23+X24)/X24</f>
        <v>2.7727910238429172</v>
      </c>
      <c r="Y28" s="69">
        <f>W28-X28</f>
        <v>-0.86687443800392594</v>
      </c>
      <c r="AA28" s="65" t="s">
        <v>30</v>
      </c>
      <c r="AB28" s="70">
        <f>(AB22-AB23+AB24)/AB24</f>
        <v>2.47550894509562</v>
      </c>
      <c r="AC28" s="70">
        <f>(AC22-AC23+AC24)/AC24</f>
        <v>1.6043175891046073</v>
      </c>
      <c r="AD28" s="69">
        <f>AB28-AC28</f>
        <v>0.87119135599101272</v>
      </c>
    </row>
    <row r="29" spans="1:30" ht="14.4">
      <c r="B29" s="56" t="s">
        <v>106</v>
      </c>
      <c r="C29" s="55">
        <f>C30+6.35-6.43</f>
        <v>26.6</v>
      </c>
      <c r="D29" s="53">
        <f>D30+R23-S23</f>
        <v>175736</v>
      </c>
      <c r="E29" s="53">
        <f>E30+R32-S32</f>
        <v>7412</v>
      </c>
      <c r="F29" s="53">
        <v>30</v>
      </c>
      <c r="G29" s="72">
        <f>E29/D29</f>
        <v>4.2176901716210677E-2</v>
      </c>
      <c r="H29" s="7">
        <v>305</v>
      </c>
      <c r="I29" s="53">
        <v>80445</v>
      </c>
      <c r="J29" s="53">
        <v>85575</v>
      </c>
      <c r="K29" s="62">
        <v>949</v>
      </c>
      <c r="L29" s="62">
        <v>824</v>
      </c>
      <c r="M29" s="53">
        <f>K29/F29</f>
        <v>31.633333333333333</v>
      </c>
      <c r="N29" s="61">
        <f>L29/F29</f>
        <v>27.466666666666665</v>
      </c>
      <c r="O29" s="55">
        <f>887/265</f>
        <v>3.3471698113207546</v>
      </c>
      <c r="Q29" s="65" t="s">
        <v>23</v>
      </c>
      <c r="R29" s="64">
        <v>2073</v>
      </c>
      <c r="S29" s="64">
        <v>1963</v>
      </c>
      <c r="T29" s="63">
        <f>(R29/S29)^(1/1)-1</f>
        <v>5.6036678553234909E-2</v>
      </c>
    </row>
    <row r="30" spans="1:30" ht="14.4">
      <c r="B30" s="56" t="s">
        <v>105</v>
      </c>
      <c r="C30" s="55">
        <v>26.68</v>
      </c>
      <c r="D30" s="53">
        <v>175006</v>
      </c>
      <c r="E30" s="53">
        <v>8973</v>
      </c>
      <c r="F30" s="53">
        <v>36.340000000000003</v>
      </c>
      <c r="G30" s="72">
        <f>E30/D30</f>
        <v>5.1272527799046889E-2</v>
      </c>
      <c r="H30" s="7">
        <v>305</v>
      </c>
      <c r="I30" s="53">
        <v>77364</v>
      </c>
      <c r="J30" s="53">
        <v>85575</v>
      </c>
      <c r="K30" s="62">
        <v>895</v>
      </c>
      <c r="L30" s="62">
        <v>675</v>
      </c>
      <c r="M30" s="53">
        <f>K30/F30</f>
        <v>24.628508530544853</v>
      </c>
      <c r="N30" s="61">
        <f>L30/F30</f>
        <v>18.57457347275729</v>
      </c>
      <c r="O30" s="55">
        <f>675/255</f>
        <v>2.6470588235294117</v>
      </c>
      <c r="Q30" s="65" t="s">
        <v>104</v>
      </c>
      <c r="R30" s="64">
        <f>R27-R29</f>
        <v>1228</v>
      </c>
      <c r="S30" s="64">
        <f>S27-S29</f>
        <v>3183</v>
      </c>
      <c r="T30" s="63">
        <f>(R30/S30)^(1/1)-1</f>
        <v>-0.61420043983663208</v>
      </c>
    </row>
    <row r="31" spans="1:30" ht="14.4">
      <c r="B31" s="56" t="s">
        <v>103</v>
      </c>
      <c r="C31" s="55">
        <v>24.57</v>
      </c>
      <c r="D31" s="53">
        <v>165960</v>
      </c>
      <c r="E31" s="53">
        <v>4139</v>
      </c>
      <c r="F31" s="53">
        <v>17.25</v>
      </c>
      <c r="G31" s="72">
        <f>E31/D31</f>
        <v>2.4939744516751024E-2</v>
      </c>
      <c r="H31" s="7">
        <v>301</v>
      </c>
      <c r="I31" s="53">
        <v>65394</v>
      </c>
      <c r="J31" s="53">
        <f>61966+16876</f>
        <v>78842</v>
      </c>
      <c r="K31" s="62">
        <v>790</v>
      </c>
      <c r="L31" s="62">
        <v>520</v>
      </c>
      <c r="M31" s="53">
        <f>K31/F31</f>
        <v>45.79710144927536</v>
      </c>
      <c r="N31" s="61">
        <f>L31/F31</f>
        <v>30.144927536231883</v>
      </c>
      <c r="O31" s="55">
        <f>520/218</f>
        <v>2.3853211009174311</v>
      </c>
      <c r="Q31" s="65" t="s">
        <v>102</v>
      </c>
      <c r="R31" s="71">
        <f>R30/R23</f>
        <v>2.8596045921337587E-2</v>
      </c>
      <c r="S31" s="71">
        <f>S30/S23</f>
        <v>7.5403311775993173E-2</v>
      </c>
      <c r="T31" s="71">
        <f>R31-S31</f>
        <v>-4.6807265854655583E-2</v>
      </c>
    </row>
    <row r="32" spans="1:30" ht="14.4">
      <c r="B32" s="56" t="s">
        <v>101</v>
      </c>
      <c r="C32" s="55">
        <v>19.510000000000002</v>
      </c>
      <c r="D32" s="53">
        <v>146371</v>
      </c>
      <c r="E32" s="53">
        <v>20938</v>
      </c>
      <c r="F32" s="53">
        <v>85.96</v>
      </c>
      <c r="G32" s="54">
        <f>E32/D32</f>
        <v>0.14304746158733628</v>
      </c>
      <c r="H32" s="7">
        <v>301</v>
      </c>
      <c r="I32" s="53">
        <v>66996</v>
      </c>
      <c r="J32" s="53">
        <f>57929+12046</f>
        <v>69975</v>
      </c>
      <c r="K32" s="62">
        <v>777</v>
      </c>
      <c r="L32" s="62">
        <v>470</v>
      </c>
      <c r="M32" s="53">
        <f>K32/F32</f>
        <v>9.0390879478827362</v>
      </c>
      <c r="N32" s="61">
        <f>L32/F32</f>
        <v>5.467659376454165</v>
      </c>
      <c r="O32" s="55">
        <f>470/224</f>
        <v>2.0982142857142856</v>
      </c>
      <c r="Q32" s="65" t="s">
        <v>100</v>
      </c>
      <c r="R32" s="64">
        <v>867</v>
      </c>
      <c r="S32" s="64">
        <v>2428</v>
      </c>
      <c r="T32" s="63">
        <f>(R32/S32)^(1/1)-1</f>
        <v>-0.64291598023064256</v>
      </c>
    </row>
    <row r="33" spans="1:21" ht="14.4">
      <c r="B33" s="56" t="s">
        <v>99</v>
      </c>
      <c r="C33" s="55">
        <v>15.15</v>
      </c>
      <c r="D33" s="53">
        <v>78059</v>
      </c>
      <c r="E33" s="53">
        <v>7873</v>
      </c>
      <c r="F33" s="53">
        <v>32.909999999999997</v>
      </c>
      <c r="G33" s="54">
        <f>E33/D33</f>
        <v>0.1008596061953138</v>
      </c>
      <c r="H33" s="7">
        <v>241</v>
      </c>
      <c r="I33" s="53">
        <v>46462</v>
      </c>
      <c r="J33" s="53">
        <v>65436</v>
      </c>
      <c r="K33" s="62">
        <v>474</v>
      </c>
      <c r="L33" s="62">
        <v>133</v>
      </c>
      <c r="M33" s="53">
        <f>K33/F33</f>
        <v>14.40291704649043</v>
      </c>
      <c r="N33" s="61">
        <f>L33/F33</f>
        <v>4.0413248252810696</v>
      </c>
      <c r="O33" s="55">
        <f>133/194</f>
        <v>0.68556701030927836</v>
      </c>
      <c r="Q33" s="65" t="s">
        <v>98</v>
      </c>
      <c r="R33" s="64">
        <v>3.47</v>
      </c>
      <c r="S33" s="64">
        <v>9.7200000000000006</v>
      </c>
      <c r="T33" s="63">
        <f>(R33/S33)^(1/1)-1</f>
        <v>-0.64300411522633749</v>
      </c>
    </row>
    <row r="34" spans="1:21" ht="14.4">
      <c r="B34" s="56" t="s">
        <v>97</v>
      </c>
      <c r="C34" s="55">
        <v>16.059999999999999</v>
      </c>
      <c r="D34" s="53">
        <v>71116</v>
      </c>
      <c r="E34" s="53">
        <v>3919</v>
      </c>
      <c r="F34" s="53">
        <v>16.78</v>
      </c>
      <c r="G34" s="54">
        <f>E34/D34</f>
        <v>5.5107148883514256E-2</v>
      </c>
      <c r="H34" s="7">
        <v>240.2</v>
      </c>
      <c r="I34" s="53">
        <v>36298</v>
      </c>
      <c r="J34" s="53">
        <v>65477</v>
      </c>
      <c r="K34" s="62">
        <v>313</v>
      </c>
      <c r="L34" s="62">
        <v>136</v>
      </c>
      <c r="M34" s="53">
        <f>K34/F34</f>
        <v>18.65315852205006</v>
      </c>
      <c r="N34" s="61">
        <f>L34/F34</f>
        <v>8.1048867699642422</v>
      </c>
      <c r="O34" s="55">
        <f>136/152</f>
        <v>0.89473684210526316</v>
      </c>
      <c r="Q34" s="65" t="s">
        <v>96</v>
      </c>
      <c r="R34" s="71">
        <f>R32/R23</f>
        <v>2.0189553594299421E-2</v>
      </c>
      <c r="S34" s="71">
        <f>S32/S23</f>
        <v>5.7517826262051971E-2</v>
      </c>
      <c r="T34" s="71">
        <f>R34-S34</f>
        <v>-3.732827266775255E-2</v>
      </c>
    </row>
    <row r="35" spans="1:21" ht="14.4">
      <c r="B35" s="56" t="s">
        <v>95</v>
      </c>
      <c r="C35" s="55">
        <v>16.690000000000001</v>
      </c>
      <c r="D35" s="53">
        <v>82499</v>
      </c>
      <c r="E35" s="53">
        <v>7524</v>
      </c>
      <c r="F35" s="53">
        <v>31.77</v>
      </c>
      <c r="G35" s="54">
        <f>E35/D35</f>
        <v>9.1201105467945062E-2</v>
      </c>
      <c r="H35" s="7">
        <v>240.2</v>
      </c>
      <c r="I35" s="53">
        <v>34494</v>
      </c>
      <c r="J35" s="53">
        <v>52238</v>
      </c>
      <c r="K35" s="62">
        <v>427</v>
      </c>
      <c r="L35" s="62">
        <v>257</v>
      </c>
      <c r="M35" s="53">
        <f>K35/F35</f>
        <v>13.440352533836954</v>
      </c>
      <c r="N35" s="61">
        <f>L35/F35</f>
        <v>8.0893925086559655</v>
      </c>
      <c r="O35" s="55">
        <f>257/145</f>
        <v>1.7724137931034483</v>
      </c>
      <c r="Q35" s="65" t="s">
        <v>30</v>
      </c>
      <c r="R35" s="70">
        <f>(R23-R24+R29)/R29</f>
        <v>1.5923781958514232</v>
      </c>
      <c r="S35" s="70">
        <f>(S23-S24+S29)/S29</f>
        <v>2.6214977075904229</v>
      </c>
      <c r="T35" s="69">
        <f>R35-S35</f>
        <v>-1.0291195117389997</v>
      </c>
    </row>
    <row r="36" spans="1:21" ht="14.4">
      <c r="B36" s="56" t="s">
        <v>94</v>
      </c>
      <c r="C36" s="55">
        <v>16.27</v>
      </c>
      <c r="D36" s="53">
        <v>71349</v>
      </c>
      <c r="E36" s="53">
        <v>6113</v>
      </c>
      <c r="F36" s="53">
        <v>25.85</v>
      </c>
      <c r="G36" s="54">
        <f>E36/D36</f>
        <v>8.5677444673366132E-2</v>
      </c>
      <c r="H36" s="7">
        <v>241.7</v>
      </c>
      <c r="I36" s="53">
        <v>27696</v>
      </c>
      <c r="J36" s="53">
        <v>39393</v>
      </c>
      <c r="K36" s="62">
        <v>321</v>
      </c>
      <c r="L36" s="62">
        <v>184</v>
      </c>
      <c r="M36" s="53">
        <f>K36/F36</f>
        <v>12.41779497098646</v>
      </c>
      <c r="N36" s="61">
        <f>L36/F36</f>
        <v>7.1179883945841391</v>
      </c>
      <c r="O36" s="55">
        <f>184/116</f>
        <v>1.5862068965517242</v>
      </c>
    </row>
    <row r="37" spans="1:21" ht="14.4">
      <c r="A37" s="48" t="s">
        <v>93</v>
      </c>
      <c r="B37" s="56" t="s">
        <v>92</v>
      </c>
      <c r="C37" s="55">
        <v>15.8</v>
      </c>
      <c r="D37" s="53">
        <v>59560</v>
      </c>
      <c r="E37" s="53">
        <v>3467.24</v>
      </c>
      <c r="F37" s="53">
        <v>14.66</v>
      </c>
      <c r="G37" s="54">
        <f>E37/D37</f>
        <v>5.8214237743451976E-2</v>
      </c>
      <c r="H37" s="7">
        <v>240.6</v>
      </c>
      <c r="I37" s="53">
        <v>22346.3</v>
      </c>
      <c r="J37" s="53">
        <v>43334</v>
      </c>
      <c r="K37" s="62">
        <v>200</v>
      </c>
      <c r="L37" s="62">
        <v>124</v>
      </c>
      <c r="M37" s="53">
        <f>K37/F37</f>
        <v>13.642564802182811</v>
      </c>
      <c r="N37" s="61">
        <f>L37/F37</f>
        <v>8.4583901773533423</v>
      </c>
      <c r="O37" s="55">
        <f>1240/939</f>
        <v>1.3205537806176784</v>
      </c>
      <c r="Q37" s="68" t="s">
        <v>91</v>
      </c>
      <c r="R37" s="68" t="s">
        <v>90</v>
      </c>
      <c r="S37" s="68" t="s">
        <v>89</v>
      </c>
      <c r="T37" s="68" t="s">
        <v>88</v>
      </c>
      <c r="U37" s="68" t="s">
        <v>60</v>
      </c>
    </row>
    <row r="38" spans="1:21" ht="14.4">
      <c r="B38" s="56" t="s">
        <v>87</v>
      </c>
      <c r="C38" s="55">
        <v>12.56</v>
      </c>
      <c r="D38" s="53">
        <v>45643</v>
      </c>
      <c r="E38" s="53">
        <v>-742</v>
      </c>
      <c r="F38" s="53">
        <v>-32</v>
      </c>
      <c r="G38" s="54">
        <f>E38/D38</f>
        <v>-1.625660013583682E-2</v>
      </c>
      <c r="H38" s="7">
        <v>240.3</v>
      </c>
      <c r="I38" s="53">
        <v>20576.71</v>
      </c>
      <c r="J38" s="53">
        <v>39462</v>
      </c>
      <c r="K38" s="62">
        <v>1288</v>
      </c>
      <c r="L38" s="62">
        <v>801</v>
      </c>
      <c r="M38" s="53">
        <f>K38/F38</f>
        <v>-40.25</v>
      </c>
      <c r="N38" s="61">
        <f>L38/F38</f>
        <v>-25.03125</v>
      </c>
      <c r="O38" s="55">
        <f>801/866</f>
        <v>0.92494226327944573</v>
      </c>
      <c r="Q38" s="65" t="s">
        <v>86</v>
      </c>
      <c r="R38" s="64">
        <v>21463</v>
      </c>
      <c r="S38" s="64">
        <v>23281</v>
      </c>
      <c r="T38" s="63">
        <f>R38/$R$48</f>
        <v>0.51451516241160256</v>
      </c>
      <c r="U38" s="63">
        <f>(R38/S38)^(1/1)-1</f>
        <v>-7.808942914823247E-2</v>
      </c>
    </row>
    <row r="39" spans="1:21" ht="14.4">
      <c r="B39" s="56" t="s">
        <v>85</v>
      </c>
      <c r="C39" s="55">
        <v>12.63</v>
      </c>
      <c r="D39" s="53">
        <v>56572</v>
      </c>
      <c r="E39" s="53">
        <v>1796.57</v>
      </c>
      <c r="F39" s="53">
        <v>72.930000000000007</v>
      </c>
      <c r="G39" s="54">
        <f>E39/D39</f>
        <v>3.175722972495227E-2</v>
      </c>
      <c r="H39" s="7">
        <v>241.7</v>
      </c>
      <c r="I39" s="53">
        <v>21986.89</v>
      </c>
      <c r="J39" s="53">
        <v>37990</v>
      </c>
      <c r="K39" s="62">
        <v>1365</v>
      </c>
      <c r="L39" s="62">
        <v>880</v>
      </c>
      <c r="M39" s="53">
        <f>K39/F39</f>
        <v>18.71657754010695</v>
      </c>
      <c r="N39" s="61">
        <f>L39/F39</f>
        <v>12.066365007541476</v>
      </c>
      <c r="O39" s="55">
        <f>880/920</f>
        <v>0.95652173913043481</v>
      </c>
      <c r="Q39" s="67" t="s">
        <v>84</v>
      </c>
      <c r="R39" s="67">
        <v>6449</v>
      </c>
      <c r="S39" s="67">
        <v>5933</v>
      </c>
      <c r="T39" s="63">
        <f>R39/$R$48</f>
        <v>0.15459666786527629</v>
      </c>
      <c r="U39" s="63">
        <f>(R39/S39)^(1/1)-1</f>
        <v>8.6971178156076245E-2</v>
      </c>
    </row>
    <row r="40" spans="1:21" ht="14.4">
      <c r="B40" s="56" t="s">
        <v>83</v>
      </c>
      <c r="C40" s="55">
        <v>12.17</v>
      </c>
      <c r="D40" s="53">
        <v>54621</v>
      </c>
      <c r="E40" s="53">
        <v>451.95</v>
      </c>
      <c r="F40" s="53">
        <v>17.350000000000001</v>
      </c>
      <c r="G40" s="54">
        <f>E40/D40</f>
        <v>8.2742901082001434E-3</v>
      </c>
      <c r="H40" s="7">
        <v>241.7</v>
      </c>
      <c r="I40" s="53">
        <v>20871.150000000001</v>
      </c>
      <c r="J40" s="53">
        <v>34762</v>
      </c>
      <c r="K40" s="62">
        <v>1047</v>
      </c>
      <c r="L40" s="62">
        <v>452</v>
      </c>
      <c r="M40" s="53">
        <f>K40/F40</f>
        <v>60.345821325648409</v>
      </c>
      <c r="N40" s="61">
        <f>L40/F40</f>
        <v>26.051873198847261</v>
      </c>
      <c r="O40" s="55">
        <f>452/874</f>
        <v>0.51716247139588101</v>
      </c>
      <c r="Q40" s="67" t="s">
        <v>82</v>
      </c>
      <c r="R40" s="67">
        <v>3906</v>
      </c>
      <c r="S40" s="67">
        <v>3781</v>
      </c>
      <c r="T40" s="63">
        <f>R40/$R$48</f>
        <v>9.3635382955771299E-2</v>
      </c>
      <c r="U40" s="63">
        <f>(R40/S40)^(1/1)-1</f>
        <v>3.3060037027241362E-2</v>
      </c>
    </row>
    <row r="41" spans="1:21" ht="14.4">
      <c r="B41" s="56" t="s">
        <v>81</v>
      </c>
      <c r="C41" s="55">
        <v>8.52</v>
      </c>
      <c r="D41" s="53">
        <v>41463</v>
      </c>
      <c r="E41" s="53">
        <v>963.11</v>
      </c>
      <c r="F41" s="53">
        <v>41.71</v>
      </c>
      <c r="G41" s="54">
        <f>E41/D41</f>
        <v>2.3228179340616936E-2</v>
      </c>
      <c r="H41" s="7">
        <v>241.7</v>
      </c>
      <c r="I41" s="53">
        <v>16780.55</v>
      </c>
      <c r="J41" s="53">
        <v>21346</v>
      </c>
      <c r="K41" s="62">
        <v>894</v>
      </c>
      <c r="L41" s="62">
        <v>566</v>
      </c>
      <c r="M41" s="53">
        <f>K41/F41</f>
        <v>21.433708942699592</v>
      </c>
      <c r="N41" s="61">
        <f>L41/F41</f>
        <v>13.569887317190123</v>
      </c>
      <c r="O41" s="55">
        <f>566/704</f>
        <v>0.80397727272727271</v>
      </c>
      <c r="Q41" s="65" t="s">
        <v>80</v>
      </c>
      <c r="R41" s="64">
        <v>3296</v>
      </c>
      <c r="S41" s="64">
        <v>2922</v>
      </c>
      <c r="T41" s="63">
        <f>R41/$R$48</f>
        <v>7.9012345679012344E-2</v>
      </c>
      <c r="U41" s="63">
        <f>(R41/S41)^(1/1)-1</f>
        <v>0.12799452429842573</v>
      </c>
    </row>
    <row r="42" spans="1:21" ht="14.4">
      <c r="B42" s="56" t="s">
        <v>79</v>
      </c>
      <c r="C42" s="55">
        <v>7.43</v>
      </c>
      <c r="D42" s="53">
        <v>36720</v>
      </c>
      <c r="E42" s="53">
        <v>537.67999999999995</v>
      </c>
      <c r="F42" s="53">
        <v>22.65</v>
      </c>
      <c r="G42" s="54">
        <f>E42/D42</f>
        <v>1.4642701525054464E-2</v>
      </c>
      <c r="H42" s="7">
        <v>223.1</v>
      </c>
      <c r="I42" s="53">
        <v>16186.39</v>
      </c>
      <c r="J42" s="53">
        <v>19909</v>
      </c>
      <c r="K42" s="62">
        <v>1015</v>
      </c>
      <c r="L42" s="62">
        <v>464</v>
      </c>
      <c r="M42" s="53">
        <f>K42/F42</f>
        <v>44.812362030905078</v>
      </c>
      <c r="N42" s="61">
        <f>L42/F42</f>
        <v>20.485651214128037</v>
      </c>
      <c r="O42" s="55">
        <f>464/736</f>
        <v>0.63043478260869568</v>
      </c>
      <c r="Q42" s="66" t="s">
        <v>78</v>
      </c>
      <c r="R42" s="66">
        <v>2209</v>
      </c>
      <c r="S42" s="66">
        <v>1900</v>
      </c>
      <c r="T42" s="63">
        <f>R42/$R$48</f>
        <v>5.2954572695673018E-2</v>
      </c>
      <c r="U42" s="63">
        <f>(R42/S42)^(1/1)-1</f>
        <v>0.16263157894736846</v>
      </c>
    </row>
    <row r="43" spans="1:21" ht="14.4">
      <c r="B43" s="56" t="s">
        <v>77</v>
      </c>
      <c r="C43" s="55">
        <v>6.43</v>
      </c>
      <c r="D43" s="53">
        <v>25867</v>
      </c>
      <c r="E43" s="53">
        <v>1753.98</v>
      </c>
      <c r="F43" s="53">
        <v>83.8</v>
      </c>
      <c r="G43" s="54">
        <f>E43/D43</f>
        <v>6.780763134495689E-2</v>
      </c>
      <c r="H43" s="7">
        <v>223.1</v>
      </c>
      <c r="I43" s="53">
        <v>15436.77</v>
      </c>
      <c r="J43" s="53">
        <v>16474</v>
      </c>
      <c r="K43" s="62">
        <v>1400</v>
      </c>
      <c r="L43" s="62">
        <v>752</v>
      </c>
      <c r="M43" s="53">
        <f>K43/F43</f>
        <v>16.706443914081145</v>
      </c>
      <c r="N43" s="61">
        <f>L43/F43</f>
        <v>8.9737470167064437</v>
      </c>
      <c r="O43" s="55">
        <f>752/703</f>
        <v>1.069701280227596</v>
      </c>
      <c r="Q43" s="65" t="s">
        <v>23</v>
      </c>
      <c r="R43" s="64">
        <v>2073</v>
      </c>
      <c r="S43" s="64">
        <v>1963</v>
      </c>
      <c r="T43" s="63">
        <f>R43/$R$48</f>
        <v>4.9694354548723479E-2</v>
      </c>
      <c r="U43" s="63">
        <f>(R43/S43)^(1/1)-1</f>
        <v>5.6036678553234909E-2</v>
      </c>
    </row>
    <row r="44" spans="1:21" ht="14.4">
      <c r="B44" s="56" t="s">
        <v>76</v>
      </c>
      <c r="C44" s="55">
        <v>5.99</v>
      </c>
      <c r="D44" s="53">
        <v>20211</v>
      </c>
      <c r="E44" s="53">
        <v>1597.55</v>
      </c>
      <c r="F44" s="53">
        <v>83.61</v>
      </c>
      <c r="G44" s="54">
        <f>E44/D44</f>
        <v>7.9043590124189794E-2</v>
      </c>
      <c r="H44" s="7">
        <v>223.1</v>
      </c>
      <c r="I44" s="53">
        <v>8730.0400000000009</v>
      </c>
      <c r="J44" s="53">
        <v>16173.04</v>
      </c>
      <c r="K44" s="62">
        <v>1350</v>
      </c>
      <c r="L44" s="62">
        <v>233</v>
      </c>
      <c r="M44" s="53">
        <f>K44/F44</f>
        <v>16.146393972012916</v>
      </c>
      <c r="N44" s="61">
        <f>L44/F44</f>
        <v>2.7867479966511182</v>
      </c>
      <c r="O44" s="55">
        <f>233/401</f>
        <v>0.58104738154613467</v>
      </c>
      <c r="Q44" s="65" t="s">
        <v>75</v>
      </c>
      <c r="R44" s="64">
        <v>1248</v>
      </c>
      <c r="S44" s="64">
        <v>1161</v>
      </c>
      <c r="T44" s="63">
        <f>R44/$R$48</f>
        <v>2.9917295936713412E-2</v>
      </c>
      <c r="U44" s="63">
        <f>(R44/S44)^(1/1)-1</f>
        <v>7.4935400516795925E-2</v>
      </c>
    </row>
    <row r="45" spans="1:21" ht="14.4">
      <c r="B45" s="56" t="s">
        <v>74</v>
      </c>
      <c r="C45" s="55">
        <v>3.73</v>
      </c>
      <c r="D45" s="53">
        <v>17113</v>
      </c>
      <c r="E45" s="53">
        <v>274.91000000000003</v>
      </c>
      <c r="F45" s="53">
        <v>12.88</v>
      </c>
      <c r="G45" s="54">
        <f>E45/D45</f>
        <v>1.6064395488809679E-2</v>
      </c>
      <c r="H45" s="7">
        <v>187</v>
      </c>
      <c r="I45" s="53">
        <v>7266.97</v>
      </c>
      <c r="J45" s="53">
        <v>16550.22</v>
      </c>
      <c r="K45" s="62">
        <v>1203</v>
      </c>
      <c r="L45" s="62">
        <v>161</v>
      </c>
      <c r="M45" s="53">
        <f>K45/F45</f>
        <v>93.40062111801241</v>
      </c>
      <c r="N45" s="61">
        <f>L45/F45</f>
        <v>12.5</v>
      </c>
      <c r="O45" s="55">
        <f>161/399</f>
        <v>0.40350877192982454</v>
      </c>
      <c r="Q45" s="65" t="s">
        <v>73</v>
      </c>
      <c r="R45" s="64">
        <v>71</v>
      </c>
      <c r="S45" s="64">
        <v>284</v>
      </c>
      <c r="T45" s="63">
        <f>R45/$R$48</f>
        <v>1.7020256502457149E-3</v>
      </c>
      <c r="U45" s="63">
        <f>(R45/S45)^(1/1)-1</f>
        <v>-0.75</v>
      </c>
    </row>
    <row r="46" spans="1:21" ht="14.4">
      <c r="B46" s="56" t="s">
        <v>72</v>
      </c>
      <c r="C46" s="55">
        <v>3.63</v>
      </c>
      <c r="D46" s="53">
        <v>13666</v>
      </c>
      <c r="E46" s="53">
        <v>1640.04</v>
      </c>
      <c r="F46" s="53">
        <v>90.3</v>
      </c>
      <c r="G46" s="54">
        <f>E46/D46</f>
        <v>0.12000878091614225</v>
      </c>
      <c r="H46" s="7">
        <v>187</v>
      </c>
      <c r="I46" s="53">
        <v>7351.83</v>
      </c>
      <c r="J46" s="53">
        <v>12136.22</v>
      </c>
      <c r="K46" s="62">
        <v>1390</v>
      </c>
      <c r="L46" s="62">
        <v>470</v>
      </c>
      <c r="M46" s="53">
        <f>K46/F46</f>
        <v>15.393133997785162</v>
      </c>
      <c r="N46" s="61">
        <f>L46/F46</f>
        <v>5.2048726467331123</v>
      </c>
      <c r="O46" s="55">
        <f>470/403</f>
        <v>1.1662531017369726</v>
      </c>
      <c r="Q46" s="65" t="s">
        <v>71</v>
      </c>
      <c r="R46" s="64">
        <v>1000</v>
      </c>
      <c r="S46" s="64">
        <v>-2195</v>
      </c>
      <c r="T46" s="63">
        <f>R46/$R$48</f>
        <v>2.3972192256981901E-2</v>
      </c>
      <c r="U46" s="63">
        <f>(R46/S46)^(1/1)-1</f>
        <v>-1.4555808656036446</v>
      </c>
    </row>
    <row r="47" spans="1:21" ht="14.4">
      <c r="B47" s="56" t="s">
        <v>70</v>
      </c>
      <c r="C47" s="55">
        <v>2.65</v>
      </c>
      <c r="D47" s="53">
        <v>9297</v>
      </c>
      <c r="E47" s="53">
        <v>1303.8900000000001</v>
      </c>
      <c r="F47" s="53">
        <v>80.86</v>
      </c>
      <c r="G47" s="54">
        <f>E47/D47</f>
        <v>0.1402484672474992</v>
      </c>
      <c r="H47" s="7">
        <v>187</v>
      </c>
      <c r="I47" s="53">
        <v>5133.0200000000004</v>
      </c>
      <c r="J47" s="53">
        <v>4173.03</v>
      </c>
      <c r="K47" s="62">
        <v>508</v>
      </c>
      <c r="L47" s="62">
        <v>205</v>
      </c>
      <c r="M47" s="53">
        <f>K47/F47</f>
        <v>6.2824635171902052</v>
      </c>
      <c r="N47" s="61">
        <f>L47/F47</f>
        <v>2.5352461043779373</v>
      </c>
      <c r="O47" s="55">
        <f>205/284</f>
        <v>0.721830985915493</v>
      </c>
    </row>
    <row r="48" spans="1:21" ht="14.4">
      <c r="B48" s="56" t="s">
        <v>69</v>
      </c>
      <c r="C48" s="55">
        <v>2.25</v>
      </c>
      <c r="D48" s="53">
        <v>6563.06</v>
      </c>
      <c r="E48" s="53">
        <v>856.53</v>
      </c>
      <c r="F48" s="53">
        <v>55.57</v>
      </c>
      <c r="G48" s="54">
        <f>E48/D48</f>
        <v>0.13050772048404249</v>
      </c>
      <c r="H48" s="7">
        <v>164</v>
      </c>
      <c r="I48" s="53">
        <v>3859.16</v>
      </c>
      <c r="J48" s="53">
        <v>4096.05</v>
      </c>
      <c r="K48" s="62">
        <v>396</v>
      </c>
      <c r="L48" s="62">
        <v>184</v>
      </c>
      <c r="M48" s="53">
        <f>K48/F48</f>
        <v>7.1261472017275507</v>
      </c>
      <c r="N48" s="61">
        <f>L48/F48</f>
        <v>3.3111391038330034</v>
      </c>
      <c r="O48" s="55">
        <f>184/245</f>
        <v>0.75102040816326532</v>
      </c>
      <c r="Q48" s="60" t="s">
        <v>68</v>
      </c>
      <c r="R48" s="59">
        <f>SUM(R38:R46)</f>
        <v>41715</v>
      </c>
      <c r="S48" s="59">
        <f>SUM(S38:S46)</f>
        <v>39030</v>
      </c>
      <c r="T48" s="58">
        <f>R48/$R$48</f>
        <v>1</v>
      </c>
      <c r="U48" s="57">
        <f>(R48/S48)^(1/1)-1</f>
        <v>6.8793235972328892E-2</v>
      </c>
    </row>
    <row r="49" spans="1:14" ht="14.4">
      <c r="A49" s="48" t="s">
        <v>67</v>
      </c>
      <c r="B49" s="56" t="s">
        <v>66</v>
      </c>
      <c r="C49" s="55">
        <v>2.1</v>
      </c>
      <c r="D49" s="53">
        <v>6698.34</v>
      </c>
      <c r="E49" s="53">
        <v>870.11</v>
      </c>
      <c r="F49" s="53">
        <v>64.98</v>
      </c>
      <c r="G49" s="54">
        <f>E49/D49</f>
        <v>0.12989934819671739</v>
      </c>
      <c r="H49" s="7">
        <v>157</v>
      </c>
      <c r="I49" s="53">
        <v>2680.59</v>
      </c>
      <c r="J49" s="53">
        <v>3568.44</v>
      </c>
      <c r="K49" s="51"/>
      <c r="L49" s="51"/>
      <c r="M49" s="52"/>
      <c r="N49" s="51"/>
    </row>
    <row r="51" spans="1:14" ht="14.4">
      <c r="B51" s="48"/>
      <c r="E51" s="48"/>
      <c r="H51" s="48"/>
    </row>
    <row r="52" spans="1:14" ht="14.4">
      <c r="B52" s="48"/>
      <c r="C52" s="48"/>
      <c r="E52" s="48"/>
      <c r="F52" s="48"/>
      <c r="H52" s="48"/>
      <c r="I52" s="48"/>
    </row>
    <row r="53" spans="1:14" ht="14.4">
      <c r="B53" s="48"/>
      <c r="C53" s="48"/>
      <c r="E53" s="48"/>
      <c r="F53" s="48"/>
      <c r="H53" s="48"/>
      <c r="I53" s="48"/>
    </row>
    <row r="54" spans="1:14" ht="14.4">
      <c r="B54" s="48"/>
      <c r="C54" s="48"/>
      <c r="H54" s="48"/>
      <c r="I54" s="48"/>
    </row>
    <row r="55" spans="1:14" ht="14.4">
      <c r="B55" s="48"/>
      <c r="C55" s="48"/>
      <c r="E55" s="48"/>
      <c r="F55" s="48"/>
      <c r="H55" s="48"/>
      <c r="I55" s="48"/>
    </row>
    <row r="56" spans="1:14" ht="14.4">
      <c r="H56" s="48"/>
      <c r="I56" s="48"/>
      <c r="K56" s="48"/>
      <c r="L56" s="48"/>
    </row>
    <row r="57" spans="1:14" ht="14.4">
      <c r="B57" s="48"/>
      <c r="D57" s="49"/>
      <c r="E57" s="49"/>
      <c r="F57" s="49"/>
      <c r="G57" s="49"/>
      <c r="H57" s="48"/>
      <c r="I57" s="48"/>
      <c r="L57" s="48"/>
    </row>
    <row r="58" spans="1:14" ht="14.4">
      <c r="D58" s="50"/>
      <c r="E58" s="50"/>
      <c r="F58" s="50"/>
      <c r="G58" s="49"/>
    </row>
    <row r="59" spans="1:14" ht="14.4">
      <c r="H59" s="48"/>
    </row>
    <row r="61" spans="1:14" ht="14.4">
      <c r="H61" s="48"/>
    </row>
    <row r="88" spans="2:14" ht="14.4">
      <c r="B88" s="47" t="s">
        <v>65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5"/>
    </row>
    <row r="89" spans="2:14" ht="14.4">
      <c r="B89" s="44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2"/>
    </row>
    <row r="90" spans="2:14" ht="14.4">
      <c r="B90" s="41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39"/>
    </row>
  </sheetData>
  <mergeCells count="2">
    <mergeCell ref="B88:N90"/>
    <mergeCell ref="U12:U14"/>
  </mergeCells>
  <conditionalFormatting sqref="C27:C49 D27:E27">
    <cfRule type="colorScale" priority="4">
      <colorScale>
        <cfvo type="min"/>
        <cfvo type="max"/>
        <color rgb="FFFFFFFF"/>
        <color rgb="FF57BB8A"/>
      </colorScale>
    </cfRule>
  </conditionalFormatting>
  <conditionalFormatting sqref="C15:F19 G16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20:F25 H22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27:D49">
    <cfRule type="colorScale" priority="5">
      <colorScale>
        <cfvo type="min"/>
        <cfvo type="max"/>
        <color rgb="FFFFFFFF"/>
        <color rgb="FF57BB8A"/>
      </colorScale>
    </cfRule>
  </conditionalFormatting>
  <conditionalFormatting sqref="E27:E49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27:F49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7:G19">
    <cfRule type="colorScale" priority="2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0:G25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7:G49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6:H19 G15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7:H49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20:L25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27:I49">
    <cfRule type="colorScale" priority="10">
      <colorScale>
        <cfvo type="min"/>
        <cfvo type="max"/>
        <color rgb="FFFFFFFF"/>
        <color rgb="FF57BB8A"/>
      </colorScale>
    </cfRule>
  </conditionalFormatting>
  <conditionalFormatting sqref="J27:J49">
    <cfRule type="colorScale" priority="11">
      <colorScale>
        <cfvo type="min"/>
        <cfvo type="max"/>
        <color rgb="FFFFFFFF"/>
        <color rgb="FFE67C73"/>
      </colorScale>
    </cfRule>
  </conditionalFormatting>
  <conditionalFormatting sqref="J17:O17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27:L48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3:O13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2:P12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14:P14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M20:N25 O21">
    <cfRule type="colorScale" priority="2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27:N48 O28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O22:O25">
    <cfRule type="colorScale" priority="22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29:O48">
    <cfRule type="colorScale" priority="2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14:T14">
    <cfRule type="colorScale" priority="24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R17:T17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R19:T19">
    <cfRule type="colorScale" priority="26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T20:T35 Y20:Y28 AC21:AD28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T25:T28 T30:T46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30:U46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88" r:id="rId1" xr:uid="{9DBDA65C-7059-4993-9D17-2E22FAF4914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0F4A-CE98-4947-9003-0E93BE7958C8}">
  <sheetPr>
    <outlinePr summaryBelow="0" summaryRight="0"/>
  </sheetPr>
  <dimension ref="A1:AP1000"/>
  <sheetViews>
    <sheetView workbookViewId="0"/>
  </sheetViews>
  <sheetFormatPr defaultColWidth="14" defaultRowHeight="15" customHeight="1"/>
  <cols>
    <col min="1" max="6" width="14" customWidth="1"/>
    <col min="20" max="20" width="17.21875" customWidth="1"/>
    <col min="21" max="21" width="16.6640625" customWidth="1"/>
    <col min="22" max="22" width="16.33203125" customWidth="1"/>
    <col min="23" max="23" width="17.21875" customWidth="1"/>
    <col min="26" max="26" width="16.88671875" customWidth="1"/>
    <col min="27" max="27" width="16.21875" customWidth="1"/>
    <col min="28" max="28" width="17.21875" customWidth="1"/>
  </cols>
  <sheetData>
    <row r="1" spans="1:42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</row>
    <row r="2" spans="1:42" ht="15.75" customHeight="1">
      <c r="A2" s="3">
        <v>500228</v>
      </c>
      <c r="B2" s="4" t="s">
        <v>42</v>
      </c>
      <c r="C2" s="5">
        <f ca="1">IFERROR(__xludf.DUMMYFUNCTION("GOOGLEFINANCE(""bom:""&amp;A2,""price"")"),900.3)</f>
        <v>900.3</v>
      </c>
      <c r="D2" s="6">
        <f ca="1">IFERROR(__xludf.DUMMYFUNCTION("GOOGLEFINANCE(""bom:""&amp;A2,""marketcap"")/10000000"),219100.5941)</f>
        <v>219100.59409999999</v>
      </c>
      <c r="E2" s="7">
        <v>59274</v>
      </c>
      <c r="F2" s="8">
        <v>69326</v>
      </c>
      <c r="G2" s="8">
        <v>215938</v>
      </c>
      <c r="H2" s="8">
        <v>140539</v>
      </c>
      <c r="I2" s="8">
        <v>305</v>
      </c>
      <c r="J2" s="8">
        <v>75399</v>
      </c>
      <c r="K2" s="8">
        <v>79920</v>
      </c>
      <c r="L2" s="8">
        <v>7187</v>
      </c>
      <c r="M2" s="8">
        <v>1</v>
      </c>
      <c r="N2" s="5"/>
      <c r="O2" s="5">
        <f ca="1">IFERROR(__xludf.DUMMYFUNCTION("GOOGLEFINANCE(""bom:""&amp;A2,""eps"")"),30.02)</f>
        <v>30.02</v>
      </c>
      <c r="P2" s="9">
        <f t="shared" ref="P2:P12" ca="1" si="0">D2/$D$17</f>
        <v>0.31247044575970201</v>
      </c>
      <c r="Q2" s="10">
        <v>71503</v>
      </c>
      <c r="R2" s="5">
        <v>165960</v>
      </c>
      <c r="S2" s="5">
        <v>4139</v>
      </c>
      <c r="T2" s="5">
        <v>126942</v>
      </c>
      <c r="U2" s="5">
        <v>117300</v>
      </c>
      <c r="V2" s="5">
        <v>7651</v>
      </c>
      <c r="W2" s="5">
        <v>398</v>
      </c>
      <c r="X2" s="8">
        <v>6902</v>
      </c>
      <c r="Y2" s="8">
        <v>161789</v>
      </c>
      <c r="Z2" s="9">
        <f t="shared" ref="Z2:Z12" si="1">(T2/U2)-1</f>
        <v>8.2199488491048633E-2</v>
      </c>
      <c r="AA2" s="9">
        <f t="shared" ref="AA2:AA12" si="2">(V2/W2)-1</f>
        <v>18.223618090452263</v>
      </c>
      <c r="AB2" s="9">
        <f t="shared" ref="AB2:AB12" si="3">(R2/Q2)^(1/5)-1</f>
        <v>0.18341162869005889</v>
      </c>
      <c r="AC2" s="9">
        <f t="shared" ref="AC2:AC12" si="4">V2/T2</f>
        <v>6.0271620109971481E-2</v>
      </c>
      <c r="AD2" s="9">
        <f t="shared" ref="AD2:AD12" si="5">S2/R2</f>
        <v>2.4939744516751024E-2</v>
      </c>
      <c r="AE2" s="11">
        <f t="shared" ref="AE2:AE12" si="6">(R2-Y2+X2)/X2</f>
        <v>1.6043175891046073</v>
      </c>
      <c r="AF2" s="12">
        <f t="shared" ref="AF2:AF12" si="7">E2/F2</f>
        <v>0.85500389464270254</v>
      </c>
      <c r="AG2" s="6">
        <f t="shared" ref="AG2:AG12" si="8">(L2/R2)*365</f>
        <v>15.806549771029163</v>
      </c>
      <c r="AH2" s="12">
        <f t="shared" ref="AH2:AH12" si="9">K2/J2</f>
        <v>1.0599610074404169</v>
      </c>
      <c r="AI2" s="12">
        <f t="shared" ref="AI2:AI12" si="10">H2/G2</f>
        <v>0.65083033092832199</v>
      </c>
      <c r="AJ2" s="9">
        <f t="shared" ref="AJ2:AJ12" si="11">S2/J2</f>
        <v>5.489462724969827E-2</v>
      </c>
      <c r="AK2" s="11">
        <f t="shared" ref="AK2:AK12" si="12">S2/I2</f>
        <v>13.570491803278689</v>
      </c>
      <c r="AL2" s="9">
        <f t="shared" ref="AL2:AL12" si="13">S2/G2</f>
        <v>1.9167538830590261E-2</v>
      </c>
      <c r="AM2" s="11">
        <f ca="1">IFERROR(__xludf.DUMMYFUNCTION("GOOGLEFINANCE(""bom:""&amp;A2,""PE"")"),29.99)</f>
        <v>29.99</v>
      </c>
      <c r="AN2" s="9">
        <f t="shared" ref="AN2:AN12" ca="1" si="14">O2/C2</f>
        <v>3.3344440741974901E-2</v>
      </c>
      <c r="AO2" s="6">
        <f t="shared" ref="AO2:AO12" si="15">(J2+I2)/(I2/M2)</f>
        <v>248.20983606557377</v>
      </c>
      <c r="AP2" s="12">
        <f t="shared" ref="AP2:AP12" ca="1" si="16">C2/AO2</f>
        <v>3.6271729367008345</v>
      </c>
    </row>
    <row r="3" spans="1:42" ht="15.75" customHeight="1">
      <c r="A3" s="3">
        <v>500470</v>
      </c>
      <c r="B3" s="4" t="s">
        <v>43</v>
      </c>
      <c r="C3" s="5">
        <f ca="1">IFERROR(__xludf.DUMMYFUNCTION("GOOGLEFINANCE(""bom:""&amp;A3,""price"")"),162.6)</f>
        <v>162.6</v>
      </c>
      <c r="D3" s="6">
        <f ca="1">IFERROR(__xludf.DUMMYFUNCTION("GOOGLEFINANCE(""bom:""&amp;A3,""marketcap"")/10000000"),202904.8078164)</f>
        <v>202904.80781639999</v>
      </c>
      <c r="E3" s="7">
        <v>74894</v>
      </c>
      <c r="F3" s="8">
        <v>102573</v>
      </c>
      <c r="G3" s="8">
        <v>271814</v>
      </c>
      <c r="H3" s="8">
        <v>181012</v>
      </c>
      <c r="I3" s="8">
        <v>1221</v>
      </c>
      <c r="J3" s="8">
        <v>90802</v>
      </c>
      <c r="K3" s="8">
        <v>83988</v>
      </c>
      <c r="L3" s="8">
        <v>6780</v>
      </c>
      <c r="M3" s="8">
        <v>1</v>
      </c>
      <c r="N3" s="5"/>
      <c r="O3" s="5">
        <f ca="1">IFERROR(__xludf.DUMMYFUNCTION("GOOGLEFINANCE(""bom:""&amp;A3,""eps"")"),-3.62)</f>
        <v>-3.62</v>
      </c>
      <c r="P3" s="9">
        <f t="shared" ca="1" si="0"/>
        <v>0.28937281528428854</v>
      </c>
      <c r="Q3" s="5">
        <v>133016</v>
      </c>
      <c r="R3" s="5">
        <v>243353</v>
      </c>
      <c r="S3" s="5">
        <v>8075</v>
      </c>
      <c r="T3" s="5">
        <v>168850</v>
      </c>
      <c r="U3" s="5">
        <v>179397</v>
      </c>
      <c r="V3" s="5">
        <v>-5464</v>
      </c>
      <c r="W3" s="5">
        <v>6509</v>
      </c>
      <c r="X3" s="5">
        <v>6299</v>
      </c>
      <c r="Y3" s="5">
        <v>226686</v>
      </c>
      <c r="Z3" s="9">
        <f t="shared" si="1"/>
        <v>-5.8791395619770648E-2</v>
      </c>
      <c r="AA3" s="9">
        <f t="shared" si="2"/>
        <v>-1.8394530649869412</v>
      </c>
      <c r="AB3" s="9">
        <f t="shared" si="3"/>
        <v>0.12840905920610846</v>
      </c>
      <c r="AC3" s="9">
        <f t="shared" si="4"/>
        <v>-3.2360082913828844E-2</v>
      </c>
      <c r="AD3" s="9">
        <f t="shared" si="5"/>
        <v>3.3182249653795105E-2</v>
      </c>
      <c r="AE3" s="11">
        <f t="shared" si="6"/>
        <v>3.6459755516748689</v>
      </c>
      <c r="AF3" s="12">
        <f t="shared" si="7"/>
        <v>0.73015315921343826</v>
      </c>
      <c r="AG3" s="6">
        <f t="shared" si="8"/>
        <v>10.169178107522818</v>
      </c>
      <c r="AH3" s="12">
        <f t="shared" si="9"/>
        <v>0.92495760005286232</v>
      </c>
      <c r="AI3" s="12">
        <f t="shared" si="10"/>
        <v>0.66594068002383988</v>
      </c>
      <c r="AJ3" s="9">
        <f t="shared" si="11"/>
        <v>8.8929759256404048E-2</v>
      </c>
      <c r="AK3" s="11">
        <f t="shared" si="12"/>
        <v>6.6134316134316133</v>
      </c>
      <c r="AL3" s="9">
        <f t="shared" si="13"/>
        <v>2.970781490283797E-2</v>
      </c>
      <c r="AM3" s="11">
        <f ca="1">C3/O3</f>
        <v>-44.917127071823202</v>
      </c>
      <c r="AN3" s="9">
        <f t="shared" ca="1" si="14"/>
        <v>-2.2263222632226323E-2</v>
      </c>
      <c r="AO3" s="6">
        <f t="shared" si="15"/>
        <v>75.366912366912373</v>
      </c>
      <c r="AP3" s="12">
        <f t="shared" ca="1" si="16"/>
        <v>2.157445421253382</v>
      </c>
    </row>
    <row r="4" spans="1:42" ht="15.75" customHeight="1">
      <c r="A4" s="3">
        <v>532286</v>
      </c>
      <c r="B4" s="4" t="s">
        <v>44</v>
      </c>
      <c r="C4" s="5">
        <f ca="1">IFERROR(__xludf.DUMMYFUNCTION("GOOGLEFINANCE(""bom:""&amp;A4,""price"")"),972.25)</f>
        <v>972.25</v>
      </c>
      <c r="D4" s="6">
        <f ca="1">IFERROR(__xludf.DUMMYFUNCTION("GOOGLEFINANCE(""bom:""&amp;A4,""marketcap"")/10000000"),98364.963125)</f>
        <v>98364.963124999995</v>
      </c>
      <c r="E4" s="7">
        <v>15106</v>
      </c>
      <c r="F4" s="8">
        <v>14770</v>
      </c>
      <c r="G4" s="8">
        <v>72212</v>
      </c>
      <c r="H4" s="8">
        <v>30382</v>
      </c>
      <c r="I4" s="8">
        <v>100</v>
      </c>
      <c r="J4" s="8">
        <v>41822</v>
      </c>
      <c r="K4" s="8">
        <v>12868</v>
      </c>
      <c r="L4" s="8">
        <v>709</v>
      </c>
      <c r="M4" s="8">
        <v>1</v>
      </c>
      <c r="N4" s="5"/>
      <c r="O4" s="5">
        <f ca="1">IFERROR(__xludf.DUMMYFUNCTION("GOOGLEFINANCE(""bom:""&amp;A4,""eps"")"),59.15)</f>
        <v>59.15</v>
      </c>
      <c r="P4" s="9">
        <f t="shared" ca="1" si="0"/>
        <v>0.14028325208820328</v>
      </c>
      <c r="Q4" s="5">
        <v>28430</v>
      </c>
      <c r="R4" s="5">
        <v>52711</v>
      </c>
      <c r="S4" s="5">
        <v>3974</v>
      </c>
      <c r="T4" s="5">
        <v>42500</v>
      </c>
      <c r="U4" s="5">
        <v>45212</v>
      </c>
      <c r="V4" s="5">
        <v>5009</v>
      </c>
      <c r="W4" s="5">
        <v>22727</v>
      </c>
      <c r="X4" s="5">
        <v>1445</v>
      </c>
      <c r="Y4" s="5">
        <v>46913</v>
      </c>
      <c r="Z4" s="9">
        <f t="shared" si="1"/>
        <v>-5.9984075024329786E-2</v>
      </c>
      <c r="AA4" s="9">
        <f t="shared" si="2"/>
        <v>-0.77960135521626261</v>
      </c>
      <c r="AB4" s="9">
        <f t="shared" si="3"/>
        <v>0.13142267735758018</v>
      </c>
      <c r="AC4" s="9">
        <f t="shared" si="4"/>
        <v>0.11785882352941177</v>
      </c>
      <c r="AD4" s="9">
        <f t="shared" si="5"/>
        <v>7.5392233120221586E-2</v>
      </c>
      <c r="AE4" s="11">
        <f t="shared" si="6"/>
        <v>5.012456747404844</v>
      </c>
      <c r="AF4" s="12">
        <f t="shared" si="7"/>
        <v>1.0227488151658768</v>
      </c>
      <c r="AG4" s="6">
        <f t="shared" si="8"/>
        <v>4.909506554609095</v>
      </c>
      <c r="AH4" s="12">
        <f t="shared" si="9"/>
        <v>0.30768495050451916</v>
      </c>
      <c r="AI4" s="12">
        <f t="shared" si="10"/>
        <v>0.42073339611144961</v>
      </c>
      <c r="AJ4" s="9">
        <f t="shared" si="11"/>
        <v>9.502175888288461E-2</v>
      </c>
      <c r="AK4" s="11">
        <f t="shared" si="12"/>
        <v>39.74</v>
      </c>
      <c r="AL4" s="9">
        <f t="shared" si="13"/>
        <v>5.5032404586495318E-2</v>
      </c>
      <c r="AM4" s="11">
        <f ca="1">IFERROR(__xludf.DUMMYFUNCTION("GOOGLEFINANCE(""bom:""&amp;A4,""PE"")"),16.44)</f>
        <v>16.440000000000001</v>
      </c>
      <c r="AN4" s="9">
        <f t="shared" ca="1" si="14"/>
        <v>6.0838261763949603E-2</v>
      </c>
      <c r="AO4" s="6">
        <f t="shared" si="15"/>
        <v>419.22</v>
      </c>
      <c r="AP4" s="12">
        <f t="shared" ca="1" si="16"/>
        <v>2.3191880158389386</v>
      </c>
    </row>
    <row r="5" spans="1:42" ht="15.75" customHeight="1">
      <c r="A5" s="3">
        <v>500113</v>
      </c>
      <c r="B5" s="4" t="s">
        <v>45</v>
      </c>
      <c r="C5" s="5">
        <f ca="1">IFERROR(__xludf.DUMMYFUNCTION("GOOGLEFINANCE(""bom:""&amp;A5,""price"")"),147.45)</f>
        <v>147.44999999999999</v>
      </c>
      <c r="D5" s="6">
        <f ca="1">IFERROR(__xludf.DUMMYFUNCTION("GOOGLEFINANCE(""bom:""&amp;A5,""marketcap"")/10000000"),61071.621221)</f>
        <v>61071.621221000001</v>
      </c>
      <c r="E5" s="7">
        <v>37222</v>
      </c>
      <c r="F5" s="8">
        <v>44929</v>
      </c>
      <c r="G5" s="8">
        <v>129608</v>
      </c>
      <c r="H5" s="8">
        <v>73588</v>
      </c>
      <c r="I5" s="8">
        <v>4131</v>
      </c>
      <c r="J5" s="8">
        <v>56020</v>
      </c>
      <c r="K5" s="8">
        <v>25490</v>
      </c>
      <c r="L5" s="8">
        <v>6710</v>
      </c>
      <c r="M5" s="8">
        <v>10</v>
      </c>
      <c r="N5" s="5"/>
      <c r="O5" s="5">
        <f ca="1">IFERROR(__xludf.DUMMYFUNCTION("GOOGLEFINANCE(""bom:""&amp;A5,""eps"")"),7.42)</f>
        <v>7.42</v>
      </c>
      <c r="P5" s="9">
        <f t="shared" ca="1" si="0"/>
        <v>8.7097329811364255E-2</v>
      </c>
      <c r="Q5" s="5">
        <v>58966</v>
      </c>
      <c r="R5" s="5">
        <v>104448</v>
      </c>
      <c r="S5" s="5">
        <v>2176</v>
      </c>
      <c r="T5" s="5">
        <v>77419</v>
      </c>
      <c r="U5" s="5">
        <v>75317</v>
      </c>
      <c r="V5" s="5">
        <v>1940</v>
      </c>
      <c r="W5" s="5">
        <v>1017</v>
      </c>
      <c r="X5" s="5">
        <v>2037</v>
      </c>
      <c r="Y5" s="5">
        <v>103409</v>
      </c>
      <c r="Z5" s="9">
        <f t="shared" si="1"/>
        <v>2.7908705869856831E-2</v>
      </c>
      <c r="AA5" s="9">
        <f t="shared" si="2"/>
        <v>0.90757128810226151</v>
      </c>
      <c r="AB5" s="9">
        <f t="shared" si="3"/>
        <v>0.12113959849018552</v>
      </c>
      <c r="AC5" s="9">
        <f t="shared" si="4"/>
        <v>2.5058448184554178E-2</v>
      </c>
      <c r="AD5" s="9">
        <f t="shared" si="5"/>
        <v>2.0833333333333332E-2</v>
      </c>
      <c r="AE5" s="11">
        <f t="shared" si="6"/>
        <v>1.5100638193421698</v>
      </c>
      <c r="AF5" s="12">
        <f t="shared" si="7"/>
        <v>0.8284626855705669</v>
      </c>
      <c r="AG5" s="6">
        <f t="shared" si="8"/>
        <v>23.44851026348039</v>
      </c>
      <c r="AH5" s="12">
        <f t="shared" si="9"/>
        <v>0.4550160656908247</v>
      </c>
      <c r="AI5" s="12">
        <f t="shared" si="10"/>
        <v>0.56777359422257889</v>
      </c>
      <c r="AJ5" s="9">
        <f t="shared" si="11"/>
        <v>3.8843270260621204E-2</v>
      </c>
      <c r="AK5" s="11">
        <f t="shared" si="12"/>
        <v>0.52674897119341568</v>
      </c>
      <c r="AL5" s="9">
        <f t="shared" si="13"/>
        <v>1.6789087093389297E-2</v>
      </c>
      <c r="AM5" s="11">
        <f ca="1">IFERROR(__xludf.DUMMYFUNCTION("GOOGLEFINANCE(""bom:""&amp;A5,""PE"")"),19.87)</f>
        <v>19.87</v>
      </c>
      <c r="AN5" s="9">
        <f t="shared" ca="1" si="14"/>
        <v>5.0322143099355718E-2</v>
      </c>
      <c r="AO5" s="6">
        <f t="shared" si="15"/>
        <v>145.60881142580487</v>
      </c>
      <c r="AP5" s="12">
        <f t="shared" ca="1" si="16"/>
        <v>1.0126447606856079</v>
      </c>
    </row>
    <row r="6" spans="1:42" ht="15.75" customHeight="1">
      <c r="A6" s="3">
        <v>532508</v>
      </c>
      <c r="B6" s="4" t="s">
        <v>46</v>
      </c>
      <c r="C6" s="5">
        <f ca="1">IFERROR(__xludf.DUMMYFUNCTION("GOOGLEFINANCE(""bom:""&amp;A6,""price"")"),764.7)</f>
        <v>764.7</v>
      </c>
      <c r="D6" s="6">
        <f ca="1">IFERROR(__xludf.DUMMYFUNCTION("GOOGLEFINANCE(""bom:""&amp;A6,""marketcap"")/10000000"),62951.58)</f>
        <v>62951.58</v>
      </c>
      <c r="E6" s="7">
        <v>13445</v>
      </c>
      <c r="F6" s="8">
        <v>9445</v>
      </c>
      <c r="G6" s="8">
        <v>29089</v>
      </c>
      <c r="H6" s="8">
        <v>15826</v>
      </c>
      <c r="I6" s="8">
        <v>165</v>
      </c>
      <c r="J6" s="8">
        <v>13262</v>
      </c>
      <c r="K6" s="8">
        <v>5634</v>
      </c>
      <c r="L6" s="8">
        <v>2873</v>
      </c>
      <c r="M6" s="8">
        <v>2</v>
      </c>
      <c r="N6" s="5"/>
      <c r="O6" s="5">
        <f ca="1">IFERROR(__xludf.DUMMYFUNCTION("GOOGLEFINANCE(""bom:""&amp;A6,""eps"")"),32.94)</f>
        <v>32.94</v>
      </c>
      <c r="P6" s="9">
        <f t="shared" ca="1" si="0"/>
        <v>8.9778434169373825E-2</v>
      </c>
      <c r="Q6" s="5">
        <v>11817</v>
      </c>
      <c r="R6" s="5">
        <v>35967</v>
      </c>
      <c r="S6" s="5">
        <v>2084</v>
      </c>
      <c r="T6" s="5">
        <v>29108</v>
      </c>
      <c r="U6" s="5">
        <v>25931</v>
      </c>
      <c r="V6" s="5">
        <v>2193</v>
      </c>
      <c r="W6" s="5">
        <v>1367</v>
      </c>
      <c r="X6" s="5">
        <v>324</v>
      </c>
      <c r="Y6" s="5">
        <v>33049</v>
      </c>
      <c r="Z6" s="9">
        <f t="shared" si="1"/>
        <v>0.12251745015618365</v>
      </c>
      <c r="AA6" s="9">
        <f t="shared" si="2"/>
        <v>0.60424286759326984</v>
      </c>
      <c r="AB6" s="9">
        <f t="shared" si="3"/>
        <v>0.24933640674619184</v>
      </c>
      <c r="AC6" s="9">
        <f t="shared" si="4"/>
        <v>7.5340112683798269E-2</v>
      </c>
      <c r="AD6" s="9">
        <f t="shared" si="5"/>
        <v>5.7942002391080716E-2</v>
      </c>
      <c r="AE6" s="11">
        <f t="shared" si="6"/>
        <v>10.006172839506172</v>
      </c>
      <c r="AF6" s="12">
        <f t="shared" si="7"/>
        <v>1.4235044997353097</v>
      </c>
      <c r="AG6" s="6">
        <f t="shared" si="8"/>
        <v>29.155753885506158</v>
      </c>
      <c r="AH6" s="12">
        <f t="shared" si="9"/>
        <v>0.42482280199064998</v>
      </c>
      <c r="AI6" s="12">
        <f t="shared" si="10"/>
        <v>0.54405445357351578</v>
      </c>
      <c r="AJ6" s="9">
        <f t="shared" si="11"/>
        <v>0.15714070275976474</v>
      </c>
      <c r="AK6" s="11">
        <f t="shared" si="12"/>
        <v>12.630303030303031</v>
      </c>
      <c r="AL6" s="9">
        <f t="shared" si="13"/>
        <v>7.1642201519474716E-2</v>
      </c>
      <c r="AM6" s="11">
        <f ca="1">IFERROR(__xludf.DUMMYFUNCTION("GOOGLEFINANCE(""bom:""&amp;A6,""PE"")"),23.21)</f>
        <v>23.21</v>
      </c>
      <c r="AN6" s="9">
        <f t="shared" ca="1" si="14"/>
        <v>4.3075715967045895E-2</v>
      </c>
      <c r="AO6" s="6">
        <f t="shared" si="15"/>
        <v>162.75151515151515</v>
      </c>
      <c r="AP6" s="12">
        <f t="shared" ca="1" si="16"/>
        <v>4.6985737692708724</v>
      </c>
    </row>
    <row r="7" spans="1:42" ht="15.75" customHeight="1">
      <c r="A7" s="3">
        <v>543299</v>
      </c>
      <c r="B7" s="4" t="s">
        <v>47</v>
      </c>
      <c r="C7" s="5">
        <f ca="1">IFERROR(__xludf.DUMMYFUNCTION("GOOGLEFINANCE(""bom:""&amp;A7,""price"")"),693)</f>
        <v>693</v>
      </c>
      <c r="D7" s="6">
        <f ca="1">IFERROR(__xludf.DUMMYFUNCTION("GOOGLEFINANCE(""bom:""&amp;A7,""marketcap"")/10000000"),19265.25447)</f>
        <v>19265.25447</v>
      </c>
      <c r="E7" s="7">
        <v>4661</v>
      </c>
      <c r="F7" s="8">
        <v>4550</v>
      </c>
      <c r="G7" s="8">
        <v>13572</v>
      </c>
      <c r="H7" s="8">
        <v>5036</v>
      </c>
      <c r="I7" s="8">
        <v>255</v>
      </c>
      <c r="J7" s="8">
        <v>8154</v>
      </c>
      <c r="K7" s="8">
        <v>1980</v>
      </c>
      <c r="L7" s="8">
        <v>570</v>
      </c>
      <c r="M7" s="8">
        <v>10</v>
      </c>
      <c r="N7" s="5"/>
      <c r="O7" s="5">
        <f ca="1">IFERROR(__xludf.DUMMYFUNCTION("GOOGLEFINANCE(""bom:""&amp;A7,""eps"")"),39.46)</f>
        <v>39.46</v>
      </c>
      <c r="P7" s="9">
        <f t="shared" ca="1" si="0"/>
        <v>2.7475154399478612E-2</v>
      </c>
      <c r="Q7" s="5">
        <v>3848</v>
      </c>
      <c r="R7" s="5">
        <v>12610</v>
      </c>
      <c r="S7" s="5">
        <v>848</v>
      </c>
      <c r="T7" s="5">
        <v>9589</v>
      </c>
      <c r="U7" s="5">
        <v>8230</v>
      </c>
      <c r="V7" s="5">
        <v>809</v>
      </c>
      <c r="W7" s="5">
        <v>589</v>
      </c>
      <c r="X7" s="5">
        <v>93</v>
      </c>
      <c r="Y7" s="5">
        <v>11680</v>
      </c>
      <c r="Z7" s="9">
        <f t="shared" si="1"/>
        <v>0.16512758201701083</v>
      </c>
      <c r="AA7" s="9">
        <f t="shared" si="2"/>
        <v>0.37351443123938877</v>
      </c>
      <c r="AB7" s="9">
        <f t="shared" si="3"/>
        <v>0.2679321225049478</v>
      </c>
      <c r="AC7" s="9">
        <f t="shared" si="4"/>
        <v>8.4367504432161858E-2</v>
      </c>
      <c r="AD7" s="9">
        <f t="shared" si="5"/>
        <v>6.7248215701823946E-2</v>
      </c>
      <c r="AE7" s="11">
        <f t="shared" si="6"/>
        <v>11</v>
      </c>
      <c r="AF7" s="12">
        <f t="shared" si="7"/>
        <v>1.0243956043956044</v>
      </c>
      <c r="AG7" s="6">
        <f t="shared" si="8"/>
        <v>16.498810467882631</v>
      </c>
      <c r="AH7" s="12">
        <f t="shared" si="9"/>
        <v>0.24282560706401765</v>
      </c>
      <c r="AI7" s="12">
        <f t="shared" si="10"/>
        <v>0.37105806071323311</v>
      </c>
      <c r="AJ7" s="9">
        <f t="shared" si="11"/>
        <v>0.10399803777287221</v>
      </c>
      <c r="AK7" s="11">
        <f t="shared" si="12"/>
        <v>3.3254901960784315</v>
      </c>
      <c r="AL7" s="9">
        <f t="shared" si="13"/>
        <v>6.2481579722959035E-2</v>
      </c>
      <c r="AM7" s="11">
        <f ca="1">IFERROR(__xludf.DUMMYFUNCTION("GOOGLEFINANCE(""bom:""&amp;A7,""PE"")"),17.56)</f>
        <v>17.559999999999999</v>
      </c>
      <c r="AN7" s="9">
        <f t="shared" ca="1" si="14"/>
        <v>5.6940836940836945E-2</v>
      </c>
      <c r="AO7" s="6">
        <f t="shared" si="15"/>
        <v>329.76470588235293</v>
      </c>
      <c r="AP7" s="12">
        <f t="shared" ca="1" si="16"/>
        <v>2.1014983945772387</v>
      </c>
    </row>
    <row r="8" spans="1:42" ht="15.75" customHeight="1">
      <c r="A8" s="3">
        <v>532976</v>
      </c>
      <c r="B8" s="4" t="s">
        <v>48</v>
      </c>
      <c r="C8" s="5">
        <f ca="1">IFERROR(__xludf.DUMMYFUNCTION("GOOGLEFINANCE(""bom:""&amp;A8,""price"")"),916)</f>
        <v>916</v>
      </c>
      <c r="D8" s="6">
        <f ca="1">IFERROR(__xludf.DUMMYFUNCTION("GOOGLEFINANCE(""bom:""&amp;A8,""marketcap"")/10000000"),16812.78593)</f>
        <v>16812.785929999998</v>
      </c>
      <c r="E8" s="7">
        <v>1434</v>
      </c>
      <c r="F8" s="8">
        <v>1707</v>
      </c>
      <c r="G8" s="8">
        <v>3200</v>
      </c>
      <c r="H8" s="8">
        <v>2213</v>
      </c>
      <c r="I8" s="8">
        <v>160</v>
      </c>
      <c r="J8" s="8">
        <v>986</v>
      </c>
      <c r="K8" s="8">
        <v>659</v>
      </c>
      <c r="L8" s="8">
        <v>217</v>
      </c>
      <c r="M8" s="8">
        <v>10</v>
      </c>
      <c r="N8" s="5"/>
      <c r="O8" s="5">
        <f ca="1">IFERROR(__xludf.DUMMYFUNCTION("GOOGLEFINANCE(""bom:""&amp;A8,""eps"")"),49.82)</f>
        <v>49.82</v>
      </c>
      <c r="P8" s="9">
        <f t="shared" ca="1" si="0"/>
        <v>2.3977564897025287E-2</v>
      </c>
      <c r="Q8" s="5">
        <v>2425</v>
      </c>
      <c r="R8" s="5">
        <v>6125</v>
      </c>
      <c r="S8" s="5">
        <v>58</v>
      </c>
      <c r="T8" s="5">
        <v>4568</v>
      </c>
      <c r="U8" s="5">
        <v>4401</v>
      </c>
      <c r="V8" s="5">
        <v>606</v>
      </c>
      <c r="W8" s="5">
        <v>709</v>
      </c>
      <c r="X8" s="5">
        <v>89</v>
      </c>
      <c r="Y8" s="5">
        <v>6055</v>
      </c>
      <c r="Z8" s="9">
        <f t="shared" si="1"/>
        <v>3.79459213815041E-2</v>
      </c>
      <c r="AA8" s="9">
        <f t="shared" si="2"/>
        <v>-0.14527503526093088</v>
      </c>
      <c r="AB8" s="9">
        <f t="shared" si="3"/>
        <v>0.20359082936664041</v>
      </c>
      <c r="AC8" s="9">
        <f t="shared" si="4"/>
        <v>0.13266199649737304</v>
      </c>
      <c r="AD8" s="9">
        <f t="shared" si="5"/>
        <v>9.4693877551020409E-3</v>
      </c>
      <c r="AE8" s="11">
        <f t="shared" si="6"/>
        <v>1.7865168539325842</v>
      </c>
      <c r="AF8" s="12">
        <f t="shared" si="7"/>
        <v>0.84007029876977157</v>
      </c>
      <c r="AG8" s="6">
        <f t="shared" si="8"/>
        <v>12.931428571428571</v>
      </c>
      <c r="AH8" s="12">
        <f t="shared" si="9"/>
        <v>0.66835699797160242</v>
      </c>
      <c r="AI8" s="12">
        <f t="shared" si="10"/>
        <v>0.69156249999999997</v>
      </c>
      <c r="AJ8" s="9">
        <f t="shared" si="11"/>
        <v>5.8823529411764705E-2</v>
      </c>
      <c r="AK8" s="11">
        <f t="shared" si="12"/>
        <v>0.36249999999999999</v>
      </c>
      <c r="AL8" s="9">
        <f t="shared" si="13"/>
        <v>1.8124999999999999E-2</v>
      </c>
      <c r="AM8" s="11">
        <f ca="1">IFERROR(__xludf.DUMMYFUNCTION("GOOGLEFINANCE(""bom:""&amp;A8,""PE"")"),18.39)</f>
        <v>18.39</v>
      </c>
      <c r="AN8" s="9">
        <f t="shared" ca="1" si="14"/>
        <v>5.4388646288209608E-2</v>
      </c>
      <c r="AO8" s="6">
        <f t="shared" si="15"/>
        <v>71.625</v>
      </c>
      <c r="AP8" s="12">
        <f t="shared" ca="1" si="16"/>
        <v>12.788830715532287</v>
      </c>
    </row>
    <row r="9" spans="1:42" ht="15.75" customHeight="1">
      <c r="A9" s="3">
        <v>504614</v>
      </c>
      <c r="B9" s="4" t="s">
        <v>49</v>
      </c>
      <c r="C9" s="5">
        <f ca="1">IFERROR(__xludf.DUMMYFUNCTION("GOOGLEFINANCE(""bom:""&amp;A9,""price"")"),273.7)</f>
        <v>273.7</v>
      </c>
      <c r="D9" s="6">
        <f ca="1">IFERROR(__xludf.DUMMYFUNCTION("GOOGLEFINANCE(""bom:""&amp;A9,""marketcap"")/10000000"),9634.1017929)</f>
        <v>9634.1017929000009</v>
      </c>
      <c r="E9" s="7">
        <v>2522</v>
      </c>
      <c r="F9" s="8">
        <v>871</v>
      </c>
      <c r="G9" s="8">
        <v>5788</v>
      </c>
      <c r="H9" s="8">
        <v>2008</v>
      </c>
      <c r="I9" s="8">
        <v>35</v>
      </c>
      <c r="J9" s="8">
        <v>3780</v>
      </c>
      <c r="K9" s="8">
        <v>1220</v>
      </c>
      <c r="L9" s="8">
        <v>269</v>
      </c>
      <c r="M9" s="8">
        <v>1</v>
      </c>
      <c r="N9" s="5"/>
      <c r="O9" s="5">
        <f ca="1">IFERROR(__xludf.DUMMYFUNCTION("GOOGLEFINANCE(""bom:""&amp;A9,""eps"")"),14.84)</f>
        <v>14.84</v>
      </c>
      <c r="P9" s="9">
        <f t="shared" ca="1" si="0"/>
        <v>1.3739680141386745E-2</v>
      </c>
      <c r="Q9" s="5">
        <v>2217</v>
      </c>
      <c r="R9" s="5">
        <v>4212</v>
      </c>
      <c r="S9" s="5">
        <v>604</v>
      </c>
      <c r="T9" s="5">
        <v>2945</v>
      </c>
      <c r="U9" s="5">
        <v>3113</v>
      </c>
      <c r="V9" s="5">
        <v>434</v>
      </c>
      <c r="W9" s="5">
        <v>488</v>
      </c>
      <c r="X9" s="5">
        <v>124</v>
      </c>
      <c r="Y9" s="5">
        <v>3454</v>
      </c>
      <c r="Z9" s="9">
        <f t="shared" si="1"/>
        <v>-5.3967234179248313E-2</v>
      </c>
      <c r="AA9" s="9">
        <f t="shared" si="2"/>
        <v>-0.11065573770491799</v>
      </c>
      <c r="AB9" s="9">
        <f t="shared" si="3"/>
        <v>0.13695829328445863</v>
      </c>
      <c r="AC9" s="9">
        <f t="shared" si="4"/>
        <v>0.14736842105263157</v>
      </c>
      <c r="AD9" s="9">
        <f t="shared" si="5"/>
        <v>0.14339981006647673</v>
      </c>
      <c r="AE9" s="11">
        <f t="shared" si="6"/>
        <v>7.112903225806452</v>
      </c>
      <c r="AF9" s="12">
        <f t="shared" si="7"/>
        <v>2.8955223880597014</v>
      </c>
      <c r="AG9" s="6">
        <f t="shared" si="8"/>
        <v>23.310778727445395</v>
      </c>
      <c r="AH9" s="12">
        <f t="shared" si="9"/>
        <v>0.32275132275132273</v>
      </c>
      <c r="AI9" s="12">
        <f t="shared" si="10"/>
        <v>0.34692467173462338</v>
      </c>
      <c r="AJ9" s="9">
        <f t="shared" si="11"/>
        <v>0.15978835978835979</v>
      </c>
      <c r="AK9" s="11">
        <f t="shared" si="12"/>
        <v>17.257142857142856</v>
      </c>
      <c r="AL9" s="9">
        <f t="shared" si="13"/>
        <v>0.10435383552176918</v>
      </c>
      <c r="AM9" s="11">
        <f ca="1">IFERROR(__xludf.DUMMYFUNCTION("GOOGLEFINANCE(""bom:""&amp;A9,""PE"")"),18.44)</f>
        <v>18.440000000000001</v>
      </c>
      <c r="AN9" s="9">
        <f t="shared" ca="1" si="14"/>
        <v>5.421994884910486E-2</v>
      </c>
      <c r="AO9" s="6">
        <f t="shared" si="15"/>
        <v>109</v>
      </c>
      <c r="AP9" s="12">
        <f t="shared" ca="1" si="16"/>
        <v>2.5110091743119267</v>
      </c>
    </row>
    <row r="10" spans="1:42" ht="15.75" customHeight="1">
      <c r="A10" s="3">
        <v>500404</v>
      </c>
      <c r="B10" s="4" t="s">
        <v>50</v>
      </c>
      <c r="C10" s="5">
        <f ca="1">IFERROR(__xludf.DUMMYFUNCTION("GOOGLEFINANCE(""bom:""&amp;A10,""price"")"),249)</f>
        <v>249</v>
      </c>
      <c r="D10" s="6">
        <f ca="1">IFERROR(__xludf.DUMMYFUNCTION("GOOGLEFINANCE(""bom:""&amp;A10,""marketcap"")/10000000"),4484.42028)</f>
        <v>4484.4202800000003</v>
      </c>
      <c r="E10" s="7">
        <v>1376</v>
      </c>
      <c r="F10" s="8">
        <v>903</v>
      </c>
      <c r="G10" s="8">
        <v>6469</v>
      </c>
      <c r="H10" s="8">
        <v>1727</v>
      </c>
      <c r="I10" s="8">
        <v>180</v>
      </c>
      <c r="J10" s="8">
        <v>4741</v>
      </c>
      <c r="K10" s="8">
        <v>772</v>
      </c>
      <c r="L10" s="8">
        <v>305</v>
      </c>
      <c r="M10" s="8">
        <v>10</v>
      </c>
      <c r="N10" s="5"/>
      <c r="O10" s="5">
        <f ca="1">IFERROR(__xludf.DUMMYFUNCTION("GOOGLEFINANCE(""bom:""&amp;A10,""eps"")"),7.97)</f>
        <v>7.97</v>
      </c>
      <c r="P10" s="9">
        <f t="shared" ca="1" si="0"/>
        <v>6.3954587143926324E-3</v>
      </c>
      <c r="Q10" s="5">
        <v>2127</v>
      </c>
      <c r="R10" s="5">
        <v>3488</v>
      </c>
      <c r="S10" s="5">
        <v>1115</v>
      </c>
      <c r="T10" s="5">
        <v>2496</v>
      </c>
      <c r="U10" s="5">
        <v>2651</v>
      </c>
      <c r="V10" s="5">
        <v>100</v>
      </c>
      <c r="W10" s="5">
        <v>1075</v>
      </c>
      <c r="X10" s="5">
        <v>81</v>
      </c>
      <c r="Y10" s="5">
        <v>3204</v>
      </c>
      <c r="Z10" s="9">
        <f t="shared" si="1"/>
        <v>-5.8468502451904936E-2</v>
      </c>
      <c r="AA10" s="9">
        <f t="shared" si="2"/>
        <v>-0.90697674418604657</v>
      </c>
      <c r="AB10" s="9">
        <f t="shared" si="3"/>
        <v>0.10398150386129013</v>
      </c>
      <c r="AC10" s="9">
        <f t="shared" si="4"/>
        <v>4.0064102564102567E-2</v>
      </c>
      <c r="AD10" s="9">
        <f t="shared" si="5"/>
        <v>0.31966743119266056</v>
      </c>
      <c r="AE10" s="11">
        <f t="shared" si="6"/>
        <v>4.5061728395061724</v>
      </c>
      <c r="AF10" s="12">
        <f t="shared" si="7"/>
        <v>1.5238095238095237</v>
      </c>
      <c r="AG10" s="6">
        <f t="shared" si="8"/>
        <v>31.91657110091743</v>
      </c>
      <c r="AH10" s="12">
        <f t="shared" si="9"/>
        <v>0.16283484496941575</v>
      </c>
      <c r="AI10" s="12">
        <f t="shared" si="10"/>
        <v>0.26696552790230327</v>
      </c>
      <c r="AJ10" s="9">
        <f t="shared" si="11"/>
        <v>0.23518245095971313</v>
      </c>
      <c r="AK10" s="11">
        <f t="shared" si="12"/>
        <v>6.1944444444444446</v>
      </c>
      <c r="AL10" s="9">
        <f t="shared" si="13"/>
        <v>0.17236048848353686</v>
      </c>
      <c r="AM10" s="11">
        <f ca="1">IFERROR(__xludf.DUMMYFUNCTION("GOOGLEFINANCE(""bom:""&amp;A10,""PE"")"),31.24)</f>
        <v>31.24</v>
      </c>
      <c r="AN10" s="9">
        <f t="shared" ca="1" si="14"/>
        <v>3.2008032128514052E-2</v>
      </c>
      <c r="AO10" s="6">
        <f t="shared" si="15"/>
        <v>273.38888888888891</v>
      </c>
      <c r="AP10" s="12">
        <f t="shared" ca="1" si="16"/>
        <v>0.91079048973785803</v>
      </c>
    </row>
    <row r="11" spans="1:42" ht="15.75" customHeight="1">
      <c r="A11" s="3">
        <v>506022</v>
      </c>
      <c r="B11" s="4" t="s">
        <v>51</v>
      </c>
      <c r="C11" s="5">
        <f ca="1">IFERROR(__xludf.DUMMYFUNCTION("GOOGLEFINANCE(""bom:""&amp;A11,""price"")"),191.35)</f>
        <v>191.35</v>
      </c>
      <c r="D11" s="6">
        <f ca="1">IFERROR(__xludf.DUMMYFUNCTION("GOOGLEFINANCE(""bom:""&amp;A11,""marketcap"")/10000000"),3429.9775619)</f>
        <v>3429.9775619000002</v>
      </c>
      <c r="E11" s="7">
        <v>848</v>
      </c>
      <c r="F11" s="8">
        <v>865</v>
      </c>
      <c r="G11" s="8">
        <v>4285</v>
      </c>
      <c r="H11" s="8">
        <v>1173</v>
      </c>
      <c r="I11" s="8">
        <v>179</v>
      </c>
      <c r="J11" s="8">
        <v>3111</v>
      </c>
      <c r="K11" s="8">
        <v>431</v>
      </c>
      <c r="L11" s="8">
        <v>102</v>
      </c>
      <c r="M11" s="8">
        <v>10</v>
      </c>
      <c r="N11" s="5"/>
      <c r="O11" s="5">
        <f ca="1">IFERROR(__xludf.DUMMYFUNCTION("GOOGLEFINANCE(""bom:""&amp;A11,""eps"")"),19.44)</f>
        <v>19.440000000000001</v>
      </c>
      <c r="P11" s="9">
        <f t="shared" ca="1" si="0"/>
        <v>4.8916645895697693E-3</v>
      </c>
      <c r="Q11" s="5">
        <v>3007</v>
      </c>
      <c r="R11" s="5">
        <v>3444</v>
      </c>
      <c r="S11" s="5">
        <v>190</v>
      </c>
      <c r="T11" s="5">
        <v>2787</v>
      </c>
      <c r="U11" s="5">
        <v>2433</v>
      </c>
      <c r="V11" s="5">
        <v>259</v>
      </c>
      <c r="W11" s="5">
        <v>132</v>
      </c>
      <c r="X11" s="5">
        <v>82</v>
      </c>
      <c r="Y11" s="5">
        <v>3112</v>
      </c>
      <c r="Z11" s="9">
        <f t="shared" si="1"/>
        <v>0.14549938347718872</v>
      </c>
      <c r="AA11" s="9">
        <f t="shared" si="2"/>
        <v>0.96212121212121215</v>
      </c>
      <c r="AB11" s="9">
        <f t="shared" si="3"/>
        <v>2.7509729570529107E-2</v>
      </c>
      <c r="AC11" s="9">
        <f t="shared" si="4"/>
        <v>9.2931467527807676E-2</v>
      </c>
      <c r="AD11" s="9">
        <f t="shared" si="5"/>
        <v>5.516840882694541E-2</v>
      </c>
      <c r="AE11" s="11">
        <f t="shared" si="6"/>
        <v>5.0487804878048781</v>
      </c>
      <c r="AF11" s="12">
        <f t="shared" si="7"/>
        <v>0.98034682080924851</v>
      </c>
      <c r="AG11" s="6">
        <f t="shared" si="8"/>
        <v>10.810104529616725</v>
      </c>
      <c r="AH11" s="12">
        <f t="shared" si="9"/>
        <v>0.13854066216650596</v>
      </c>
      <c r="AI11" s="12">
        <f t="shared" si="10"/>
        <v>0.27374562427071181</v>
      </c>
      <c r="AJ11" s="9">
        <f t="shared" si="11"/>
        <v>6.1073609771777566E-2</v>
      </c>
      <c r="AK11" s="11">
        <f t="shared" si="12"/>
        <v>1.0614525139664805</v>
      </c>
      <c r="AL11" s="9">
        <f t="shared" si="13"/>
        <v>4.4340723453908985E-2</v>
      </c>
      <c r="AM11" s="11">
        <f ca="1">IFERROR(__xludf.DUMMYFUNCTION("GOOGLEFINANCE(""bom:""&amp;A11,""PE"")"),9.84)</f>
        <v>9.84</v>
      </c>
      <c r="AN11" s="9">
        <f t="shared" ca="1" si="14"/>
        <v>0.10159393781029528</v>
      </c>
      <c r="AO11" s="6">
        <f t="shared" si="15"/>
        <v>183.79888268156427</v>
      </c>
      <c r="AP11" s="12">
        <f t="shared" ca="1" si="16"/>
        <v>1.0410835866261396</v>
      </c>
    </row>
    <row r="12" spans="1:42" ht="15.75" customHeight="1">
      <c r="A12" s="3">
        <v>500460</v>
      </c>
      <c r="B12" s="4" t="s">
        <v>52</v>
      </c>
      <c r="C12" s="5">
        <f ca="1">IFERROR(__xludf.DUMMYFUNCTION("GOOGLEFINANCE(""bom:""&amp;A12,""price"")"),183)</f>
        <v>183</v>
      </c>
      <c r="D12" s="6">
        <f ca="1">IFERROR(__xludf.DUMMYFUNCTION("GOOGLEFINANCE(""bom:""&amp;A12,""marketcap"")/10000000"),2627.941)</f>
        <v>2627.9409999999998</v>
      </c>
      <c r="E12" s="7">
        <v>2293</v>
      </c>
      <c r="F12" s="8">
        <v>599</v>
      </c>
      <c r="G12" s="8">
        <v>2992</v>
      </c>
      <c r="H12" s="8">
        <v>2113</v>
      </c>
      <c r="I12" s="8">
        <v>144</v>
      </c>
      <c r="J12" s="8">
        <v>879</v>
      </c>
      <c r="K12" s="8">
        <v>1497</v>
      </c>
      <c r="L12" s="8">
        <v>519</v>
      </c>
      <c r="M12" s="8">
        <v>10</v>
      </c>
      <c r="N12" s="5"/>
      <c r="O12" s="5">
        <f ca="1">IFERROR(__xludf.DUMMYFUNCTION("GOOGLEFINANCE(""bom:""&amp;A12,""eps"")"),7.11)</f>
        <v>7.11</v>
      </c>
      <c r="P12" s="9">
        <f t="shared" ca="1" si="0"/>
        <v>3.7478396581864725E-3</v>
      </c>
      <c r="Q12" s="5">
        <v>3528</v>
      </c>
      <c r="R12" s="5">
        <v>5567</v>
      </c>
      <c r="S12" s="5">
        <v>172</v>
      </c>
      <c r="T12" s="5">
        <v>3935</v>
      </c>
      <c r="U12" s="5">
        <v>4255</v>
      </c>
      <c r="V12" s="5">
        <v>74</v>
      </c>
      <c r="W12" s="5">
        <v>46</v>
      </c>
      <c r="X12" s="5">
        <v>177</v>
      </c>
      <c r="Y12" s="5">
        <v>5974</v>
      </c>
      <c r="Z12" s="9">
        <f t="shared" si="1"/>
        <v>-7.5205640423031683E-2</v>
      </c>
      <c r="AA12" s="9">
        <f t="shared" si="2"/>
        <v>0.60869565217391308</v>
      </c>
      <c r="AB12" s="9">
        <f t="shared" si="3"/>
        <v>9.5515505989804961E-2</v>
      </c>
      <c r="AC12" s="9">
        <f t="shared" si="4"/>
        <v>1.8805590851334181E-2</v>
      </c>
      <c r="AD12" s="9">
        <f t="shared" si="5"/>
        <v>3.0896353511765763E-2</v>
      </c>
      <c r="AE12" s="11">
        <f t="shared" si="6"/>
        <v>-1.2994350282485876</v>
      </c>
      <c r="AF12" s="12">
        <f t="shared" si="7"/>
        <v>3.8280467445742903</v>
      </c>
      <c r="AG12" s="6">
        <f t="shared" si="8"/>
        <v>34.028201904077605</v>
      </c>
      <c r="AH12" s="12">
        <f t="shared" si="9"/>
        <v>1.7030716723549488</v>
      </c>
      <c r="AI12" s="12">
        <f t="shared" si="10"/>
        <v>0.70621657754010692</v>
      </c>
      <c r="AJ12" s="9">
        <f t="shared" si="11"/>
        <v>0.1956769055745165</v>
      </c>
      <c r="AK12" s="11">
        <f t="shared" si="12"/>
        <v>1.1944444444444444</v>
      </c>
      <c r="AL12" s="9">
        <f t="shared" si="13"/>
        <v>5.7486631016042782E-2</v>
      </c>
      <c r="AM12" s="11">
        <f ca="1">IFERROR(__xludf.DUMMYFUNCTION("GOOGLEFINANCE(""bom:""&amp;A12,""PE"")"),25.75)</f>
        <v>25.75</v>
      </c>
      <c r="AN12" s="9">
        <f t="shared" ca="1" si="14"/>
        <v>3.8852459016393441E-2</v>
      </c>
      <c r="AO12" s="6">
        <f t="shared" si="15"/>
        <v>71.041666666666671</v>
      </c>
      <c r="AP12" s="12">
        <f t="shared" ca="1" si="16"/>
        <v>2.5759530791788854</v>
      </c>
    </row>
    <row r="13" spans="1:42" ht="15.75" customHeight="1">
      <c r="A13" s="3">
        <v>511672</v>
      </c>
      <c r="B13" s="4" t="s">
        <v>53</v>
      </c>
      <c r="C13" s="5">
        <f ca="1">IFERROR(__xludf.DUMMYFUNCTION("GOOGLEFINANCE(""bom:""&amp;A13,""price"")"),60.1)</f>
        <v>60.1</v>
      </c>
      <c r="D13" s="6">
        <f ca="1">IFERROR(__xludf.DUMMYFUNCTION("GOOGLEFINANCE(""bom:""&amp;A13,""marketcap"")/10000000"),314.6371948)</f>
        <v>314.63719479999997</v>
      </c>
      <c r="E13" s="7"/>
      <c r="F13" s="8"/>
      <c r="G13" s="8"/>
      <c r="H13" s="8"/>
      <c r="I13" s="8"/>
      <c r="J13" s="8"/>
      <c r="K13" s="8"/>
      <c r="L13" s="8"/>
      <c r="M13" s="5"/>
      <c r="N13" s="5"/>
      <c r="O13" s="5">
        <f ca="1">IFERROR(__xludf.DUMMYFUNCTION("GOOGLEFINANCE(""bom:""&amp;A13,""eps"")"),4)</f>
        <v>4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15.75" customHeight="1">
      <c r="A14" s="3">
        <v>513693</v>
      </c>
      <c r="B14" s="4" t="s">
        <v>54</v>
      </c>
      <c r="C14" s="5">
        <f ca="1">IFERROR(__xludf.DUMMYFUNCTION("GOOGLEFINANCE(""bom:""&amp;A14,""price"")"),46.61)</f>
        <v>46.61</v>
      </c>
      <c r="D14" s="6">
        <f ca="1">IFERROR(__xludf.DUMMYFUNCTION("GOOGLEFINANCE(""bom:""&amp;A14,""marketcap"")/10000000"),166.4052)</f>
        <v>166.40520000000001</v>
      </c>
      <c r="E14" s="7"/>
      <c r="F14" s="8"/>
      <c r="G14" s="8"/>
      <c r="H14" s="8"/>
      <c r="I14" s="8"/>
      <c r="J14" s="8"/>
      <c r="K14" s="8"/>
      <c r="L14" s="8"/>
      <c r="M14" s="5"/>
      <c r="N14" s="5"/>
      <c r="O14" s="5">
        <f ca="1">IFERROR(__xludf.DUMMYFUNCTION("GOOGLEFINANCE(""bom:""&amp;A14,""eps"")"),0.64)</f>
        <v>0.64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5.75" customHeight="1">
      <c r="A15" s="3">
        <v>532870</v>
      </c>
      <c r="B15" s="4" t="s">
        <v>55</v>
      </c>
      <c r="C15" s="5">
        <f ca="1">IFERROR(__xludf.DUMMYFUNCTION("GOOGLEFINANCE(""bom:""&amp;A15,""price"")"),4.2)</f>
        <v>4.2</v>
      </c>
      <c r="D15" s="6">
        <f ca="1">IFERROR(__xludf.DUMMYFUNCTION("GOOGLEFINANCE(""bom:""&amp;A15,""marketcap"")/10000000"),59.1253)</f>
        <v>59.125300000000003</v>
      </c>
      <c r="E15" s="7"/>
      <c r="F15" s="8"/>
      <c r="G15" s="8"/>
      <c r="H15" s="8"/>
      <c r="I15" s="8"/>
      <c r="J15" s="8"/>
      <c r="K15" s="8"/>
      <c r="L15" s="8"/>
      <c r="M15" s="5"/>
      <c r="N15" s="5"/>
      <c r="O15" s="5">
        <f ca="1">IFERROR(__xludf.DUMMYFUNCTION("GOOGLEFINANCE(""bom:""&amp;A15,""eps"")"),-18.2)</f>
        <v>-18.2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5.75" customHeight="1">
      <c r="A16" s="13"/>
      <c r="B16" s="13"/>
      <c r="C16" s="13"/>
      <c r="D16" s="13"/>
      <c r="E16" s="13"/>
      <c r="F16" s="14"/>
      <c r="G16" s="14"/>
      <c r="H16" s="14"/>
      <c r="I16" s="14"/>
      <c r="J16" s="14"/>
      <c r="K16" s="14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9"/>
      <c r="AA16" s="9"/>
      <c r="AB16" s="9"/>
      <c r="AC16" s="13"/>
      <c r="AD16" s="9"/>
      <c r="AE16" s="11"/>
      <c r="AF16" s="12"/>
      <c r="AG16" s="6"/>
      <c r="AH16" s="12"/>
      <c r="AI16" s="12"/>
      <c r="AJ16" s="9"/>
      <c r="AK16" s="13"/>
      <c r="AL16" s="13"/>
      <c r="AM16" s="13"/>
      <c r="AN16" s="13"/>
      <c r="AO16" s="6"/>
      <c r="AP16" s="13"/>
    </row>
    <row r="17" spans="1:42" ht="15.75" customHeight="1">
      <c r="A17" s="13"/>
      <c r="B17" s="13" t="s">
        <v>56</v>
      </c>
      <c r="C17" s="13"/>
      <c r="D17" s="15">
        <f t="shared" ref="D17:L17" ca="1" si="17">SUM(D2:D15)</f>
        <v>701188.21499199991</v>
      </c>
      <c r="E17" s="15">
        <f t="shared" si="17"/>
        <v>213075</v>
      </c>
      <c r="F17" s="15">
        <f t="shared" si="17"/>
        <v>250538</v>
      </c>
      <c r="G17" s="15">
        <f t="shared" si="17"/>
        <v>754967</v>
      </c>
      <c r="H17" s="15">
        <f t="shared" si="17"/>
        <v>455617</v>
      </c>
      <c r="I17" s="15">
        <f t="shared" si="17"/>
        <v>6875</v>
      </c>
      <c r="J17" s="15">
        <f t="shared" si="17"/>
        <v>298956</v>
      </c>
      <c r="K17" s="15">
        <f t="shared" si="17"/>
        <v>214459</v>
      </c>
      <c r="L17" s="15">
        <f t="shared" si="17"/>
        <v>26241</v>
      </c>
      <c r="M17" s="15">
        <f>MEDIAN(M2:M12)</f>
        <v>10</v>
      </c>
      <c r="N17" s="13"/>
      <c r="O17" s="13">
        <f t="shared" ref="O17:Y17" ca="1" si="18">SUM(O2:O15)</f>
        <v>250.99</v>
      </c>
      <c r="P17" s="16">
        <f t="shared" ca="1" si="18"/>
        <v>0.99922963951297139</v>
      </c>
      <c r="Q17" s="13">
        <f t="shared" si="18"/>
        <v>320884</v>
      </c>
      <c r="R17" s="13">
        <f t="shared" si="18"/>
        <v>637885</v>
      </c>
      <c r="S17" s="13">
        <f t="shared" si="18"/>
        <v>23435</v>
      </c>
      <c r="T17" s="13">
        <f t="shared" si="18"/>
        <v>471139</v>
      </c>
      <c r="U17" s="13">
        <f t="shared" si="18"/>
        <v>468240</v>
      </c>
      <c r="V17" s="13">
        <f t="shared" si="18"/>
        <v>13611</v>
      </c>
      <c r="W17" s="13">
        <f t="shared" si="18"/>
        <v>35057</v>
      </c>
      <c r="X17" s="15">
        <f t="shared" si="18"/>
        <v>17653</v>
      </c>
      <c r="Y17" s="15">
        <f t="shared" si="18"/>
        <v>605325</v>
      </c>
      <c r="Z17" s="9">
        <f>(T17/U17)-1</f>
        <v>6.1912694344781194E-3</v>
      </c>
      <c r="AA17" s="9">
        <f>(V17/W17)-1</f>
        <v>-0.61174658413440963</v>
      </c>
      <c r="AB17" s="9">
        <f>(R17/Q17)^(1/5)-1</f>
        <v>0.14730494489563672</v>
      </c>
      <c r="AC17" s="9">
        <f>V17/T17</f>
        <v>2.8889563377262336E-2</v>
      </c>
      <c r="AD17" s="9">
        <f>S17/R17</f>
        <v>3.6738597082546225E-2</v>
      </c>
      <c r="AE17" s="11">
        <f>(R17-Y17+X17)/X17</f>
        <v>2.844445703279896</v>
      </c>
      <c r="AF17" s="12">
        <f>E17/F17</f>
        <v>0.8504697890140418</v>
      </c>
      <c r="AG17" s="6">
        <f>(L17/R17)*365</f>
        <v>15.015190825932574</v>
      </c>
      <c r="AH17" s="12">
        <f>K17/J17</f>
        <v>0.71735974524679214</v>
      </c>
      <c r="AI17" s="12">
        <f>H17/G17</f>
        <v>0.60349260298794516</v>
      </c>
      <c r="AJ17" s="9">
        <f>S17/J17</f>
        <v>7.8389461994407203E-2</v>
      </c>
      <c r="AK17" s="13"/>
      <c r="AL17" s="9">
        <f>S17/G17</f>
        <v>3.104109186229332E-2</v>
      </c>
      <c r="AM17" s="17">
        <f t="shared" ref="AM17:AN17" ca="1" si="19">MEDIAN(AM2:AM12)</f>
        <v>18.440000000000001</v>
      </c>
      <c r="AN17" s="16">
        <f t="shared" ca="1" si="19"/>
        <v>5.0322143099355718E-2</v>
      </c>
      <c r="AO17" s="6">
        <f>(J17+I17)/(I17/M17)</f>
        <v>444.84509090909091</v>
      </c>
      <c r="AP17" s="18">
        <f ca="1">MEDIAN(AP2:AP12)</f>
        <v>2.3191880158389386</v>
      </c>
    </row>
    <row r="18" spans="1:42" ht="15.75" customHeight="1"/>
    <row r="19" spans="1:42" ht="15.75" customHeight="1">
      <c r="A19" s="1" t="s">
        <v>56</v>
      </c>
    </row>
    <row r="20" spans="1:42" ht="15.75" customHeight="1"/>
    <row r="21" spans="1:42" ht="15.75" customHeight="1">
      <c r="B21" s="1" t="s">
        <v>57</v>
      </c>
      <c r="G21" s="1" t="s">
        <v>58</v>
      </c>
    </row>
    <row r="22" spans="1:42" ht="15.75" customHeight="1"/>
    <row r="23" spans="1:42" ht="15.75" customHeight="1"/>
    <row r="24" spans="1:42" ht="15.75" customHeight="1"/>
    <row r="25" spans="1:42" ht="15.75" customHeight="1"/>
    <row r="26" spans="1:42" ht="15.75" customHeight="1"/>
    <row r="27" spans="1:42" ht="15.75" customHeight="1"/>
    <row r="28" spans="1:42" ht="15.75" customHeight="1"/>
    <row r="29" spans="1:42" ht="15.75" customHeight="1"/>
    <row r="30" spans="1:42" ht="15.75" customHeight="1"/>
    <row r="31" spans="1:42" ht="15.75" customHeight="1"/>
    <row r="32" spans="1:42" ht="15.75" customHeight="1"/>
    <row r="33" spans="1:11" ht="15.75" customHeight="1"/>
    <row r="34" spans="1:11" ht="15.75" customHeight="1"/>
    <row r="35" spans="1:11" ht="15.75" customHeight="1"/>
    <row r="36" spans="1:11" ht="15.75" customHeight="1"/>
    <row r="37" spans="1:11" ht="15.75" customHeight="1">
      <c r="A37" s="1" t="s">
        <v>59</v>
      </c>
    </row>
    <row r="38" spans="1:11" ht="15.75" customHeight="1">
      <c r="B38" s="19" t="s">
        <v>1</v>
      </c>
      <c r="C38" s="19" t="s">
        <v>3</v>
      </c>
      <c r="F38" s="1" t="s">
        <v>1</v>
      </c>
      <c r="G38" s="20" t="s">
        <v>17</v>
      </c>
      <c r="J38" s="1" t="s">
        <v>1</v>
      </c>
      <c r="K38" s="20" t="s">
        <v>18</v>
      </c>
    </row>
    <row r="39" spans="1:11" ht="15.75" customHeight="1">
      <c r="B39" s="21" t="s">
        <v>42</v>
      </c>
      <c r="C39" s="22">
        <v>199885.20495000001</v>
      </c>
      <c r="F39" s="23" t="s">
        <v>42</v>
      </c>
      <c r="G39" s="24">
        <v>165960</v>
      </c>
      <c r="J39" s="23" t="s">
        <v>42</v>
      </c>
      <c r="K39" s="24">
        <v>4139</v>
      </c>
    </row>
    <row r="40" spans="1:11" ht="15.75" customHeight="1">
      <c r="B40" s="21" t="s">
        <v>43</v>
      </c>
      <c r="C40" s="22">
        <v>176283.8276084</v>
      </c>
      <c r="F40" s="23" t="s">
        <v>43</v>
      </c>
      <c r="G40" s="24">
        <v>243353</v>
      </c>
      <c r="J40" s="23" t="s">
        <v>43</v>
      </c>
      <c r="K40" s="24">
        <v>8075</v>
      </c>
    </row>
    <row r="41" spans="1:11" ht="15.75" customHeight="1">
      <c r="B41" s="21" t="s">
        <v>44</v>
      </c>
      <c r="C41" s="22">
        <v>77000.146058600003</v>
      </c>
      <c r="F41" s="23" t="s">
        <v>44</v>
      </c>
      <c r="G41" s="24">
        <v>52711</v>
      </c>
      <c r="J41" s="23" t="s">
        <v>44</v>
      </c>
      <c r="K41" s="24">
        <v>3974</v>
      </c>
    </row>
    <row r="42" spans="1:11" ht="15.75" customHeight="1">
      <c r="B42" s="21" t="s">
        <v>45</v>
      </c>
      <c r="C42" s="22">
        <v>52664.479898899997</v>
      </c>
      <c r="F42" s="23" t="s">
        <v>45</v>
      </c>
      <c r="G42" s="24">
        <v>104448</v>
      </c>
      <c r="J42" s="23" t="s">
        <v>45</v>
      </c>
      <c r="K42" s="24">
        <v>2176</v>
      </c>
    </row>
    <row r="43" spans="1:11" ht="15.75" customHeight="1">
      <c r="B43" s="21" t="s">
        <v>46</v>
      </c>
      <c r="C43" s="22">
        <v>52013.137383000001</v>
      </c>
      <c r="F43" s="23" t="s">
        <v>46</v>
      </c>
      <c r="G43" s="24">
        <v>35967</v>
      </c>
      <c r="J43" s="23" t="s">
        <v>46</v>
      </c>
      <c r="K43" s="24">
        <v>2084</v>
      </c>
    </row>
    <row r="44" spans="1:11" ht="15.75" customHeight="1">
      <c r="B44" s="21" t="s">
        <v>47</v>
      </c>
      <c r="C44" s="22">
        <v>18614.677575000002</v>
      </c>
      <c r="F44" s="23" t="s">
        <v>47</v>
      </c>
      <c r="G44" s="24">
        <v>12610</v>
      </c>
      <c r="J44" s="23" t="s">
        <v>47</v>
      </c>
      <c r="K44" s="24">
        <v>848</v>
      </c>
    </row>
    <row r="45" spans="1:11" ht="15.75" customHeight="1">
      <c r="B45" s="21" t="s">
        <v>48</v>
      </c>
      <c r="C45" s="22">
        <v>15242.7785</v>
      </c>
      <c r="F45" s="23" t="s">
        <v>48</v>
      </c>
      <c r="G45" s="24">
        <v>6125</v>
      </c>
      <c r="J45" s="23" t="s">
        <v>48</v>
      </c>
      <c r="K45" s="24">
        <v>58</v>
      </c>
    </row>
    <row r="46" spans="1:11" ht="15.75" customHeight="1">
      <c r="B46" s="21" t="s">
        <v>49</v>
      </c>
      <c r="C46" s="22">
        <v>8053.674</v>
      </c>
      <c r="F46" s="23" t="s">
        <v>49</v>
      </c>
      <c r="G46" s="24">
        <v>4212</v>
      </c>
      <c r="J46" s="23" t="s">
        <v>49</v>
      </c>
      <c r="K46" s="24">
        <v>604</v>
      </c>
    </row>
    <row r="47" spans="1:11" ht="15.75" customHeight="1">
      <c r="B47" s="21" t="s">
        <v>50</v>
      </c>
      <c r="C47" s="22">
        <v>3799.0250068999999</v>
      </c>
      <c r="F47" s="23" t="s">
        <v>50</v>
      </c>
      <c r="G47" s="24">
        <v>3488</v>
      </c>
      <c r="J47" s="23" t="s">
        <v>50</v>
      </c>
      <c r="K47" s="24">
        <v>1115</v>
      </c>
    </row>
    <row r="48" spans="1:11" ht="15.75" customHeight="1">
      <c r="B48" s="21" t="s">
        <v>51</v>
      </c>
      <c r="C48" s="22">
        <v>3299.5821649999998</v>
      </c>
      <c r="F48" s="23" t="s">
        <v>51</v>
      </c>
      <c r="G48" s="24">
        <v>3444</v>
      </c>
      <c r="J48" s="23" t="s">
        <v>51</v>
      </c>
      <c r="K48" s="24">
        <v>190</v>
      </c>
    </row>
    <row r="49" spans="2:11" ht="15.75" customHeight="1">
      <c r="B49" s="21" t="s">
        <v>52</v>
      </c>
      <c r="C49" s="22">
        <v>2424.6345339999998</v>
      </c>
      <c r="F49" s="23" t="s">
        <v>52</v>
      </c>
      <c r="G49" s="24">
        <v>5567</v>
      </c>
      <c r="J49" s="23" t="s">
        <v>52</v>
      </c>
      <c r="K49" s="24">
        <v>172</v>
      </c>
    </row>
    <row r="50" spans="2:11" ht="15.75" customHeight="1">
      <c r="B50" s="21" t="s">
        <v>53</v>
      </c>
      <c r="C50" s="22">
        <v>451.53858750000001</v>
      </c>
    </row>
    <row r="51" spans="2:11" ht="15.75" customHeight="1">
      <c r="B51" s="21" t="s">
        <v>54</v>
      </c>
      <c r="C51" s="22">
        <v>183.97577440000001</v>
      </c>
    </row>
    <row r="52" spans="2:11" ht="15.75" customHeight="1">
      <c r="B52" s="25" t="s">
        <v>55</v>
      </c>
      <c r="C52" s="26">
        <v>59.971960000000003</v>
      </c>
    </row>
    <row r="53" spans="2:11" ht="15.75" customHeight="1">
      <c r="B53" s="10"/>
      <c r="C53" s="10"/>
    </row>
    <row r="54" spans="2:11" ht="15.75" customHeight="1">
      <c r="B54" s="27" t="s">
        <v>56</v>
      </c>
      <c r="C54" s="28">
        <f>SUM(C39:C52)</f>
        <v>609976.65400169999</v>
      </c>
      <c r="F54" s="27" t="s">
        <v>56</v>
      </c>
      <c r="G54" s="28">
        <f>SUM(G39:G52)</f>
        <v>637885</v>
      </c>
      <c r="J54" s="27" t="s">
        <v>56</v>
      </c>
      <c r="K54" s="28">
        <f>SUM(K39:K52)</f>
        <v>23435</v>
      </c>
    </row>
    <row r="55" spans="2:11" ht="15.75" customHeight="1"/>
    <row r="56" spans="2:11" ht="15.75" customHeight="1"/>
    <row r="57" spans="2:11" ht="15.75" customHeight="1"/>
    <row r="58" spans="2:11" ht="15.75" customHeight="1"/>
    <row r="59" spans="2:11" ht="15.75" customHeight="1"/>
    <row r="60" spans="2:11" ht="15.75" customHeight="1"/>
    <row r="61" spans="2:11" ht="15.75" customHeight="1"/>
    <row r="62" spans="2:11" ht="15.75" customHeight="1"/>
    <row r="63" spans="2:11" ht="15.75" customHeight="1"/>
    <row r="64" spans="2:11" ht="15.75" customHeight="1"/>
    <row r="65" spans="1:7" ht="15.75" customHeight="1"/>
    <row r="66" spans="1:7" ht="15.75" customHeight="1"/>
    <row r="67" spans="1:7" ht="15.75" customHeight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>
      <c r="A72" s="1" t="s">
        <v>60</v>
      </c>
    </row>
    <row r="73" spans="1:7" ht="15.75" customHeight="1">
      <c r="B73" s="1" t="s">
        <v>1</v>
      </c>
      <c r="C73" s="1" t="s">
        <v>27</v>
      </c>
      <c r="F73" s="1" t="s">
        <v>1</v>
      </c>
      <c r="G73" s="1" t="s">
        <v>25</v>
      </c>
    </row>
    <row r="74" spans="1:7" ht="15.75" customHeight="1">
      <c r="B74" s="23" t="s">
        <v>42</v>
      </c>
      <c r="C74" s="29">
        <v>0.18341162869005889</v>
      </c>
      <c r="F74" s="23" t="s">
        <v>42</v>
      </c>
      <c r="G74" s="29">
        <v>8.2199488491048633E-2</v>
      </c>
    </row>
    <row r="75" spans="1:7" ht="15.75" customHeight="1">
      <c r="B75" s="23" t="s">
        <v>43</v>
      </c>
      <c r="C75" s="29">
        <v>0.12840905920610846</v>
      </c>
      <c r="F75" s="23" t="s">
        <v>43</v>
      </c>
      <c r="G75" s="29">
        <v>-5.8791395619770648E-2</v>
      </c>
    </row>
    <row r="76" spans="1:7" ht="15.75" customHeight="1">
      <c r="B76" s="23" t="s">
        <v>44</v>
      </c>
      <c r="C76" s="29">
        <v>0.13142267735758018</v>
      </c>
      <c r="F76" s="23" t="s">
        <v>44</v>
      </c>
      <c r="G76" s="29">
        <v>-5.9984075024329786E-2</v>
      </c>
    </row>
    <row r="77" spans="1:7" ht="15.75" customHeight="1">
      <c r="B77" s="23" t="s">
        <v>45</v>
      </c>
      <c r="C77" s="29">
        <v>0.12113959849018552</v>
      </c>
      <c r="F77" s="23" t="s">
        <v>45</v>
      </c>
      <c r="G77" s="29">
        <v>2.7908705869856831E-2</v>
      </c>
    </row>
    <row r="78" spans="1:7" ht="15.75" customHeight="1">
      <c r="B78" s="23" t="s">
        <v>46</v>
      </c>
      <c r="C78" s="29">
        <v>0.24933640674619184</v>
      </c>
      <c r="F78" s="23" t="s">
        <v>46</v>
      </c>
      <c r="G78" s="29">
        <v>0.12251745015618365</v>
      </c>
    </row>
    <row r="79" spans="1:7" ht="15.75" customHeight="1">
      <c r="B79" s="23" t="s">
        <v>47</v>
      </c>
      <c r="C79" s="29">
        <v>0.2679321225049478</v>
      </c>
      <c r="F79" s="23" t="s">
        <v>47</v>
      </c>
      <c r="G79" s="29">
        <v>0.16512758201701083</v>
      </c>
    </row>
    <row r="80" spans="1:7" ht="15.75" customHeight="1">
      <c r="B80" s="23" t="s">
        <v>48</v>
      </c>
      <c r="C80" s="29">
        <v>0.20359082936664041</v>
      </c>
      <c r="F80" s="23" t="s">
        <v>48</v>
      </c>
      <c r="G80" s="29">
        <v>3.79459213815041E-2</v>
      </c>
    </row>
    <row r="81" spans="2:7" ht="15.75" customHeight="1">
      <c r="B81" s="23" t="s">
        <v>49</v>
      </c>
      <c r="C81" s="29">
        <v>0.13695829328445863</v>
      </c>
      <c r="F81" s="23" t="s">
        <v>49</v>
      </c>
      <c r="G81" s="29">
        <v>-5.3967234179248313E-2</v>
      </c>
    </row>
    <row r="82" spans="2:7" ht="15.75" customHeight="1">
      <c r="B82" s="23" t="s">
        <v>50</v>
      </c>
      <c r="C82" s="29">
        <v>0.10398150386129013</v>
      </c>
      <c r="F82" s="23" t="s">
        <v>50</v>
      </c>
      <c r="G82" s="29">
        <v>-5.8468502451904936E-2</v>
      </c>
    </row>
    <row r="83" spans="2:7" ht="15.75" customHeight="1">
      <c r="B83" s="23" t="s">
        <v>51</v>
      </c>
      <c r="C83" s="29">
        <v>2.7509729570529107E-2</v>
      </c>
      <c r="F83" s="23" t="s">
        <v>51</v>
      </c>
      <c r="G83" s="29">
        <v>0.14549938347718872</v>
      </c>
    </row>
    <row r="84" spans="2:7" ht="15.75" customHeight="1">
      <c r="B84" s="23" t="s">
        <v>52</v>
      </c>
      <c r="C84" s="29">
        <v>9.5515505989804961E-2</v>
      </c>
      <c r="F84" s="23" t="s">
        <v>52</v>
      </c>
      <c r="G84" s="29">
        <v>-7.5205640423031683E-2</v>
      </c>
    </row>
    <row r="85" spans="2:7" ht="15.75" customHeight="1">
      <c r="C85" s="30"/>
    </row>
    <row r="86" spans="2:7" ht="15.75" customHeight="1">
      <c r="B86" s="27" t="s">
        <v>56</v>
      </c>
      <c r="C86" s="31">
        <v>0.14729999999999999</v>
      </c>
      <c r="F86" s="27" t="s">
        <v>56</v>
      </c>
      <c r="G86" s="31">
        <v>6.1999999999999998E-3</v>
      </c>
    </row>
    <row r="87" spans="2:7" ht="15.75" customHeight="1"/>
    <row r="88" spans="2:7" ht="15.75" customHeight="1"/>
    <row r="89" spans="2:7" ht="15.75" customHeight="1"/>
    <row r="90" spans="2:7" ht="15.75" customHeight="1"/>
    <row r="91" spans="2:7" ht="15.75" customHeight="1"/>
    <row r="92" spans="2:7" ht="15.75" customHeight="1"/>
    <row r="93" spans="2:7" ht="15.75" customHeight="1"/>
    <row r="94" spans="2:7" ht="15.75" customHeight="1"/>
    <row r="95" spans="2:7" ht="15.75" customHeight="1"/>
    <row r="96" spans="2:7" ht="15.75" customHeight="1"/>
    <row r="97" spans="1:12" ht="15.75" customHeight="1"/>
    <row r="98" spans="1:12" ht="15.75" customHeight="1"/>
    <row r="99" spans="1:12" ht="15.75" customHeight="1"/>
    <row r="100" spans="1:12" ht="15.75" customHeight="1"/>
    <row r="101" spans="1:12" ht="15.75" customHeight="1"/>
    <row r="102" spans="1:12" ht="15.75" customHeight="1"/>
    <row r="103" spans="1:12" ht="15.75" customHeight="1"/>
    <row r="104" spans="1:12" ht="15.75" customHeight="1">
      <c r="A104" s="1" t="s">
        <v>61</v>
      </c>
    </row>
    <row r="105" spans="1:12" ht="15.75" customHeight="1">
      <c r="B105" s="1" t="s">
        <v>1</v>
      </c>
      <c r="C105" s="1" t="s">
        <v>29</v>
      </c>
      <c r="D105" s="1" t="s">
        <v>28</v>
      </c>
      <c r="G105" s="1" t="s">
        <v>1</v>
      </c>
      <c r="H105" s="1" t="s">
        <v>31</v>
      </c>
      <c r="K105" s="1" t="s">
        <v>1</v>
      </c>
      <c r="L105" s="32" t="s">
        <v>32</v>
      </c>
    </row>
    <row r="106" spans="1:12" ht="15.75" customHeight="1">
      <c r="B106" s="23" t="s">
        <v>42</v>
      </c>
      <c r="C106" s="29">
        <v>2.4939744516751024E-2</v>
      </c>
      <c r="D106" s="29">
        <v>6.0271620109971481E-2</v>
      </c>
      <c r="G106" s="23" t="s">
        <v>42</v>
      </c>
      <c r="H106" s="33">
        <v>0.85500389464270254</v>
      </c>
      <c r="K106" s="23" t="s">
        <v>42</v>
      </c>
      <c r="L106" s="34">
        <v>15.806549771029163</v>
      </c>
    </row>
    <row r="107" spans="1:12" ht="15.75" customHeight="1">
      <c r="B107" s="23" t="s">
        <v>43</v>
      </c>
      <c r="C107" s="29">
        <v>3.3182249653795105E-2</v>
      </c>
      <c r="D107" s="29">
        <v>-3.2360082913828844E-2</v>
      </c>
      <c r="G107" s="23" t="s">
        <v>43</v>
      </c>
      <c r="H107" s="33">
        <v>0.7301552220134172</v>
      </c>
      <c r="K107" s="23" t="s">
        <v>43</v>
      </c>
      <c r="L107" s="34">
        <v>10.168698146314203</v>
      </c>
    </row>
    <row r="108" spans="1:12" ht="15.75" customHeight="1">
      <c r="B108" s="23" t="s">
        <v>44</v>
      </c>
      <c r="C108" s="29">
        <v>7.5392233120221586E-2</v>
      </c>
      <c r="D108" s="29">
        <v>0.11785882352941177</v>
      </c>
      <c r="G108" s="23" t="s">
        <v>44</v>
      </c>
      <c r="H108" s="33">
        <v>1.0227488151658768</v>
      </c>
      <c r="K108" s="23" t="s">
        <v>44</v>
      </c>
      <c r="L108" s="34">
        <v>4.909506554609095</v>
      </c>
    </row>
    <row r="109" spans="1:12" ht="15.75" customHeight="1">
      <c r="B109" s="23" t="s">
        <v>45</v>
      </c>
      <c r="C109" s="29">
        <v>2.0833333333333332E-2</v>
      </c>
      <c r="D109" s="29">
        <v>2.5058448184554178E-2</v>
      </c>
      <c r="G109" s="23" t="s">
        <v>45</v>
      </c>
      <c r="H109" s="33">
        <v>0.82846589095629253</v>
      </c>
      <c r="K109" s="23" t="s">
        <v>45</v>
      </c>
      <c r="L109" s="34">
        <v>23.448195752910539</v>
      </c>
    </row>
    <row r="110" spans="1:12" ht="15.75" customHeight="1">
      <c r="B110" s="23" t="s">
        <v>46</v>
      </c>
      <c r="C110" s="29">
        <v>5.7942002391080716E-2</v>
      </c>
      <c r="D110" s="29">
        <v>7.5340112683798269E-2</v>
      </c>
      <c r="G110" s="23" t="s">
        <v>46</v>
      </c>
      <c r="H110" s="33">
        <v>1.4234838971978645</v>
      </c>
      <c r="K110" s="23" t="s">
        <v>46</v>
      </c>
      <c r="L110" s="34">
        <v>29.156768704645923</v>
      </c>
    </row>
    <row r="111" spans="1:12" ht="15.75" customHeight="1">
      <c r="B111" s="23" t="s">
        <v>47</v>
      </c>
      <c r="C111" s="29">
        <v>6.7248215701823946E-2</v>
      </c>
      <c r="D111" s="29">
        <v>8.4367504432161858E-2</v>
      </c>
      <c r="G111" s="23" t="s">
        <v>47</v>
      </c>
      <c r="H111" s="33">
        <v>1.0244673790257004</v>
      </c>
      <c r="K111" s="23" t="s">
        <v>47</v>
      </c>
      <c r="L111" s="34">
        <v>16.500257731958762</v>
      </c>
    </row>
    <row r="112" spans="1:12" ht="15.75" customHeight="1">
      <c r="B112" s="23" t="s">
        <v>48</v>
      </c>
      <c r="C112" s="29">
        <v>9.4693877551020409E-3</v>
      </c>
      <c r="D112" s="29">
        <v>0.13266199649737304</v>
      </c>
      <c r="G112" s="23" t="s">
        <v>48</v>
      </c>
      <c r="H112" s="33">
        <v>0.84007029876977157</v>
      </c>
      <c r="K112" s="23" t="s">
        <v>48</v>
      </c>
      <c r="L112" s="34">
        <v>12.931428571428571</v>
      </c>
    </row>
    <row r="113" spans="2:12" ht="15.75" customHeight="1">
      <c r="B113" s="23" t="s">
        <v>49</v>
      </c>
      <c r="C113" s="29">
        <v>0.14339981006647673</v>
      </c>
      <c r="D113" s="29">
        <v>0.14736842105263157</v>
      </c>
      <c r="G113" s="23" t="s">
        <v>49</v>
      </c>
      <c r="H113" s="33">
        <v>2.8963236054163941</v>
      </c>
      <c r="K113" s="23" t="s">
        <v>49</v>
      </c>
      <c r="L113" s="34">
        <v>23.291714150047479</v>
      </c>
    </row>
    <row r="114" spans="2:12" ht="15.75" customHeight="1">
      <c r="B114" s="23" t="s">
        <v>50</v>
      </c>
      <c r="C114" s="24" t="s">
        <v>62</v>
      </c>
      <c r="D114" s="29">
        <v>4.0064102564102567E-2</v>
      </c>
      <c r="G114" s="23" t="s">
        <v>50</v>
      </c>
      <c r="H114" s="33">
        <v>1.5238095238095237</v>
      </c>
      <c r="K114" s="23" t="s">
        <v>50</v>
      </c>
      <c r="L114" s="34">
        <v>31.91657110091743</v>
      </c>
    </row>
    <row r="115" spans="2:12" ht="15.75" customHeight="1">
      <c r="B115" s="23" t="s">
        <v>51</v>
      </c>
      <c r="C115" s="29">
        <v>5.516840882694541E-2</v>
      </c>
      <c r="D115" s="29">
        <v>9.2931467527807676E-2</v>
      </c>
      <c r="G115" s="23" t="s">
        <v>51</v>
      </c>
      <c r="H115" s="33">
        <v>0.98034682080924851</v>
      </c>
      <c r="K115" s="23" t="s">
        <v>51</v>
      </c>
      <c r="L115" s="34">
        <v>10.810104529616725</v>
      </c>
    </row>
    <row r="116" spans="2:12" ht="15.75" customHeight="1">
      <c r="B116" s="23" t="s">
        <v>52</v>
      </c>
      <c r="C116" s="29">
        <v>3.0896353511765763E-2</v>
      </c>
      <c r="D116" s="29">
        <v>1.8805590851334181E-2</v>
      </c>
      <c r="G116" s="23" t="s">
        <v>52</v>
      </c>
      <c r="H116" s="33">
        <v>3.8280467445742903</v>
      </c>
      <c r="K116" s="23" t="s">
        <v>52</v>
      </c>
      <c r="L116" s="34">
        <v>34.028201904077605</v>
      </c>
    </row>
    <row r="117" spans="2:12" ht="15.75" customHeight="1">
      <c r="H117" s="35"/>
    </row>
    <row r="118" spans="2:12" ht="15.75" customHeight="1">
      <c r="B118" s="27" t="s">
        <v>56</v>
      </c>
      <c r="C118" s="31">
        <v>3.6700000000000003E-2</v>
      </c>
      <c r="D118" s="31">
        <v>2.8899999999999999E-2</v>
      </c>
      <c r="G118" s="27" t="s">
        <v>56</v>
      </c>
      <c r="H118" s="36">
        <v>0.85</v>
      </c>
      <c r="K118" s="27" t="s">
        <v>56</v>
      </c>
      <c r="L118" s="36">
        <v>15</v>
      </c>
    </row>
    <row r="119" spans="2:12" ht="15.75" customHeight="1"/>
    <row r="120" spans="2:12" ht="15.75" customHeight="1"/>
    <row r="121" spans="2:12" ht="15.75" customHeight="1"/>
    <row r="122" spans="2:12" ht="15.75" customHeight="1"/>
    <row r="123" spans="2:12" ht="15.75" customHeight="1"/>
    <row r="124" spans="2:12" ht="15.75" customHeight="1"/>
    <row r="125" spans="2:12" ht="15.75" customHeight="1"/>
    <row r="126" spans="2:12" ht="15.75" customHeight="1"/>
    <row r="127" spans="2:12" ht="15.75" customHeight="1"/>
    <row r="128" spans="2:12" ht="15.75" customHeight="1"/>
    <row r="129" spans="1:11" ht="15.75" customHeight="1"/>
    <row r="130" spans="1:11" ht="15.75" customHeight="1"/>
    <row r="131" spans="1:11" ht="15.75" customHeight="1"/>
    <row r="132" spans="1:11" ht="15.75" customHeight="1"/>
    <row r="133" spans="1:11" ht="15.75" customHeight="1"/>
    <row r="134" spans="1:11" ht="15.75" customHeight="1"/>
    <row r="135" spans="1:11" ht="15.75" customHeight="1"/>
    <row r="136" spans="1:11" ht="15.75" customHeight="1">
      <c r="A136" s="1" t="s">
        <v>63</v>
      </c>
    </row>
    <row r="137" spans="1:11" ht="15.75" customHeight="1">
      <c r="B137" s="1" t="s">
        <v>1</v>
      </c>
      <c r="C137" s="1" t="s">
        <v>33</v>
      </c>
      <c r="F137" s="1" t="s">
        <v>1</v>
      </c>
      <c r="G137" s="1" t="s">
        <v>30</v>
      </c>
      <c r="J137" s="1" t="s">
        <v>1</v>
      </c>
      <c r="K137" s="1" t="s">
        <v>34</v>
      </c>
    </row>
    <row r="138" spans="1:11" ht="15.75" customHeight="1">
      <c r="B138" s="23" t="s">
        <v>42</v>
      </c>
      <c r="C138" s="37">
        <v>1.0599610074404169</v>
      </c>
      <c r="F138" s="23" t="s">
        <v>42</v>
      </c>
      <c r="G138" s="33">
        <v>1.6043175891046073</v>
      </c>
      <c r="J138" s="23" t="s">
        <v>42</v>
      </c>
      <c r="K138" s="37">
        <v>0.65083033092832199</v>
      </c>
    </row>
    <row r="139" spans="1:11" ht="15.75" customHeight="1">
      <c r="B139" s="23" t="s">
        <v>43</v>
      </c>
      <c r="C139" s="37">
        <v>0.92495461290882097</v>
      </c>
      <c r="F139" s="23" t="s">
        <v>43</v>
      </c>
      <c r="G139" s="33">
        <v>3.6459755516748689</v>
      </c>
      <c r="J139" s="23" t="s">
        <v>43</v>
      </c>
      <c r="K139" s="37">
        <v>0.66593976027724844</v>
      </c>
    </row>
    <row r="140" spans="1:11" ht="15.75" customHeight="1">
      <c r="B140" s="23" t="s">
        <v>44</v>
      </c>
      <c r="C140" s="37">
        <v>0.30768495050451916</v>
      </c>
      <c r="F140" s="23" t="s">
        <v>44</v>
      </c>
      <c r="G140" s="33">
        <v>5.012456747404844</v>
      </c>
      <c r="J140" s="23" t="s">
        <v>44</v>
      </c>
      <c r="K140" s="37">
        <v>0.42073339611144961</v>
      </c>
    </row>
    <row r="141" spans="1:11" ht="15.75" customHeight="1">
      <c r="B141" s="23" t="s">
        <v>45</v>
      </c>
      <c r="C141" s="37">
        <v>0.45502520357973303</v>
      </c>
      <c r="F141" s="23" t="s">
        <v>45</v>
      </c>
      <c r="G141" s="33">
        <v>1.5100638193421698</v>
      </c>
      <c r="J141" s="23" t="s">
        <v>45</v>
      </c>
      <c r="K141" s="37">
        <v>0.56777504972300319</v>
      </c>
    </row>
    <row r="142" spans="1:11" ht="15.75" customHeight="1">
      <c r="B142" s="23" t="s">
        <v>46</v>
      </c>
      <c r="C142" s="37">
        <v>0.42479629738545827</v>
      </c>
      <c r="F142" s="23" t="s">
        <v>46</v>
      </c>
      <c r="G142" s="33">
        <v>10.006172839506172</v>
      </c>
      <c r="J142" s="23" t="s">
        <v>46</v>
      </c>
      <c r="K142" s="37">
        <v>0.54406989303867925</v>
      </c>
    </row>
    <row r="143" spans="1:11" ht="15.75" customHeight="1">
      <c r="B143" s="23" t="s">
        <v>47</v>
      </c>
      <c r="C143" s="37">
        <v>0.24278790732810424</v>
      </c>
      <c r="F143" s="23" t="s">
        <v>47</v>
      </c>
      <c r="G143" s="33">
        <v>11</v>
      </c>
      <c r="J143" s="23" t="s">
        <v>47</v>
      </c>
      <c r="K143" s="37">
        <v>0.37107959510578448</v>
      </c>
    </row>
    <row r="144" spans="1:11" ht="15.75" customHeight="1">
      <c r="B144" s="23" t="s">
        <v>48</v>
      </c>
      <c r="C144" s="37">
        <v>0.66835699797160242</v>
      </c>
      <c r="F144" s="23" t="s">
        <v>48</v>
      </c>
      <c r="G144" s="33">
        <v>1.7865168539325842</v>
      </c>
      <c r="J144" s="23" t="s">
        <v>48</v>
      </c>
      <c r="K144" s="37">
        <v>0.69156249999999997</v>
      </c>
    </row>
    <row r="145" spans="2:11" ht="15.75" customHeight="1">
      <c r="B145" s="23" t="s">
        <v>49</v>
      </c>
      <c r="C145" s="37">
        <v>0.32271379094115377</v>
      </c>
      <c r="F145" s="23" t="s">
        <v>49</v>
      </c>
      <c r="G145" s="33">
        <v>7.112903225806452</v>
      </c>
      <c r="J145" s="23" t="s">
        <v>49</v>
      </c>
      <c r="K145" s="37">
        <v>0.34698789352103815</v>
      </c>
    </row>
    <row r="146" spans="2:11" ht="15.75" customHeight="1">
      <c r="B146" s="23" t="s">
        <v>50</v>
      </c>
      <c r="C146" s="37">
        <v>0.16283484496941575</v>
      </c>
      <c r="F146" s="23" t="s">
        <v>50</v>
      </c>
      <c r="G146" s="33">
        <v>4.5061728395061724</v>
      </c>
      <c r="J146" s="23" t="s">
        <v>50</v>
      </c>
      <c r="K146" s="37">
        <v>0.26696552790230327</v>
      </c>
    </row>
    <row r="147" spans="2:11" ht="15.75" customHeight="1">
      <c r="B147" s="23" t="s">
        <v>51</v>
      </c>
      <c r="C147" s="37">
        <v>0.13854066216650596</v>
      </c>
      <c r="F147" s="23" t="s">
        <v>51</v>
      </c>
      <c r="G147" s="33">
        <v>5.0487804878048781</v>
      </c>
      <c r="J147" s="23" t="s">
        <v>51</v>
      </c>
      <c r="K147" s="37">
        <v>0.27374562427071181</v>
      </c>
    </row>
    <row r="148" spans="2:11" ht="15.75" customHeight="1">
      <c r="B148" s="23" t="s">
        <v>52</v>
      </c>
      <c r="C148" s="37">
        <v>1.7030716723549488</v>
      </c>
      <c r="F148" s="23" t="s">
        <v>52</v>
      </c>
      <c r="G148" s="33">
        <v>-1.2994350282485876</v>
      </c>
      <c r="J148" s="23" t="s">
        <v>52</v>
      </c>
      <c r="K148" s="37">
        <v>0.70621657754010692</v>
      </c>
    </row>
    <row r="149" spans="2:11" ht="15.75" customHeight="1"/>
    <row r="150" spans="2:11" ht="15.75" customHeight="1">
      <c r="B150" s="27" t="s">
        <v>56</v>
      </c>
      <c r="C150" s="27">
        <v>0.72</v>
      </c>
      <c r="F150" s="27" t="s">
        <v>56</v>
      </c>
      <c r="G150" s="27">
        <v>2.8</v>
      </c>
      <c r="J150" s="27" t="s">
        <v>56</v>
      </c>
      <c r="K150" s="27">
        <v>0.6</v>
      </c>
    </row>
    <row r="151" spans="2:11" ht="15.75" customHeight="1"/>
    <row r="152" spans="2:11" ht="15.75" customHeight="1"/>
    <row r="153" spans="2:11" ht="15.75" customHeight="1"/>
    <row r="154" spans="2:11" ht="15.75" customHeight="1"/>
    <row r="155" spans="2:11" ht="15.75" customHeight="1"/>
    <row r="156" spans="2:11" ht="15.75" customHeight="1"/>
    <row r="157" spans="2:11" ht="15.75" customHeight="1"/>
    <row r="158" spans="2:11" ht="15.75" customHeight="1"/>
    <row r="159" spans="2:11" ht="15.75" customHeight="1"/>
    <row r="160" spans="2:11" ht="15.75" customHeight="1"/>
    <row r="161" spans="1:13" ht="15.75" customHeight="1"/>
    <row r="162" spans="1:13" ht="15.75" customHeight="1"/>
    <row r="163" spans="1:13" ht="15.75" customHeight="1"/>
    <row r="164" spans="1:13" ht="15.75" customHeight="1"/>
    <row r="165" spans="1:13" ht="15.75" customHeight="1"/>
    <row r="166" spans="1:13" ht="15.75" customHeight="1"/>
    <row r="167" spans="1:13" ht="15.75" customHeight="1">
      <c r="A167" s="1" t="s">
        <v>64</v>
      </c>
    </row>
    <row r="168" spans="1:13" ht="15.75" customHeight="1">
      <c r="B168" s="1" t="s">
        <v>1</v>
      </c>
      <c r="C168" s="1" t="s">
        <v>35</v>
      </c>
      <c r="D168" s="1" t="s">
        <v>37</v>
      </c>
      <c r="G168" s="1" t="s">
        <v>1</v>
      </c>
      <c r="H168" s="1" t="s">
        <v>38</v>
      </c>
      <c r="I168" s="1" t="s">
        <v>41</v>
      </c>
      <c r="L168" s="1" t="s">
        <v>1</v>
      </c>
      <c r="M168" s="1" t="s">
        <v>39</v>
      </c>
    </row>
    <row r="169" spans="1:13" ht="15.75" customHeight="1">
      <c r="B169" s="23" t="s">
        <v>42</v>
      </c>
      <c r="C169" s="29">
        <v>5.489462724969827E-2</v>
      </c>
      <c r="D169" s="29">
        <v>1.9167538830590261E-2</v>
      </c>
      <c r="G169" s="23" t="s">
        <v>42</v>
      </c>
      <c r="H169" s="33">
        <v>17.78</v>
      </c>
      <c r="I169" s="37">
        <v>3.3056707703688049</v>
      </c>
      <c r="L169" s="23" t="s">
        <v>42</v>
      </c>
      <c r="M169" s="29">
        <v>5.6234003656307131E-2</v>
      </c>
    </row>
    <row r="170" spans="1:13" ht="15.75" customHeight="1">
      <c r="B170" s="23" t="s">
        <v>43</v>
      </c>
      <c r="C170" s="29">
        <v>8.8929514411812488E-2</v>
      </c>
      <c r="D170" s="29">
        <v>2.970781490283797E-2</v>
      </c>
      <c r="G170" s="23" t="s">
        <v>43</v>
      </c>
      <c r="H170" s="33">
        <v>-51.952554744525543</v>
      </c>
      <c r="I170" s="37">
        <v>1.8891210711525936</v>
      </c>
      <c r="L170" s="23" t="s">
        <v>43</v>
      </c>
      <c r="M170" s="29">
        <v>-1.9248331577098703E-2</v>
      </c>
    </row>
    <row r="171" spans="1:13" ht="15.75" customHeight="1">
      <c r="B171" s="23" t="s">
        <v>44</v>
      </c>
      <c r="C171" s="29">
        <v>9.502175888288461E-2</v>
      </c>
      <c r="D171" s="29">
        <v>5.5032404586495318E-2</v>
      </c>
      <c r="G171" s="23" t="s">
        <v>44</v>
      </c>
      <c r="H171" s="33">
        <v>14.18</v>
      </c>
      <c r="I171" s="37">
        <v>1.8322122036162396</v>
      </c>
      <c r="L171" s="23" t="s">
        <v>44</v>
      </c>
      <c r="M171" s="29">
        <v>7.0524671266762137E-2</v>
      </c>
    </row>
    <row r="172" spans="1:13" ht="15.75" customHeight="1">
      <c r="B172" s="23" t="s">
        <v>45</v>
      </c>
      <c r="C172" s="29">
        <v>3.8843395069816364E-2</v>
      </c>
      <c r="D172" s="29">
        <v>1.6789084502641115E-2</v>
      </c>
      <c r="G172" s="23" t="s">
        <v>45</v>
      </c>
      <c r="H172" s="33">
        <v>16.98</v>
      </c>
      <c r="I172" s="37">
        <v>0.87520030806138294</v>
      </c>
      <c r="L172" s="23" t="s">
        <v>45</v>
      </c>
      <c r="M172" s="29">
        <v>5.892506865437426E-2</v>
      </c>
    </row>
    <row r="173" spans="1:13" ht="15.75" customHeight="1">
      <c r="B173" s="23" t="s">
        <v>46</v>
      </c>
      <c r="C173" s="29">
        <v>0.15714093973901333</v>
      </c>
      <c r="D173" s="29">
        <v>7.1642152262262532E-2</v>
      </c>
      <c r="G173" s="23" t="s">
        <v>46</v>
      </c>
      <c r="H173" s="33">
        <v>14.72</v>
      </c>
      <c r="I173" s="37">
        <v>3.8726467731760743</v>
      </c>
      <c r="L173" s="23" t="s">
        <v>46</v>
      </c>
      <c r="M173" s="29">
        <v>6.7938870852799108E-2</v>
      </c>
    </row>
    <row r="174" spans="1:13" ht="15.75" customHeight="1">
      <c r="B174" s="23" t="s">
        <v>47</v>
      </c>
      <c r="C174" s="29">
        <v>0.10399344645073311</v>
      </c>
      <c r="D174" s="29">
        <v>6.2481855946902212E-2</v>
      </c>
      <c r="G174" s="23" t="s">
        <v>47</v>
      </c>
      <c r="H174" s="33">
        <v>15.77</v>
      </c>
      <c r="I174" s="37">
        <v>2.0248512861736332</v>
      </c>
      <c r="L174" s="23" t="s">
        <v>47</v>
      </c>
      <c r="M174" s="29">
        <v>6.3425960602202097E-2</v>
      </c>
    </row>
    <row r="175" spans="1:13" ht="15.75" customHeight="1">
      <c r="B175" s="23" t="s">
        <v>48</v>
      </c>
      <c r="C175" s="29">
        <v>5.8823529411764705E-2</v>
      </c>
      <c r="D175" s="29">
        <v>1.8124999999999999E-2</v>
      </c>
      <c r="G175" s="23" t="s">
        <v>48</v>
      </c>
      <c r="H175" s="33">
        <v>27.31</v>
      </c>
      <c r="I175" s="37">
        <v>13.193717277486911</v>
      </c>
      <c r="L175" s="23" t="s">
        <v>48</v>
      </c>
      <c r="M175" s="29">
        <v>3.6613756613756612E-2</v>
      </c>
    </row>
    <row r="176" spans="1:13" ht="15.75" customHeight="1">
      <c r="B176" s="23" t="s">
        <v>49</v>
      </c>
      <c r="C176" s="29">
        <v>0.15980907577966455</v>
      </c>
      <c r="D176" s="29">
        <v>0.10435726120933478</v>
      </c>
      <c r="G176" s="23" t="s">
        <v>49</v>
      </c>
      <c r="H176" s="33">
        <v>14.55</v>
      </c>
      <c r="I176" s="37">
        <v>2.0988342617471658</v>
      </c>
      <c r="L176" s="23" t="s">
        <v>49</v>
      </c>
      <c r="M176" s="29">
        <v>6.8705985915492956E-2</v>
      </c>
    </row>
    <row r="177" spans="2:13" ht="15.75" customHeight="1">
      <c r="B177" s="23" t="s">
        <v>50</v>
      </c>
      <c r="C177" s="29">
        <v>0.23518245095971313</v>
      </c>
      <c r="D177" s="29">
        <v>0.17236048848353686</v>
      </c>
      <c r="G177" s="23" t="s">
        <v>50</v>
      </c>
      <c r="H177" s="33">
        <v>26.98</v>
      </c>
      <c r="I177" s="37">
        <v>0.76795366795366782</v>
      </c>
      <c r="L177" s="23" t="s">
        <v>50</v>
      </c>
      <c r="M177" s="29">
        <v>3.7056442010002383E-2</v>
      </c>
    </row>
    <row r="178" spans="2:13" ht="15.75" customHeight="1">
      <c r="B178" s="23" t="s">
        <v>51</v>
      </c>
      <c r="C178" s="29">
        <v>6.1073609771777566E-2</v>
      </c>
      <c r="D178" s="29">
        <v>4.4340723453908985E-2</v>
      </c>
      <c r="G178" s="23" t="s">
        <v>51</v>
      </c>
      <c r="H178" s="33">
        <v>10.39</v>
      </c>
      <c r="I178" s="37">
        <v>1.0016382978723404</v>
      </c>
      <c r="L178" s="23" t="s">
        <v>51</v>
      </c>
      <c r="M178" s="29">
        <v>9.6252036936447585E-2</v>
      </c>
    </row>
    <row r="179" spans="2:13" ht="15.75" customHeight="1">
      <c r="B179" s="23" t="s">
        <v>52</v>
      </c>
      <c r="C179" s="29">
        <v>0.1956769055745165</v>
      </c>
      <c r="D179" s="29">
        <v>5.7486631016042782E-2</v>
      </c>
      <c r="G179" s="23" t="s">
        <v>52</v>
      </c>
      <c r="H179" s="33">
        <v>12.2</v>
      </c>
      <c r="I179" s="37">
        <v>2.3648093841642228</v>
      </c>
      <c r="L179" s="23" t="s">
        <v>52</v>
      </c>
      <c r="M179" s="29">
        <v>8.1964285714285712E-2</v>
      </c>
    </row>
    <row r="180" spans="2:13" ht="15.75" customHeight="1">
      <c r="C180" s="30"/>
      <c r="D180" s="30"/>
      <c r="M180" s="30"/>
    </row>
    <row r="181" spans="2:13" ht="15.75" customHeight="1">
      <c r="B181" s="27" t="s">
        <v>56</v>
      </c>
      <c r="C181" s="31">
        <v>7.8399999999999997E-2</v>
      </c>
      <c r="D181" s="31">
        <v>3.1E-2</v>
      </c>
      <c r="G181" s="27" t="s">
        <v>56</v>
      </c>
      <c r="H181" s="27">
        <v>14.7</v>
      </c>
      <c r="I181" s="27">
        <v>2.02</v>
      </c>
      <c r="L181" s="27" t="s">
        <v>56</v>
      </c>
      <c r="M181" s="31">
        <v>6.3399999999999998E-2</v>
      </c>
    </row>
    <row r="182" spans="2:13" ht="15.75" customHeight="1"/>
    <row r="183" spans="2:13" ht="15.75" customHeight="1"/>
    <row r="184" spans="2:13" ht="15.75" customHeight="1"/>
    <row r="185" spans="2:13" ht="15.75" customHeight="1"/>
    <row r="186" spans="2:13" ht="15.75" customHeight="1"/>
    <row r="187" spans="2:13" ht="15.75" customHeight="1"/>
    <row r="188" spans="2:13" ht="15.75" customHeight="1"/>
    <row r="189" spans="2:13" ht="15.75" customHeight="1"/>
    <row r="190" spans="2:13" ht="15.75" customHeight="1"/>
    <row r="191" spans="2:13" ht="15.75" customHeight="1"/>
    <row r="192" spans="2:13" ht="15.75" customHeight="1"/>
    <row r="193" spans="3:12" ht="15.75" customHeight="1"/>
    <row r="194" spans="3:12" ht="15.75" customHeight="1"/>
    <row r="195" spans="3:12" ht="15.75" customHeight="1"/>
    <row r="196" spans="3:12" ht="15.75" customHeight="1"/>
    <row r="197" spans="3:12" ht="15.75" customHeight="1"/>
    <row r="198" spans="3:12" ht="15.75" customHeight="1">
      <c r="D198" s="38"/>
    </row>
    <row r="199" spans="3:12" ht="15.75" customHeight="1"/>
    <row r="200" spans="3:12" ht="15.75" customHeight="1">
      <c r="C200" s="38"/>
      <c r="D200" s="38"/>
      <c r="F200" s="30"/>
      <c r="G200" s="30"/>
      <c r="H200" s="38"/>
      <c r="K200" s="30"/>
      <c r="L200" s="30"/>
    </row>
    <row r="201" spans="3:12" ht="15.75" customHeight="1">
      <c r="C201" s="38"/>
      <c r="D201" s="38"/>
      <c r="F201" s="30"/>
      <c r="G201" s="30"/>
      <c r="H201" s="38"/>
      <c r="K201" s="30"/>
      <c r="L201" s="30"/>
    </row>
    <row r="202" spans="3:12" ht="15.75" customHeight="1">
      <c r="C202" s="38"/>
      <c r="D202" s="38"/>
      <c r="F202" s="30"/>
      <c r="G202" s="30"/>
      <c r="H202" s="38"/>
      <c r="K202" s="30"/>
      <c r="L202" s="30"/>
    </row>
    <row r="203" spans="3:12" ht="15.75" customHeight="1">
      <c r="C203" s="38"/>
      <c r="D203" s="38"/>
      <c r="F203" s="30"/>
      <c r="G203" s="30"/>
      <c r="H203" s="38"/>
      <c r="K203" s="30"/>
      <c r="L203" s="30"/>
    </row>
    <row r="204" spans="3:12" ht="15.75" customHeight="1">
      <c r="C204" s="38"/>
      <c r="D204" s="38"/>
      <c r="F204" s="30"/>
      <c r="G204" s="30"/>
      <c r="H204" s="38"/>
      <c r="K204" s="30"/>
      <c r="L204" s="30"/>
    </row>
    <row r="205" spans="3:12" ht="15.75" customHeight="1">
      <c r="C205" s="38"/>
      <c r="D205" s="38"/>
      <c r="F205" s="30"/>
      <c r="G205" s="30"/>
      <c r="H205" s="38"/>
      <c r="K205" s="30"/>
      <c r="L205" s="30"/>
    </row>
    <row r="206" spans="3:12" ht="15.75" customHeight="1">
      <c r="C206" s="38"/>
      <c r="D206" s="38"/>
      <c r="F206" s="30"/>
      <c r="G206" s="30"/>
      <c r="H206" s="38"/>
      <c r="K206" s="30"/>
      <c r="L206" s="30"/>
    </row>
    <row r="207" spans="3:12" ht="15.75" customHeight="1">
      <c r="C207" s="38"/>
      <c r="D207" s="38"/>
      <c r="F207" s="30"/>
      <c r="G207" s="30"/>
      <c r="H207" s="38"/>
    </row>
    <row r="208" spans="3:12" ht="15.75" customHeight="1">
      <c r="C208" s="38"/>
      <c r="D208" s="38"/>
      <c r="F208" s="30"/>
      <c r="G208" s="30"/>
      <c r="H208" s="38"/>
      <c r="K208" s="30"/>
      <c r="L208" s="30"/>
    </row>
    <row r="209" spans="3:8" ht="15.75" customHeight="1">
      <c r="C209" s="38"/>
      <c r="F209" s="30"/>
      <c r="G209" s="30"/>
      <c r="H209" s="38"/>
    </row>
    <row r="210" spans="3:8" ht="15.75" customHeight="1">
      <c r="C210" s="38"/>
      <c r="F210" s="30"/>
      <c r="G210" s="30"/>
      <c r="H210" s="38"/>
    </row>
    <row r="211" spans="3:8" ht="15.75" customHeight="1"/>
    <row r="212" spans="3:8" ht="15.75" customHeight="1"/>
    <row r="213" spans="3:8" ht="15.75" customHeight="1"/>
    <row r="214" spans="3:8" ht="15.75" customHeight="1"/>
    <row r="215" spans="3:8" ht="15.75" customHeight="1"/>
    <row r="216" spans="3:8" ht="15.75" customHeight="1"/>
    <row r="217" spans="3:8" ht="15.75" customHeight="1"/>
    <row r="218" spans="3:8" ht="15.75" customHeight="1"/>
    <row r="219" spans="3:8" ht="15.75" customHeight="1"/>
    <row r="220" spans="3:8" ht="15.75" customHeight="1"/>
    <row r="221" spans="3:8" ht="15.75" customHeight="1"/>
    <row r="222" spans="3:8" ht="15.75" customHeight="1"/>
    <row r="223" spans="3:8" ht="15.75" customHeight="1"/>
    <row r="224" spans="3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AP17" xr:uid="{00000000-0009-0000-0000-000000000000}"/>
  <conditionalFormatting sqref="B106:D116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9:C52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74:C84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138:C148">
    <cfRule type="colorScale" priority="8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C169:C181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69:D181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9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74:G84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38:G148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06:H116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169:H179">
    <cfRule type="colorScale" priority="1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I169:I179">
    <cfRule type="colorScale" priority="14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138:K148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L106:L116">
    <cfRule type="colorScale" priority="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169:M18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JSWSTEEL</vt:lpstr>
      <vt:lpstr>Iron &amp; 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2024-07-28T11:15:53Z</dcterms:created>
  <dcterms:modified xsi:type="dcterms:W3CDTF">2024-07-28T11:16:21Z</dcterms:modified>
</cp:coreProperties>
</file>