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95FC0001-383D-4719-AD7F-A095BD7C9753}" xr6:coauthVersionLast="47" xr6:coauthVersionMax="47" xr10:uidLastSave="{00000000-0000-0000-0000-000000000000}"/>
  <bookViews>
    <workbookView xWindow="-108" yWindow="-108" windowWidth="23256" windowHeight="12456" xr2:uid="{12A1A270-756A-476E-AF0E-61BAA732D123}"/>
  </bookViews>
  <sheets>
    <sheet name="LTTS" sheetId="1" r:id="rId1"/>
    <sheet name="IT Enabled Services    " sheetId="2" r:id="rId2"/>
  </sheets>
  <externalReferences>
    <externalReference r:id="rId3"/>
  </externalReferences>
  <definedNames>
    <definedName name="_xlnm._FilterDatabase" localSheetId="0" hidden="1">LTTS!$P$30:$T$35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19" i="2" l="1"/>
  <c r="AE219" i="2"/>
  <c r="AD219" i="2"/>
  <c r="AB219" i="2"/>
  <c r="Y219" i="2"/>
  <c r="X219" i="2"/>
  <c r="W219" i="2"/>
  <c r="V219" i="2"/>
  <c r="AA219" i="2" s="1"/>
  <c r="U219" i="2"/>
  <c r="T219" i="2"/>
  <c r="AC219" i="2" s="1"/>
  <c r="S219" i="2"/>
  <c r="R219" i="2"/>
  <c r="Q219" i="2"/>
  <c r="N219" i="2"/>
  <c r="M219" i="2"/>
  <c r="L219" i="2"/>
  <c r="AG219" i="2" s="1"/>
  <c r="K219" i="2"/>
  <c r="AH219" i="2" s="1"/>
  <c r="J219" i="2"/>
  <c r="I219" i="2"/>
  <c r="G219" i="2"/>
  <c r="AL219" i="2" s="1"/>
  <c r="F219" i="2"/>
  <c r="E219" i="2"/>
  <c r="AF219" i="2" s="1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AM172" i="2"/>
  <c r="AL172" i="2"/>
  <c r="AJ172" i="2"/>
  <c r="AI172" i="2"/>
  <c r="AH172" i="2"/>
  <c r="AG172" i="2"/>
  <c r="AF172" i="2"/>
  <c r="AE172" i="2"/>
  <c r="AD172" i="2"/>
  <c r="AC172" i="2"/>
  <c r="AB172" i="2"/>
  <c r="AA172" i="2"/>
  <c r="Z172" i="2"/>
  <c r="O172" i="2"/>
  <c r="D172" i="2"/>
  <c r="C172" i="2"/>
  <c r="AM171" i="2"/>
  <c r="AL171" i="2"/>
  <c r="AJ171" i="2"/>
  <c r="AI171" i="2"/>
  <c r="AH171" i="2"/>
  <c r="AG171" i="2"/>
  <c r="AF171" i="2"/>
  <c r="AE171" i="2"/>
  <c r="AD171" i="2"/>
  <c r="AC171" i="2"/>
  <c r="AB171" i="2"/>
  <c r="AA171" i="2"/>
  <c r="Z171" i="2"/>
  <c r="O171" i="2"/>
  <c r="D171" i="2"/>
  <c r="C171" i="2"/>
  <c r="AM170" i="2"/>
  <c r="AL170" i="2"/>
  <c r="AJ170" i="2"/>
  <c r="AI170" i="2"/>
  <c r="AH170" i="2"/>
  <c r="AG170" i="2"/>
  <c r="AF170" i="2"/>
  <c r="AE170" i="2"/>
  <c r="AD170" i="2"/>
  <c r="AC170" i="2"/>
  <c r="AB170" i="2"/>
  <c r="AA170" i="2"/>
  <c r="Z170" i="2"/>
  <c r="O170" i="2"/>
  <c r="D170" i="2"/>
  <c r="C170" i="2"/>
  <c r="AM169" i="2"/>
  <c r="AL169" i="2"/>
  <c r="AJ169" i="2"/>
  <c r="AI169" i="2"/>
  <c r="AH169" i="2"/>
  <c r="AG169" i="2"/>
  <c r="AF169" i="2"/>
  <c r="AE169" i="2"/>
  <c r="AD169" i="2"/>
  <c r="AC169" i="2"/>
  <c r="AB169" i="2"/>
  <c r="AA169" i="2"/>
  <c r="Z169" i="2"/>
  <c r="O169" i="2"/>
  <c r="D169" i="2"/>
  <c r="C169" i="2"/>
  <c r="AM168" i="2"/>
  <c r="AL168" i="2"/>
  <c r="AJ168" i="2"/>
  <c r="AI168" i="2"/>
  <c r="AH168" i="2"/>
  <c r="AG168" i="2"/>
  <c r="AF168" i="2"/>
  <c r="AE168" i="2"/>
  <c r="AD168" i="2"/>
  <c r="AC168" i="2"/>
  <c r="AB168" i="2"/>
  <c r="AA168" i="2"/>
  <c r="Z168" i="2"/>
  <c r="O168" i="2"/>
  <c r="D168" i="2"/>
  <c r="C168" i="2"/>
  <c r="AM167" i="2"/>
  <c r="AL167" i="2"/>
  <c r="AJ167" i="2"/>
  <c r="AI167" i="2"/>
  <c r="AH167" i="2"/>
  <c r="AG167" i="2"/>
  <c r="AF167" i="2"/>
  <c r="AE167" i="2"/>
  <c r="AD167" i="2"/>
  <c r="AC167" i="2"/>
  <c r="AB167" i="2"/>
  <c r="AA167" i="2"/>
  <c r="Z167" i="2"/>
  <c r="O167" i="2"/>
  <c r="H167" i="2"/>
  <c r="H219" i="2" s="1"/>
  <c r="AI219" i="2" s="1"/>
  <c r="D167" i="2"/>
  <c r="C167" i="2"/>
  <c r="AM166" i="2"/>
  <c r="AL166" i="2"/>
  <c r="AJ166" i="2"/>
  <c r="AI166" i="2"/>
  <c r="AH166" i="2"/>
  <c r="AG166" i="2"/>
  <c r="AF166" i="2"/>
  <c r="AE166" i="2"/>
  <c r="AD166" i="2"/>
  <c r="AC166" i="2"/>
  <c r="AB166" i="2"/>
  <c r="AA166" i="2"/>
  <c r="Z166" i="2"/>
  <c r="D166" i="2"/>
  <c r="C166" i="2"/>
  <c r="AM165" i="2"/>
  <c r="AL165" i="2"/>
  <c r="AJ165" i="2"/>
  <c r="AI165" i="2"/>
  <c r="AH165" i="2"/>
  <c r="AG165" i="2"/>
  <c r="AF165" i="2"/>
  <c r="AE165" i="2"/>
  <c r="AD165" i="2"/>
  <c r="AC165" i="2"/>
  <c r="AB165" i="2"/>
  <c r="AA165" i="2"/>
  <c r="Z165" i="2"/>
  <c r="D165" i="2"/>
  <c r="C165" i="2"/>
  <c r="AM164" i="2"/>
  <c r="AL164" i="2"/>
  <c r="AJ164" i="2"/>
  <c r="AI164" i="2"/>
  <c r="AH164" i="2"/>
  <c r="AG164" i="2"/>
  <c r="AF164" i="2"/>
  <c r="AE164" i="2"/>
  <c r="AD164" i="2"/>
  <c r="AC164" i="2"/>
  <c r="AB164" i="2"/>
  <c r="AA164" i="2"/>
  <c r="Z164" i="2"/>
  <c r="O164" i="2"/>
  <c r="D164" i="2"/>
  <c r="C164" i="2"/>
  <c r="AM163" i="2"/>
  <c r="AL163" i="2"/>
  <c r="AJ163" i="2"/>
  <c r="AI163" i="2"/>
  <c r="AH163" i="2"/>
  <c r="AG163" i="2"/>
  <c r="AF163" i="2"/>
  <c r="AE163" i="2"/>
  <c r="AD163" i="2"/>
  <c r="AC163" i="2"/>
  <c r="AB163" i="2"/>
  <c r="AA163" i="2"/>
  <c r="Z163" i="2"/>
  <c r="O163" i="2"/>
  <c r="D163" i="2"/>
  <c r="C163" i="2"/>
  <c r="AM162" i="2"/>
  <c r="AL162" i="2"/>
  <c r="AJ162" i="2"/>
  <c r="AI162" i="2"/>
  <c r="AH162" i="2"/>
  <c r="AG162" i="2"/>
  <c r="AF162" i="2"/>
  <c r="AE162" i="2"/>
  <c r="AD162" i="2"/>
  <c r="AC162" i="2"/>
  <c r="AB162" i="2"/>
  <c r="AA162" i="2"/>
  <c r="Z162" i="2"/>
  <c r="D162" i="2"/>
  <c r="C162" i="2"/>
  <c r="AM161" i="2"/>
  <c r="AL161" i="2"/>
  <c r="AJ161" i="2"/>
  <c r="AI161" i="2"/>
  <c r="AH161" i="2"/>
  <c r="AG161" i="2"/>
  <c r="AF161" i="2"/>
  <c r="AE161" i="2"/>
  <c r="AD161" i="2"/>
  <c r="AC161" i="2"/>
  <c r="AB161" i="2"/>
  <c r="AA161" i="2"/>
  <c r="Z161" i="2"/>
  <c r="O161" i="2"/>
  <c r="D161" i="2"/>
  <c r="C161" i="2"/>
  <c r="AM160" i="2"/>
  <c r="AL160" i="2"/>
  <c r="AJ160" i="2"/>
  <c r="AI160" i="2"/>
  <c r="AH160" i="2"/>
  <c r="AG160" i="2"/>
  <c r="AF160" i="2"/>
  <c r="AE160" i="2"/>
  <c r="AD160" i="2"/>
  <c r="AC160" i="2"/>
  <c r="AB160" i="2"/>
  <c r="AA160" i="2"/>
  <c r="Z160" i="2"/>
  <c r="O160" i="2"/>
  <c r="D160" i="2"/>
  <c r="C160" i="2"/>
  <c r="AM159" i="2"/>
  <c r="AL159" i="2"/>
  <c r="AJ159" i="2"/>
  <c r="AI159" i="2"/>
  <c r="AH159" i="2"/>
  <c r="AG159" i="2"/>
  <c r="AF159" i="2"/>
  <c r="AE159" i="2"/>
  <c r="AD159" i="2"/>
  <c r="AC159" i="2"/>
  <c r="AB159" i="2"/>
  <c r="AA159" i="2"/>
  <c r="Z159" i="2"/>
  <c r="D159" i="2"/>
  <c r="C159" i="2"/>
  <c r="AM158" i="2"/>
  <c r="AL158" i="2"/>
  <c r="AJ158" i="2"/>
  <c r="AI158" i="2"/>
  <c r="AH158" i="2"/>
  <c r="AG158" i="2"/>
  <c r="AF158" i="2"/>
  <c r="AE158" i="2"/>
  <c r="AD158" i="2"/>
  <c r="AC158" i="2"/>
  <c r="AB158" i="2"/>
  <c r="AA158" i="2"/>
  <c r="Z158" i="2"/>
  <c r="O158" i="2"/>
  <c r="D158" i="2"/>
  <c r="C158" i="2"/>
  <c r="K24" i="2"/>
  <c r="G24" i="2"/>
  <c r="C24" i="2"/>
  <c r="Q46" i="1"/>
  <c r="N45" i="1"/>
  <c r="M45" i="1"/>
  <c r="M41" i="1"/>
  <c r="G37" i="1"/>
  <c r="F37" i="1"/>
  <c r="X36" i="1"/>
  <c r="W36" i="1"/>
  <c r="Y33" i="1" s="1"/>
  <c r="G36" i="1"/>
  <c r="R35" i="1"/>
  <c r="Q35" i="1"/>
  <c r="S31" i="1" s="1"/>
  <c r="N35" i="1"/>
  <c r="K35" i="1"/>
  <c r="J35" i="1"/>
  <c r="L35" i="1" s="1"/>
  <c r="G35" i="1"/>
  <c r="Z34" i="1"/>
  <c r="Y34" i="1"/>
  <c r="N34" i="1"/>
  <c r="K34" i="1"/>
  <c r="J34" i="1"/>
  <c r="L34" i="1" s="1"/>
  <c r="G34" i="1"/>
  <c r="Z33" i="1"/>
  <c r="T33" i="1"/>
  <c r="S33" i="1"/>
  <c r="N33" i="1"/>
  <c r="K33" i="1"/>
  <c r="J33" i="1"/>
  <c r="L33" i="1" s="1"/>
  <c r="G33" i="1"/>
  <c r="Z32" i="1"/>
  <c r="Y32" i="1"/>
  <c r="T32" i="1"/>
  <c r="N32" i="1"/>
  <c r="L32" i="1"/>
  <c r="K32" i="1"/>
  <c r="J32" i="1"/>
  <c r="G32" i="1"/>
  <c r="Z31" i="1"/>
  <c r="Y31" i="1"/>
  <c r="T31" i="1"/>
  <c r="N31" i="1"/>
  <c r="L31" i="1"/>
  <c r="K31" i="1"/>
  <c r="J31" i="1"/>
  <c r="G31" i="1"/>
  <c r="N30" i="1"/>
  <c r="N23" i="1" s="1"/>
  <c r="K30" i="1"/>
  <c r="J30" i="1"/>
  <c r="L30" i="1" s="1"/>
  <c r="G30" i="1"/>
  <c r="N29" i="1"/>
  <c r="K29" i="1"/>
  <c r="J29" i="1"/>
  <c r="L29" i="1" s="1"/>
  <c r="L23" i="1" s="1"/>
  <c r="G29" i="1"/>
  <c r="N28" i="1"/>
  <c r="N22" i="1" s="1"/>
  <c r="L28" i="1"/>
  <c r="K28" i="1"/>
  <c r="K23" i="1" s="1"/>
  <c r="J28" i="1"/>
  <c r="G28" i="1"/>
  <c r="G23" i="1" s="1"/>
  <c r="AC27" i="1"/>
  <c r="AB27" i="1"/>
  <c r="AA27" i="1"/>
  <c r="W27" i="1"/>
  <c r="V27" i="1"/>
  <c r="X27" i="1" s="1"/>
  <c r="R27" i="1"/>
  <c r="Q27" i="1"/>
  <c r="S27" i="1" s="1"/>
  <c r="D27" i="1"/>
  <c r="C27" i="1"/>
  <c r="G27" i="1" s="1"/>
  <c r="AC26" i="1"/>
  <c r="AB26" i="1"/>
  <c r="AA26" i="1"/>
  <c r="X26" i="1"/>
  <c r="W26" i="1"/>
  <c r="V26" i="1"/>
  <c r="R26" i="1"/>
  <c r="Q26" i="1"/>
  <c r="S26" i="1" s="1"/>
  <c r="AC25" i="1"/>
  <c r="X25" i="1"/>
  <c r="S25" i="1"/>
  <c r="AC24" i="1"/>
  <c r="X24" i="1"/>
  <c r="S24" i="1"/>
  <c r="AC23" i="1"/>
  <c r="X23" i="1"/>
  <c r="S23" i="1"/>
  <c r="M23" i="1"/>
  <c r="I23" i="1"/>
  <c r="H23" i="1"/>
  <c r="F23" i="1"/>
  <c r="E23" i="1"/>
  <c r="D23" i="1"/>
  <c r="C23" i="1"/>
  <c r="AC22" i="1"/>
  <c r="X22" i="1"/>
  <c r="S22" i="1"/>
  <c r="M22" i="1"/>
  <c r="L22" i="1"/>
  <c r="K22" i="1"/>
  <c r="J22" i="1"/>
  <c r="I22" i="1"/>
  <c r="H22" i="1"/>
  <c r="G22" i="1"/>
  <c r="F22" i="1"/>
  <c r="E22" i="1"/>
  <c r="D22" i="1"/>
  <c r="C22" i="1"/>
  <c r="AC21" i="1"/>
  <c r="X21" i="1"/>
  <c r="S21" i="1"/>
  <c r="P15" i="1"/>
  <c r="F15" i="1"/>
  <c r="E15" i="1"/>
  <c r="C15" i="1"/>
  <c r="E4" i="1" s="1"/>
  <c r="L14" i="1"/>
  <c r="F27" i="1" s="1"/>
  <c r="R13" i="1"/>
  <c r="S10" i="1"/>
  <c r="T10" i="1" s="1"/>
  <c r="R10" i="1"/>
  <c r="Q10" i="1"/>
  <c r="N10" i="1"/>
  <c r="H10" i="1"/>
  <c r="G10" i="1"/>
  <c r="F10" i="1"/>
  <c r="D10" i="1"/>
  <c r="C10" i="1"/>
  <c r="S6" i="1"/>
  <c r="R6" i="1"/>
  <c r="P6" i="1"/>
  <c r="O6" i="1"/>
  <c r="N6" i="1"/>
  <c r="L6" i="1"/>
  <c r="K6" i="1"/>
  <c r="J6" i="1"/>
  <c r="I6" i="1"/>
  <c r="G6" i="1"/>
  <c r="V5" i="1"/>
  <c r="Q5" i="1"/>
  <c r="Q6" i="1" s="1"/>
  <c r="M5" i="1"/>
  <c r="H5" i="1"/>
  <c r="F5" i="1"/>
  <c r="E5" i="1"/>
  <c r="D5" i="1"/>
  <c r="V4" i="1"/>
  <c r="V6" i="1" s="1"/>
  <c r="M4" i="1"/>
  <c r="M6" i="1" s="1"/>
  <c r="H4" i="1"/>
  <c r="D4" i="1"/>
  <c r="D6" i="1" s="1"/>
  <c r="C4" i="1"/>
  <c r="Q15" i="1" s="1"/>
  <c r="AM219" i="2" l="1"/>
  <c r="O219" i="2"/>
  <c r="P198" i="2"/>
  <c r="P202" i="2"/>
  <c r="Z219" i="2"/>
  <c r="D219" i="2"/>
  <c r="P216" i="2" s="1"/>
  <c r="M10" i="1"/>
  <c r="K27" i="1"/>
  <c r="J27" i="1"/>
  <c r="L27" i="1" s="1"/>
  <c r="N27" i="1"/>
  <c r="E10" i="1"/>
  <c r="E6" i="1"/>
  <c r="H6" i="1"/>
  <c r="R15" i="1"/>
  <c r="S14" i="1" s="1"/>
  <c r="P10" i="1" s="1"/>
  <c r="S32" i="1"/>
  <c r="Y36" i="1"/>
  <c r="O10" i="1"/>
  <c r="Z36" i="1"/>
  <c r="C6" i="1"/>
  <c r="D15" i="1"/>
  <c r="J23" i="1"/>
  <c r="S35" i="1"/>
  <c r="C14" i="1"/>
  <c r="T35" i="1"/>
  <c r="L10" i="1"/>
  <c r="P186" i="2" l="1"/>
  <c r="P185" i="2"/>
  <c r="P171" i="2"/>
  <c r="P182" i="2"/>
  <c r="P168" i="2"/>
  <c r="P162" i="2"/>
  <c r="P184" i="2"/>
  <c r="P161" i="2"/>
  <c r="P167" i="2"/>
  <c r="P163" i="2"/>
  <c r="P192" i="2"/>
  <c r="P214" i="2"/>
  <c r="P217" i="2"/>
  <c r="P176" i="2"/>
  <c r="P193" i="2"/>
  <c r="P210" i="2"/>
  <c r="P178" i="2"/>
  <c r="P209" i="2"/>
  <c r="P166" i="2"/>
  <c r="P206" i="2"/>
  <c r="P174" i="2"/>
  <c r="P201" i="2"/>
  <c r="P200" i="2"/>
  <c r="P194" i="2"/>
  <c r="P165" i="2"/>
  <c r="P177" i="2"/>
  <c r="P215" i="2"/>
  <c r="P207" i="2"/>
  <c r="P199" i="2"/>
  <c r="P191" i="2"/>
  <c r="P183" i="2"/>
  <c r="P175" i="2"/>
  <c r="P170" i="2"/>
  <c r="P160" i="2"/>
  <c r="P212" i="2"/>
  <c r="P204" i="2"/>
  <c r="P196" i="2"/>
  <c r="P188" i="2"/>
  <c r="P180" i="2"/>
  <c r="P169" i="2"/>
  <c r="P159" i="2"/>
  <c r="P158" i="2"/>
  <c r="P211" i="2"/>
  <c r="P203" i="2"/>
  <c r="P195" i="2"/>
  <c r="P187" i="2"/>
  <c r="P179" i="2"/>
  <c r="P189" i="2"/>
  <c r="P213" i="2"/>
  <c r="P205" i="2"/>
  <c r="P197" i="2"/>
  <c r="P181" i="2"/>
  <c r="P173" i="2"/>
  <c r="P190" i="2"/>
  <c r="P164" i="2"/>
  <c r="P172" i="2"/>
  <c r="P208" i="2"/>
  <c r="C13" i="1"/>
  <c r="D14" i="1"/>
  <c r="D19" i="1"/>
  <c r="F4" i="1"/>
  <c r="P219" i="2" l="1"/>
  <c r="F6" i="1"/>
  <c r="K10" i="1"/>
  <c r="J10" i="1"/>
  <c r="I10" i="1"/>
  <c r="E14" i="1"/>
  <c r="D13" i="1"/>
  <c r="F14" i="1" l="1"/>
  <c r="E13" i="1"/>
  <c r="F13" i="1" s="1"/>
</calcChain>
</file>

<file path=xl/sharedStrings.xml><?xml version="1.0" encoding="utf-8"?>
<sst xmlns="http://schemas.openxmlformats.org/spreadsheetml/2006/main" count="520" uniqueCount="229">
  <si>
    <t>LTTS</t>
  </si>
  <si>
    <t>BALANCESHEET</t>
  </si>
  <si>
    <t>CASHFLOW</t>
  </si>
  <si>
    <t>Company</t>
  </si>
  <si>
    <t>Price</t>
  </si>
  <si>
    <t>Marketcap in Cr</t>
  </si>
  <si>
    <t>Sales in Cr</t>
  </si>
  <si>
    <t>Profit in Cr</t>
  </si>
  <si>
    <t>Employee</t>
  </si>
  <si>
    <t>F_EPS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</si>
  <si>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</si>
  <si>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</si>
  <si>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</si>
  <si>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</si>
  <si>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</si>
  <si>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</si>
  <si>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</si>
  <si>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</si>
  <si>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</si>
  <si>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</si>
  <si>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</si>
  <si>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</si>
  <si>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</si>
  <si>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TOTAL</t>
  </si>
  <si>
    <t>PPE</t>
  </si>
  <si>
    <t>PREVIOUS YEAR</t>
  </si>
  <si>
    <t>GROWTH</t>
  </si>
  <si>
    <t>LIQUIDITY</t>
  </si>
  <si>
    <t>SOLVENCY</t>
  </si>
  <si>
    <t>PROFITABILITY</t>
  </si>
  <si>
    <t>VALUATIONS</t>
  </si>
  <si>
    <t>CASHFOW</t>
  </si>
  <si>
    <t>SALES GROWTH</t>
  </si>
  <si>
    <t>P-MARGIN</t>
  </si>
  <si>
    <t>CUR.RATIO</t>
  </si>
  <si>
    <t>TRADE CYC DAYS</t>
  </si>
  <si>
    <t>DEBT2EQUITY</t>
  </si>
  <si>
    <t>DEBTRATIO</t>
  </si>
  <si>
    <t>ICR</t>
  </si>
  <si>
    <t>ROE</t>
  </si>
  <si>
    <t>ROPE</t>
  </si>
  <si>
    <t>ROA</t>
  </si>
  <si>
    <t>F_PE</t>
  </si>
  <si>
    <t>YIELD_23</t>
  </si>
  <si>
    <t>BOOKVALUE</t>
  </si>
  <si>
    <t>PBV</t>
  </si>
  <si>
    <t>PEG</t>
  </si>
  <si>
    <t>OCFR</t>
  </si>
  <si>
    <t>CFD</t>
  </si>
  <si>
    <t>FCF (INC R)</t>
  </si>
  <si>
    <t>FCT TO PROFIT</t>
  </si>
  <si>
    <t>ATTRIATION</t>
  </si>
  <si>
    <t>Expected Growth</t>
  </si>
  <si>
    <t>Sales</t>
  </si>
  <si>
    <t>Profit</t>
  </si>
  <si>
    <t>EPS</t>
  </si>
  <si>
    <t>FAIRVALUE</t>
  </si>
  <si>
    <t>TRAILEPS</t>
  </si>
  <si>
    <t>EPS_24</t>
  </si>
  <si>
    <t>TRAIL_EPS</t>
  </si>
  <si>
    <t>F_EPS_25</t>
  </si>
  <si>
    <t>FY_2035</t>
  </si>
  <si>
    <t>Q2_FY24</t>
  </si>
  <si>
    <t>Q3_FY24</t>
  </si>
  <si>
    <t>Q4_FY24</t>
  </si>
  <si>
    <t>Q1_FY25</t>
  </si>
  <si>
    <t>FY_2030</t>
  </si>
  <si>
    <t>PE_24</t>
  </si>
  <si>
    <t>TRAIL_PE</t>
  </si>
  <si>
    <t>F_PE_25</t>
  </si>
  <si>
    <t>EST_FY_2025</t>
  </si>
  <si>
    <t>Current Trend</t>
  </si>
  <si>
    <t>H1_FY_24</t>
  </si>
  <si>
    <t>9M_FY_24</t>
  </si>
  <si>
    <t>FY_24</t>
  </si>
  <si>
    <t>Q1_FY_25</t>
  </si>
  <si>
    <t>EST_FY_25</t>
  </si>
  <si>
    <t>MARGIN</t>
  </si>
  <si>
    <t>EST LONG TERM GROWTH</t>
  </si>
  <si>
    <t>ORGANIC</t>
  </si>
  <si>
    <t>EST_2025</t>
  </si>
  <si>
    <t>Result</t>
  </si>
  <si>
    <t>CC</t>
  </si>
  <si>
    <t>7% CC</t>
  </si>
  <si>
    <t>Q1_FY_24</t>
  </si>
  <si>
    <t>Growth</t>
  </si>
  <si>
    <t>Q4_FY_24</t>
  </si>
  <si>
    <t>Q4_FY_23</t>
  </si>
  <si>
    <t>FY_23</t>
  </si>
  <si>
    <t>Margin</t>
  </si>
  <si>
    <t>High Price</t>
  </si>
  <si>
    <t>Low Price</t>
  </si>
  <si>
    <t>Higher PE</t>
  </si>
  <si>
    <t>Lower PE</t>
  </si>
  <si>
    <t>Average PE</t>
  </si>
  <si>
    <t>Dividend</t>
  </si>
  <si>
    <t>Div%</t>
  </si>
  <si>
    <t>Growth CYEAR</t>
  </si>
  <si>
    <t>Exp</t>
  </si>
  <si>
    <t>Growth 9 year</t>
  </si>
  <si>
    <t>FINANCE</t>
  </si>
  <si>
    <t>Actual</t>
  </si>
  <si>
    <t>in cr</t>
  </si>
  <si>
    <t>Year</t>
  </si>
  <si>
    <t>Trail_fy25</t>
  </si>
  <si>
    <t>fy_2024</t>
  </si>
  <si>
    <t>fy_2023</t>
  </si>
  <si>
    <t>Segment</t>
  </si>
  <si>
    <t>MAJORCOST</t>
  </si>
  <si>
    <t>fy_2022</t>
  </si>
  <si>
    <t>SHARE</t>
  </si>
  <si>
    <t>fy_2021</t>
  </si>
  <si>
    <t>Mobility</t>
  </si>
  <si>
    <t>EMPLOYEE</t>
  </si>
  <si>
    <t>fy_2020</t>
  </si>
  <si>
    <t>Sustanibility</t>
  </si>
  <si>
    <t>OTHER</t>
  </si>
  <si>
    <t>fy_2019</t>
  </si>
  <si>
    <t>Hi-Tech</t>
  </si>
  <si>
    <t>D&amp;A</t>
  </si>
  <si>
    <t>fy_2018</t>
  </si>
  <si>
    <t>IPO</t>
  </si>
  <si>
    <t>fy_2017</t>
  </si>
  <si>
    <t>fy_2016</t>
  </si>
  <si>
    <t>fy_2015</t>
  </si>
  <si>
    <t>SHP  %</t>
  </si>
  <si>
    <t>REGION</t>
  </si>
  <si>
    <t>PROMOTER</t>
  </si>
  <si>
    <t>CC GROWTH</t>
  </si>
  <si>
    <t>MF, AIF</t>
  </si>
  <si>
    <t>NORTHAMERICA</t>
  </si>
  <si>
    <t>FPI</t>
  </si>
  <si>
    <t>EUROPE</t>
  </si>
  <si>
    <t>NON INSTITUTION</t>
  </si>
  <si>
    <t>INDIA</t>
  </si>
  <si>
    <t>ROW</t>
  </si>
  <si>
    <t>INDUSTRY</t>
  </si>
  <si>
    <t>IT ENABLED INDUSTRY</t>
  </si>
  <si>
    <t>COMPANY</t>
  </si>
  <si>
    <t>Market Cap</t>
  </si>
  <si>
    <t>SALES_23</t>
  </si>
  <si>
    <t>PROFIT_23</t>
  </si>
  <si>
    <t>BCG</t>
  </si>
  <si>
    <t>TATATECH</t>
  </si>
  <si>
    <t>CYIENT</t>
  </si>
  <si>
    <t>BBOX</t>
  </si>
  <si>
    <t>AFFLE</t>
  </si>
  <si>
    <t>RSYSTEMINT</t>
  </si>
  <si>
    <t>EMUDHRA</t>
  </si>
  <si>
    <t>CIGNITI</t>
  </si>
  <si>
    <t>DATAMATICS</t>
  </si>
  <si>
    <t>PROTEAN</t>
  </si>
  <si>
    <t>ZAGGLE</t>
  </si>
  <si>
    <t>AXISCADES</t>
  </si>
  <si>
    <t>SASKEN</t>
  </si>
  <si>
    <t>VAKRANGEE</t>
  </si>
  <si>
    <t>OTHER_45</t>
  </si>
  <si>
    <t>SALES_5Y_GR</t>
  </si>
  <si>
    <t>CY_SALES GR</t>
  </si>
  <si>
    <t>CY_MARGIN</t>
  </si>
  <si>
    <t>MARGIN_23</t>
  </si>
  <si>
    <t>CUR. RATIO</t>
  </si>
  <si>
    <t>TR.DAYS</t>
  </si>
  <si>
    <t>RAWDATA</t>
  </si>
  <si>
    <t>Security Code</t>
  </si>
  <si>
    <t>CMP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</si>
  <si>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</si>
  <si>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</si>
  <si>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</si>
  <si>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</si>
  <si>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</si>
  <si>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</si>
  <si>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</si>
  <si>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</si>
  <si>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NPA in % (For banks only)</t>
  </si>
  <si>
    <t>Companies weightage</t>
  </si>
  <si>
    <t>SALES_18</t>
  </si>
  <si>
    <t>9M_FY24_SALES</t>
  </si>
  <si>
    <t>9M_FY23_SALES</t>
  </si>
  <si>
    <t>9M_FY24_PROFIT</t>
  </si>
  <si>
    <t>9M_FY23_PROFIT</t>
  </si>
  <si>
    <t>EXPENSE</t>
  </si>
  <si>
    <t>CY_PRPFIT_GR</t>
  </si>
  <si>
    <t>YIELD</t>
  </si>
  <si>
    <t>GENESYS</t>
  </si>
  <si>
    <t>EXPLEOSOL</t>
  </si>
  <si>
    <t>ONWARDTEC</t>
  </si>
  <si>
    <t>DSSL</t>
  </si>
  <si>
    <t>SILVERTUC</t>
  </si>
  <si>
    <t>ADSL</t>
  </si>
  <si>
    <t>CRESSAN</t>
  </si>
  <si>
    <t>FCSSOFT</t>
  </si>
  <si>
    <t>AURUM</t>
  </si>
  <si>
    <t>VLEGOV</t>
  </si>
  <si>
    <t>DIGISPICE</t>
  </si>
  <si>
    <t>ASMS</t>
  </si>
  <si>
    <t>VEEFIN</t>
  </si>
  <si>
    <t>MOLDTEK</t>
  </si>
  <si>
    <t>INSPIRISYS</t>
  </si>
  <si>
    <t>SIGMA</t>
  </si>
  <si>
    <t>GSS</t>
  </si>
  <si>
    <t>IZMO</t>
  </si>
  <si>
    <t>AIRAN</t>
  </si>
  <si>
    <t>DEVIT</t>
  </si>
  <si>
    <t>IRIS</t>
  </si>
  <si>
    <t>VISESHINFO</t>
  </si>
  <si>
    <t>SECURKLOUD</t>
  </si>
  <si>
    <t>PALRED</t>
  </si>
  <si>
    <t>DCM</t>
  </si>
  <si>
    <t>RIDDHICORP</t>
  </si>
  <si>
    <t>WEPSOLN</t>
  </si>
  <si>
    <t>SYLPH</t>
  </si>
  <si>
    <t>VEDAVAAG</t>
  </si>
  <si>
    <t>TITANIN</t>
  </si>
  <si>
    <t>RAMINFO</t>
  </si>
  <si>
    <t>ADROITINFO</t>
  </si>
  <si>
    <t>SCANPGEOM</t>
  </si>
  <si>
    <t>HOVS</t>
  </si>
  <si>
    <t>TERASOFT</t>
  </si>
  <si>
    <t>LEENEE</t>
  </si>
  <si>
    <t>7TEC</t>
  </si>
  <si>
    <t>PCS</t>
  </si>
  <si>
    <t>BENCHMARK</t>
  </si>
  <si>
    <t>USGTECH</t>
  </si>
  <si>
    <t>SANCODE</t>
  </si>
  <si>
    <t>OCTAWARE</t>
  </si>
  <si>
    <t>EKENNIS</t>
  </si>
  <si>
    <t>INTELSOFT</t>
  </si>
  <si>
    <t>MELSTAR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</si>
</sst>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_ ;_ * \-#,##0_ ;_ * &quot;-&quot;??_ ;_ @_ "/>
    <numFmt numFmtId="165" formatCode="0.0%"/>
    <numFmt numFmtId="166" formatCode="0.0"/>
  </numFmts>
  <fonts count="17" x14ac:knownFonts="1">
    <font>
      <sz val="10"/>
      <color rgb="FF000000"/>
      <name val="Calibri"/>
      <scheme val="minor"/>
    </font>
    <font>
      <sz val="36"/>
      <color rgb="FFFFFFFF"/>
      <name val="Calibri"/>
      <scheme val="minor"/>
    </font>
    <font>
      <sz val="10"/>
      <color theme="1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1"/>
      <color rgb="FFFFFFFF"/>
      <name val="Calibri"/>
      <scheme val="minor"/>
    </font>
    <font>
      <b/>
      <sz val="14"/>
      <color rgb="FFFFFFFF"/>
      <name val="Calibri"/>
      <scheme val="minor"/>
    </font>
    <font>
      <b/>
      <sz val="10"/>
      <color theme="1"/>
      <name val="Calibri"/>
      <scheme val="minor"/>
    </font>
    <font>
      <sz val="13"/>
      <color theme="1"/>
      <name val="Calibri"/>
      <scheme val="minor"/>
    </font>
    <font>
      <b/>
      <i/>
      <sz val="10"/>
      <color theme="1"/>
      <name val="Calibri"/>
      <scheme val="minor"/>
    </font>
    <font>
      <b/>
      <i/>
      <u/>
      <sz val="10"/>
      <color theme="1"/>
      <name val="Calibri"/>
      <scheme val="minor"/>
    </font>
    <font>
      <sz val="11"/>
      <color rgb="FF000000"/>
      <name val="Calibri"/>
    </font>
    <font>
      <sz val="10"/>
      <color theme="1"/>
      <name val="Arial"/>
    </font>
    <font>
      <i/>
      <sz val="10"/>
      <color theme="1"/>
      <name val="Calibri"/>
      <scheme val="minor"/>
    </font>
    <font>
      <b/>
      <sz val="10"/>
      <color rgb="FFFFFFFF"/>
      <name val="Arial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B8CCE4"/>
        <bgColor rgb="FFB8CCE4"/>
      </patternFill>
    </fill>
    <fill>
      <patternFill patternType="solid">
        <fgColor rgb="FFCCCCCC"/>
        <bgColor rgb="FFCCCCCC"/>
      </patternFill>
    </fill>
    <fill>
      <patternFill patternType="solid">
        <fgColor rgb="FF980000"/>
        <bgColor rgb="FF980000"/>
      </patternFill>
    </fill>
    <fill>
      <patternFill patternType="solid">
        <fgColor rgb="FF4C1130"/>
        <bgColor rgb="FF4C113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2" fillId="0" borderId="0" xfId="0" applyFont="1"/>
    <xf numFmtId="1" fontId="2" fillId="0" borderId="0" xfId="0" applyNumberFormat="1" applyFont="1"/>
    <xf numFmtId="1" fontId="4" fillId="0" borderId="1" xfId="0" applyNumberFormat="1" applyFont="1" applyBorder="1"/>
    <xf numFmtId="0" fontId="4" fillId="4" borderId="1" xfId="0" applyFont="1" applyFill="1" applyBorder="1"/>
    <xf numFmtId="0" fontId="5" fillId="5" borderId="1" xfId="0" applyFont="1" applyFill="1" applyBorder="1"/>
    <xf numFmtId="165" fontId="5" fillId="5" borderId="1" xfId="0" applyNumberFormat="1" applyFont="1" applyFill="1" applyBorder="1"/>
    <xf numFmtId="3" fontId="5" fillId="5" borderId="1" xfId="0" applyNumberFormat="1" applyFont="1" applyFill="1" applyBorder="1"/>
    <xf numFmtId="0" fontId="4" fillId="0" borderId="0" xfId="0" applyFont="1"/>
    <xf numFmtId="0" fontId="4" fillId="4" borderId="0" xfId="0" applyFont="1" applyFill="1"/>
    <xf numFmtId="0" fontId="6" fillId="2" borderId="0" xfId="0" applyFont="1" applyFill="1" applyAlignment="1">
      <alignment horizontal="left"/>
    </xf>
    <xf numFmtId="0" fontId="4" fillId="4" borderId="2" xfId="0" applyFont="1" applyFill="1" applyBorder="1"/>
    <xf numFmtId="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9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9" fontId="4" fillId="0" borderId="4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7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7" fillId="2" borderId="0" xfId="0" applyFont="1" applyFill="1" applyAlignment="1">
      <alignment horizontal="center"/>
    </xf>
    <xf numFmtId="0" fontId="2" fillId="6" borderId="1" xfId="0" applyFont="1" applyFill="1" applyBorder="1" applyAlignment="1">
      <alignment horizontal="left"/>
    </xf>
    <xf numFmtId="3" fontId="2" fillId="6" borderId="1" xfId="0" applyNumberFormat="1" applyFont="1" applyFill="1" applyBorder="1"/>
    <xf numFmtId="1" fontId="2" fillId="6" borderId="1" xfId="0" applyNumberFormat="1" applyFont="1" applyFill="1" applyBorder="1"/>
    <xf numFmtId="0" fontId="8" fillId="0" borderId="1" xfId="0" applyFont="1" applyBorder="1"/>
    <xf numFmtId="16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166" fontId="9" fillId="7" borderId="0" xfId="0" applyNumberFormat="1" applyFont="1" applyFill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2" fillId="0" borderId="1" xfId="0" applyFont="1" applyBorder="1" applyAlignment="1">
      <alignment horizontal="left"/>
    </xf>
    <xf numFmtId="9" fontId="2" fillId="0" borderId="1" xfId="0" applyNumberFormat="1" applyFont="1" applyBorder="1"/>
    <xf numFmtId="9" fontId="2" fillId="6" borderId="1" xfId="0" applyNumberFormat="1" applyFont="1" applyFill="1" applyBorder="1"/>
    <xf numFmtId="165" fontId="2" fillId="6" borderId="1" xfId="0" applyNumberFormat="1" applyFont="1" applyFill="1" applyBorder="1"/>
    <xf numFmtId="165" fontId="10" fillId="0" borderId="1" xfId="0" applyNumberFormat="1" applyFont="1" applyBorder="1"/>
    <xf numFmtId="0" fontId="7" fillId="2" borderId="0" xfId="0" applyFont="1" applyFill="1" applyAlignment="1">
      <alignment horizontal="left"/>
    </xf>
    <xf numFmtId="9" fontId="10" fillId="0" borderId="1" xfId="0" applyNumberFormat="1" applyFont="1" applyBorder="1"/>
    <xf numFmtId="0" fontId="11" fillId="0" borderId="1" xfId="0" applyFont="1" applyBorder="1" applyAlignment="1">
      <alignment horizontal="left"/>
    </xf>
    <xf numFmtId="165" fontId="2" fillId="0" borderId="1" xfId="0" applyNumberFormat="1" applyFont="1" applyBorder="1"/>
    <xf numFmtId="1" fontId="2" fillId="0" borderId="1" xfId="0" applyNumberFormat="1" applyFont="1" applyBorder="1"/>
    <xf numFmtId="9" fontId="11" fillId="0" borderId="1" xfId="0" applyNumberFormat="1" applyFont="1" applyBorder="1"/>
    <xf numFmtId="165" fontId="11" fillId="0" borderId="1" xfId="0" applyNumberFormat="1" applyFont="1" applyBorder="1"/>
    <xf numFmtId="1" fontId="11" fillId="0" borderId="1" xfId="0" applyNumberFormat="1" applyFont="1" applyBorder="1"/>
    <xf numFmtId="0" fontId="3" fillId="2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3" fillId="2" borderId="0" xfId="0" applyFont="1" applyFill="1"/>
    <xf numFmtId="9" fontId="10" fillId="0" borderId="0" xfId="0" applyNumberFormat="1" applyFont="1"/>
    <xf numFmtId="0" fontId="8" fillId="0" borderId="0" xfId="0" applyFont="1"/>
    <xf numFmtId="0" fontId="13" fillId="0" borderId="1" xfId="0" applyFont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0" fontId="14" fillId="7" borderId="5" xfId="0" applyFont="1" applyFill="1" applyBorder="1"/>
    <xf numFmtId="9" fontId="14" fillId="7" borderId="5" xfId="0" applyNumberFormat="1" applyFont="1" applyFill="1" applyBorder="1"/>
    <xf numFmtId="9" fontId="14" fillId="7" borderId="0" xfId="0" applyNumberFormat="1" applyFont="1" applyFill="1"/>
    <xf numFmtId="0" fontId="3" fillId="8" borderId="1" xfId="0" applyFont="1" applyFill="1" applyBorder="1"/>
    <xf numFmtId="0" fontId="3" fillId="8" borderId="6" xfId="0" applyFont="1" applyFill="1" applyBorder="1"/>
    <xf numFmtId="9" fontId="4" fillId="0" borderId="3" xfId="0" applyNumberFormat="1" applyFont="1" applyBorder="1"/>
    <xf numFmtId="3" fontId="4" fillId="0" borderId="4" xfId="0" applyNumberFormat="1" applyFont="1" applyBorder="1"/>
    <xf numFmtId="0" fontId="5" fillId="0" borderId="0" xfId="0" applyFont="1"/>
    <xf numFmtId="3" fontId="5" fillId="0" borderId="0" xfId="0" applyNumberFormat="1" applyFont="1" applyAlignment="1">
      <alignment horizontal="right"/>
    </xf>
    <xf numFmtId="9" fontId="2" fillId="0" borderId="0" xfId="0" applyNumberFormat="1" applyFont="1"/>
    <xf numFmtId="0" fontId="15" fillId="2" borderId="1" xfId="0" applyFont="1" applyFill="1" applyBorder="1"/>
    <xf numFmtId="0" fontId="15" fillId="2" borderId="7" xfId="0" applyFont="1" applyFill="1" applyBorder="1" applyAlignment="1">
      <alignment horizontal="center" vertical="center"/>
    </xf>
    <xf numFmtId="0" fontId="16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2" xfId="0" applyFont="1" applyBorder="1"/>
    <xf numFmtId="0" fontId="16" fillId="0" borderId="4" xfId="0" applyFont="1" applyBorder="1"/>
    <xf numFmtId="0" fontId="15" fillId="2" borderId="0" xfId="0" applyFont="1" applyFill="1"/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13" xfId="0" applyFont="1" applyBorder="1"/>
    <xf numFmtId="0" fontId="13" fillId="0" borderId="13" xfId="0" applyFont="1" applyBorder="1" applyAlignment="1">
      <alignment horizontal="right"/>
    </xf>
    <xf numFmtId="0" fontId="2" fillId="0" borderId="13" xfId="0" applyFont="1" applyBorder="1"/>
    <xf numFmtId="0" fontId="10" fillId="7" borderId="14" xfId="0" applyFont="1" applyFill="1" applyBorder="1"/>
    <xf numFmtId="1" fontId="10" fillId="7" borderId="14" xfId="0" applyNumberFormat="1" applyFont="1" applyFill="1" applyBorder="1"/>
    <xf numFmtId="165" fontId="13" fillId="0" borderId="0" xfId="0" applyNumberFormat="1" applyFont="1" applyAlignment="1">
      <alignment horizontal="right"/>
    </xf>
    <xf numFmtId="165" fontId="13" fillId="0" borderId="13" xfId="0" applyNumberFormat="1" applyFont="1" applyBorder="1" applyAlignment="1">
      <alignment horizontal="right"/>
    </xf>
    <xf numFmtId="10" fontId="10" fillId="7" borderId="14" xfId="0" applyNumberFormat="1" applyFont="1" applyFill="1" applyBorder="1"/>
    <xf numFmtId="2" fontId="13" fillId="0" borderId="0" xfId="0" applyNumberFormat="1" applyFont="1" applyAlignment="1">
      <alignment horizontal="right"/>
    </xf>
    <xf numFmtId="2" fontId="13" fillId="0" borderId="0" xfId="0" applyNumberFormat="1" applyFont="1"/>
    <xf numFmtId="2" fontId="13" fillId="0" borderId="13" xfId="0" applyNumberFormat="1" applyFont="1" applyBorder="1" applyAlignment="1">
      <alignment horizontal="right"/>
    </xf>
    <xf numFmtId="1" fontId="13" fillId="0" borderId="13" xfId="0" applyNumberFormat="1" applyFont="1" applyBorder="1" applyAlignment="1">
      <alignment horizontal="right"/>
    </xf>
    <xf numFmtId="0" fontId="4" fillId="0" borderId="3" xfId="0" applyFont="1" applyBorder="1"/>
    <xf numFmtId="165" fontId="13" fillId="0" borderId="4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166" fontId="13" fillId="0" borderId="13" xfId="0" applyNumberFormat="1" applyFont="1" applyBorder="1" applyAlignment="1">
      <alignment horizontal="right"/>
    </xf>
    <xf numFmtId="0" fontId="15" fillId="9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2" fontId="2" fillId="0" borderId="1" xfId="0" applyNumberFormat="1" applyFont="1" applyBorder="1"/>
    <xf numFmtId="1" fontId="8" fillId="0" borderId="1" xfId="0" applyNumberFormat="1" applyFont="1" applyBorder="1"/>
    <xf numFmtId="10" fontId="8" fillId="0" borderId="1" xfId="0" applyNumberFormat="1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IT Enabled Services    -style" pivot="0" count="3" xr9:uid="{8568AAE8-A8A6-4BC2-A9B1-D6D46DAC1861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'IT Enabled Services    '!$C$6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27E5-4E1D-9E67-7CE6FED91E0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27E5-4E1D-9E67-7CE6FED91E0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27E5-4E1D-9E67-7CE6FED91E0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27E5-4E1D-9E67-7CE6FED91E0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27E5-4E1D-9E67-7CE6FED91E0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27E5-4E1D-9E67-7CE6FED91E0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27E5-4E1D-9E67-7CE6FED91E0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27E5-4E1D-9E67-7CE6FED91E0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27E5-4E1D-9E67-7CE6FED91E0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27E5-4E1D-9E67-7CE6FED91E0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27E5-4E1D-9E67-7CE6FED91E0F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27E5-4E1D-9E67-7CE6FED91E0F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27E5-4E1D-9E67-7CE6FED91E0F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27E5-4E1D-9E67-7CE6FED91E0F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27E5-4E1D-9E67-7CE6FED91E0F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27E5-4E1D-9E67-7CE6FED91E0F}"/>
              </c:ext>
            </c:extLst>
          </c:dPt>
          <c:cat>
            <c:strRef>
              <c:f>'IT Enabled Services    '!$B$7:$B$22</c:f>
              <c:strCache>
                <c:ptCount val="16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  <c:pt idx="15">
                  <c:v>OTHER_45</c:v>
                </c:pt>
              </c:strCache>
            </c:strRef>
          </c:cat>
          <c:val>
            <c:numRef>
              <c:f>'IT Enabled Services    '!$C$7:$C$22</c:f>
              <c:numCache>
                <c:formatCode>0</c:formatCode>
                <c:ptCount val="16"/>
                <c:pt idx="0">
                  <c:v>55524.091480000003</c:v>
                </c:pt>
                <c:pt idx="1">
                  <c:v>43997.080337500003</c:v>
                </c:pt>
                <c:pt idx="2">
                  <c:v>21406.078621500001</c:v>
                </c:pt>
                <c:pt idx="3">
                  <c:v>14882.1777</c:v>
                </c:pt>
                <c:pt idx="4">
                  <c:v>5347.3136800000002</c:v>
                </c:pt>
                <c:pt idx="5">
                  <c:v>4993.1315525</c:v>
                </c:pt>
                <c:pt idx="6">
                  <c:v>4320.1140643999997</c:v>
                </c:pt>
                <c:pt idx="7">
                  <c:v>3957.5825399999999</c:v>
                </c:pt>
                <c:pt idx="8">
                  <c:v>3898.1916000000001</c:v>
                </c:pt>
                <c:pt idx="9">
                  <c:v>3590.8906124999999</c:v>
                </c:pt>
                <c:pt idx="10">
                  <c:v>3276.2188729</c:v>
                </c:pt>
                <c:pt idx="11">
                  <c:v>3210.4894079999999</c:v>
                </c:pt>
                <c:pt idx="12">
                  <c:v>2454.6441355000002</c:v>
                </c:pt>
                <c:pt idx="13">
                  <c:v>2354.5203929999998</c:v>
                </c:pt>
                <c:pt idx="14">
                  <c:v>2338.4562520999998</c:v>
                </c:pt>
                <c:pt idx="15" formatCode="General">
                  <c:v>7230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7E5-4E1D-9E67-7CE6FED91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'!$H$117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'!$G$118:$G$132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'!$H$118:$H$132</c:f>
              <c:numCache>
                <c:formatCode>0.0</c:formatCode>
                <c:ptCount val="15"/>
                <c:pt idx="0">
                  <c:v>2.3706788837984174</c:v>
                </c:pt>
                <c:pt idx="1">
                  <c:v>1.781524926686217</c:v>
                </c:pt>
                <c:pt idx="2">
                  <c:v>1.9639121338912133</c:v>
                </c:pt>
                <c:pt idx="3">
                  <c:v>1.9134948096885813</c:v>
                </c:pt>
                <c:pt idx="4">
                  <c:v>2.7079037800687287</c:v>
                </c:pt>
                <c:pt idx="5">
                  <c:v>3.189189189189189</c:v>
                </c:pt>
                <c:pt idx="6">
                  <c:v>1.8594377510040161</c:v>
                </c:pt>
                <c:pt idx="7">
                  <c:v>7.4691358024691361</c:v>
                </c:pt>
                <c:pt idx="8">
                  <c:v>1.0462012320328542</c:v>
                </c:pt>
                <c:pt idx="9">
                  <c:v>0</c:v>
                </c:pt>
                <c:pt idx="10">
                  <c:v>4.9547738693467336</c:v>
                </c:pt>
                <c:pt idx="11">
                  <c:v>3.5566037735849059</c:v>
                </c:pt>
                <c:pt idx="12">
                  <c:v>1.7623456790123457</c:v>
                </c:pt>
                <c:pt idx="13">
                  <c:v>2.3855421686746987</c:v>
                </c:pt>
                <c:pt idx="14">
                  <c:v>1.0261437908496731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DD-4766-9E3C-B3DAD2CF4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081163"/>
        <c:axId val="996618327"/>
      </c:barChart>
      <c:catAx>
        <c:axId val="127308116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6618327"/>
        <c:crosses val="autoZero"/>
        <c:auto val="1"/>
        <c:lblAlgn val="ctr"/>
        <c:lblOffset val="100"/>
        <c:noMultiLvlLbl val="1"/>
      </c:catAx>
      <c:valAx>
        <c:axId val="99661832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308116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'!$L$117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'!$K$118:$K$132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'!$L$118:$L$132</c:f>
              <c:numCache>
                <c:formatCode>0</c:formatCode>
                <c:ptCount val="15"/>
                <c:pt idx="0">
                  <c:v>124.26307250717585</c:v>
                </c:pt>
                <c:pt idx="1">
                  <c:v>101.21431807884005</c:v>
                </c:pt>
                <c:pt idx="2">
                  <c:v>74.152950955943481</c:v>
                </c:pt>
                <c:pt idx="3">
                  <c:v>70.505578800557885</c:v>
                </c:pt>
                <c:pt idx="4">
                  <c:v>56.135313531353141</c:v>
                </c:pt>
                <c:pt idx="5">
                  <c:v>153.06451612903226</c:v>
                </c:pt>
                <c:pt idx="6">
                  <c:v>119.20377867746288</c:v>
                </c:pt>
                <c:pt idx="7">
                  <c:v>79.86437613019892</c:v>
                </c:pt>
                <c:pt idx="8">
                  <c:v>24.906155559090188</c:v>
                </c:pt>
                <c:pt idx="9">
                  <c:v>147.63823171556035</c:v>
                </c:pt>
                <c:pt idx="10">
                  <c:v>67.296093214530501</c:v>
                </c:pt>
                <c:pt idx="11">
                  <c:v>63.160291438979961</c:v>
                </c:pt>
                <c:pt idx="12">
                  <c:v>99.667896678966798</c:v>
                </c:pt>
                <c:pt idx="13">
                  <c:v>54.013452914798208</c:v>
                </c:pt>
                <c:pt idx="14">
                  <c:v>70.406091370558372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A28-4E44-83FB-D637C4F7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807977"/>
        <c:axId val="1753230062"/>
      </c:barChart>
      <c:catAx>
        <c:axId val="165080797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3230062"/>
        <c:crosses val="autoZero"/>
        <c:auto val="1"/>
        <c:lblAlgn val="ctr"/>
        <c:lblOffset val="100"/>
        <c:noMultiLvlLbl val="1"/>
      </c:catAx>
      <c:valAx>
        <c:axId val="175323006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080797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'IT Enabled Services    '!$G$6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48AA-44E5-AE1A-1CC7FA218C5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48AA-44E5-AE1A-1CC7FA218C5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48AA-44E5-AE1A-1CC7FA218C5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48AA-44E5-AE1A-1CC7FA218C5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48AA-44E5-AE1A-1CC7FA218C5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48AA-44E5-AE1A-1CC7FA218C5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48AA-44E5-AE1A-1CC7FA218C5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48AA-44E5-AE1A-1CC7FA218C5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48AA-44E5-AE1A-1CC7FA218C5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48AA-44E5-AE1A-1CC7FA218C5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48AA-44E5-AE1A-1CC7FA218C5F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48AA-44E5-AE1A-1CC7FA218C5F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48AA-44E5-AE1A-1CC7FA218C5F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48AA-44E5-AE1A-1CC7FA218C5F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48AA-44E5-AE1A-1CC7FA218C5F}"/>
              </c:ext>
            </c:extLst>
          </c:dPt>
          <c:cat>
            <c:strRef>
              <c:f>'IT Enabled Services    '!$F$7:$F$21</c:f>
              <c:strCache>
                <c:ptCount val="15"/>
                <c:pt idx="0">
                  <c:v>LTTS</c:v>
                </c:pt>
                <c:pt idx="1">
                  <c:v>BCG</c:v>
                </c:pt>
                <c:pt idx="2">
                  <c:v>BBOX</c:v>
                </c:pt>
                <c:pt idx="3">
                  <c:v>CYIENT</c:v>
                </c:pt>
                <c:pt idx="4">
                  <c:v>TATATECH</c:v>
                </c:pt>
                <c:pt idx="5">
                  <c:v>CIGNITI</c:v>
                </c:pt>
                <c:pt idx="6">
                  <c:v>RSYSTEMINT</c:v>
                </c:pt>
                <c:pt idx="7">
                  <c:v>DATAMATICS</c:v>
                </c:pt>
                <c:pt idx="8">
                  <c:v>AFFLE</c:v>
                </c:pt>
                <c:pt idx="9">
                  <c:v>AXISCADES</c:v>
                </c:pt>
                <c:pt idx="10">
                  <c:v>PROTEAN</c:v>
                </c:pt>
                <c:pt idx="11">
                  <c:v>ZAGGLE</c:v>
                </c:pt>
                <c:pt idx="12">
                  <c:v>SASKEN</c:v>
                </c:pt>
                <c:pt idx="13">
                  <c:v>EMUDHRA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'!$G$7:$G$21</c:f>
              <c:numCache>
                <c:formatCode>General</c:formatCode>
                <c:ptCount val="15"/>
                <c:pt idx="0">
                  <c:v>8013</c:v>
                </c:pt>
                <c:pt idx="1">
                  <c:v>7397</c:v>
                </c:pt>
                <c:pt idx="2">
                  <c:v>6287</c:v>
                </c:pt>
                <c:pt idx="3">
                  <c:v>6015</c:v>
                </c:pt>
                <c:pt idx="4">
                  <c:v>4414</c:v>
                </c:pt>
                <c:pt idx="5">
                  <c:v>1647</c:v>
                </c:pt>
                <c:pt idx="6">
                  <c:v>1515</c:v>
                </c:pt>
                <c:pt idx="7">
                  <c:v>1459</c:v>
                </c:pt>
                <c:pt idx="8">
                  <c:v>1434</c:v>
                </c:pt>
                <c:pt idx="9">
                  <c:v>813</c:v>
                </c:pt>
                <c:pt idx="10">
                  <c:v>741</c:v>
                </c:pt>
                <c:pt idx="11">
                  <c:v>553</c:v>
                </c:pt>
                <c:pt idx="12">
                  <c:v>446</c:v>
                </c:pt>
                <c:pt idx="13">
                  <c:v>248</c:v>
                </c:pt>
                <c:pt idx="14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8AA-44E5-AE1A-1CC7FA21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'!$J$6:$J$21</c:f>
              <c:strCache>
                <c:ptCount val="16"/>
                <c:pt idx="0">
                  <c:v>COMPANY</c:v>
                </c:pt>
                <c:pt idx="1">
                  <c:v>BCG</c:v>
                </c:pt>
                <c:pt idx="2">
                  <c:v>LTTS</c:v>
                </c:pt>
                <c:pt idx="3">
                  <c:v>TATATECH</c:v>
                </c:pt>
                <c:pt idx="4">
                  <c:v>CYIENT</c:v>
                </c:pt>
                <c:pt idx="5">
                  <c:v>AFFLE</c:v>
                </c:pt>
                <c:pt idx="6">
                  <c:v>DATAMATICS</c:v>
                </c:pt>
                <c:pt idx="7">
                  <c:v>CIGNITI</c:v>
                </c:pt>
                <c:pt idx="8">
                  <c:v>RSYSTEMINT</c:v>
                </c:pt>
                <c:pt idx="9">
                  <c:v>PROTEAN</c:v>
                </c:pt>
                <c:pt idx="10">
                  <c:v>SASKEN</c:v>
                </c:pt>
                <c:pt idx="11">
                  <c:v>EMUDHRA</c:v>
                </c:pt>
                <c:pt idx="12">
                  <c:v>BBOX</c:v>
                </c:pt>
                <c:pt idx="13">
                  <c:v>ZAGGLE</c:v>
                </c:pt>
                <c:pt idx="14">
                  <c:v>VAKRANGEE</c:v>
                </c:pt>
                <c:pt idx="15">
                  <c:v>AXISCADES</c:v>
                </c:pt>
              </c:strCache>
            </c:strRef>
          </c:cat>
          <c:val>
            <c:numRef>
              <c:f>'IT Enabled Services    '!$K$6:$K$21</c:f>
              <c:numCache>
                <c:formatCode>General</c:formatCode>
                <c:ptCount val="16"/>
                <c:pt idx="0">
                  <c:v>0</c:v>
                </c:pt>
                <c:pt idx="1">
                  <c:v>1371</c:v>
                </c:pt>
                <c:pt idx="2">
                  <c:v>1174</c:v>
                </c:pt>
                <c:pt idx="3">
                  <c:v>624</c:v>
                </c:pt>
                <c:pt idx="4">
                  <c:v>514</c:v>
                </c:pt>
                <c:pt idx="5">
                  <c:v>245</c:v>
                </c:pt>
                <c:pt idx="6">
                  <c:v>185</c:v>
                </c:pt>
                <c:pt idx="7">
                  <c:v>168</c:v>
                </c:pt>
                <c:pt idx="8">
                  <c:v>140</c:v>
                </c:pt>
                <c:pt idx="9">
                  <c:v>107</c:v>
                </c:pt>
                <c:pt idx="10">
                  <c:v>97</c:v>
                </c:pt>
                <c:pt idx="11">
                  <c:v>61</c:v>
                </c:pt>
                <c:pt idx="12">
                  <c:v>23.7</c:v>
                </c:pt>
                <c:pt idx="13">
                  <c:v>23</c:v>
                </c:pt>
                <c:pt idx="14">
                  <c:v>1</c:v>
                </c:pt>
                <c:pt idx="15">
                  <c:v>-5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096-4FB9-BFFA-48B0B563F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039217"/>
        <c:axId val="1997172409"/>
      </c:barChart>
      <c:catAx>
        <c:axId val="150303921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172409"/>
        <c:crosses val="autoZero"/>
        <c:auto val="1"/>
        <c:lblAlgn val="ctr"/>
        <c:lblOffset val="100"/>
        <c:noMultiLvlLbl val="1"/>
      </c:catAx>
      <c:valAx>
        <c:axId val="199717240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303921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'!$C$42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'!$B$43:$B$57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'!$C$43:$C$57</c:f>
              <c:numCache>
                <c:formatCode>0.0%</c:formatCode>
                <c:ptCount val="15"/>
                <c:pt idx="0">
                  <c:v>0.15255002420547359</c:v>
                </c:pt>
                <c:pt idx="1">
                  <c:v>8.7644244894549139E-2</c:v>
                </c:pt>
                <c:pt idx="2">
                  <c:v>8.9573198932278109E-2</c:v>
                </c:pt>
                <c:pt idx="3">
                  <c:v>0.53732799573642298</c:v>
                </c:pt>
                <c:pt idx="4">
                  <c:v>0.36732159869815861</c:v>
                </c:pt>
                <c:pt idx="5">
                  <c:v>0.1991964554448078</c:v>
                </c:pt>
                <c:pt idx="6">
                  <c:v>-3.7704678673366465E-2</c:v>
                </c:pt>
                <c:pt idx="7">
                  <c:v>0.52069894175279519</c:v>
                </c:pt>
                <c:pt idx="8">
                  <c:v>0.53697887061095506</c:v>
                </c:pt>
                <c:pt idx="9">
                  <c:v>0.25029405410139272</c:v>
                </c:pt>
                <c:pt idx="10">
                  <c:v>9.9012874180008481E-2</c:v>
                </c:pt>
                <c:pt idx="11">
                  <c:v>0.18902797570241692</c:v>
                </c:pt>
                <c:pt idx="12">
                  <c:v>9.3917670054656899E-2</c:v>
                </c:pt>
                <c:pt idx="13">
                  <c:v>-2.3767246072902815E-2</c:v>
                </c:pt>
                <c:pt idx="14">
                  <c:v>-0.50306771631207348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58-4174-818F-23AC2357B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022319"/>
        <c:axId val="1584354614"/>
      </c:barChart>
      <c:catAx>
        <c:axId val="112302231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4354614"/>
        <c:crosses val="autoZero"/>
        <c:auto val="1"/>
        <c:lblAlgn val="ctr"/>
        <c:lblOffset val="100"/>
        <c:noMultiLvlLbl val="1"/>
      </c:catAx>
      <c:valAx>
        <c:axId val="158435461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302231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'!$G$42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'!$F$43:$F$57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'!$G$43:$G$57</c:f>
              <c:numCache>
                <c:formatCode>0.0%</c:formatCode>
                <c:ptCount val="15"/>
                <c:pt idx="0">
                  <c:v>0.1031967721911855</c:v>
                </c:pt>
                <c:pt idx="1">
                  <c:v>0.26693227091633465</c:v>
                </c:pt>
                <c:pt idx="2">
                  <c:v>0.23968105065666045</c:v>
                </c:pt>
                <c:pt idx="3">
                  <c:v>0.23933209647495368</c:v>
                </c:pt>
                <c:pt idx="4">
                  <c:v>9.2161929371231688E-2</c:v>
                </c:pt>
                <c:pt idx="5">
                  <c:v>0.58720930232558133</c:v>
                </c:pt>
                <c:pt idx="6">
                  <c:v>0.29215686274509811</c:v>
                </c:pt>
                <c:pt idx="7">
                  <c:v>0.31739961759082225</c:v>
                </c:pt>
                <c:pt idx="8">
                  <c:v>4.2562432138979478E-2</c:v>
                </c:pt>
                <c:pt idx="9">
                  <c:v>2.8254697850479848E-2</c:v>
                </c:pt>
                <c:pt idx="10">
                  <c:v>9.0124640460210959E-2</c:v>
                </c:pt>
                <c:pt idx="11">
                  <c:v>0.11211129296235689</c:v>
                </c:pt>
                <c:pt idx="12">
                  <c:v>0.1796610169491526</c:v>
                </c:pt>
                <c:pt idx="13">
                  <c:v>-0.13662790697674421</c:v>
                </c:pt>
                <c:pt idx="14">
                  <c:v>8.2191780821917915E-2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D51-4651-A02B-89EFC69D2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954860"/>
        <c:axId val="1496468083"/>
      </c:barChart>
      <c:catAx>
        <c:axId val="20299548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96468083"/>
        <c:crosses val="autoZero"/>
        <c:auto val="1"/>
        <c:lblAlgn val="ctr"/>
        <c:lblOffset val="100"/>
        <c:noMultiLvlLbl val="1"/>
      </c:catAx>
      <c:valAx>
        <c:axId val="149646808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995486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'!$C$80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'!$B$81:$B$95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'!$C$81:$C$95</c:f>
              <c:numCache>
                <c:formatCode>0.00</c:formatCode>
                <c:ptCount val="15"/>
                <c:pt idx="0">
                  <c:v>0.11535234899328858</c:v>
                </c:pt>
                <c:pt idx="1">
                  <c:v>9.3434343434343439E-2</c:v>
                </c:pt>
                <c:pt idx="2">
                  <c:v>0.2119537920642893</c:v>
                </c:pt>
                <c:pt idx="3">
                  <c:v>0.14495530012771393</c:v>
                </c:pt>
                <c:pt idx="4">
                  <c:v>0.21783876500857632</c:v>
                </c:pt>
                <c:pt idx="5">
                  <c:v>6.5789473684210523E-2</c:v>
                </c:pt>
                <c:pt idx="6">
                  <c:v>2.2646007151370679E-2</c:v>
                </c:pt>
                <c:pt idx="7">
                  <c:v>0.14836223506743737</c:v>
                </c:pt>
                <c:pt idx="8">
                  <c:v>2.0943396226415096</c:v>
                </c:pt>
                <c:pt idx="9">
                  <c:v>0</c:v>
                </c:pt>
                <c:pt idx="10">
                  <c:v>1.4598540145985401E-2</c:v>
                </c:pt>
                <c:pt idx="11">
                  <c:v>8.4243369734789394E-2</c:v>
                </c:pt>
                <c:pt idx="12">
                  <c:v>1.2551319648093842</c:v>
                </c:pt>
                <c:pt idx="13">
                  <c:v>2.309782608695652E-2</c:v>
                </c:pt>
                <c:pt idx="14">
                  <c:v>4.0769230769230766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6C-4D4B-8A89-AF6C90D42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068235"/>
        <c:axId val="566074311"/>
      </c:barChart>
      <c:catAx>
        <c:axId val="214406823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66074311"/>
        <c:crosses val="autoZero"/>
        <c:auto val="1"/>
        <c:lblAlgn val="ctr"/>
        <c:lblOffset val="100"/>
        <c:noMultiLvlLbl val="1"/>
      </c:catAx>
      <c:valAx>
        <c:axId val="56607431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406823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'!$G$80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'!$F$81:$F$95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'!$G$81:$G$95</c:f>
              <c:numCache>
                <c:formatCode>0</c:formatCode>
                <c:ptCount val="15"/>
                <c:pt idx="0">
                  <c:v>16.477272727272727</c:v>
                </c:pt>
                <c:pt idx="1">
                  <c:v>40.388888888888886</c:v>
                </c:pt>
                <c:pt idx="2">
                  <c:v>7.46</c:v>
                </c:pt>
                <c:pt idx="3">
                  <c:v>21.727272727272727</c:v>
                </c:pt>
                <c:pt idx="4">
                  <c:v>33</c:v>
                </c:pt>
                <c:pt idx="5">
                  <c:v>17.75</c:v>
                </c:pt>
                <c:pt idx="6">
                  <c:v>100</c:v>
                </c:pt>
                <c:pt idx="7">
                  <c:v>3.8181818181818183</c:v>
                </c:pt>
                <c:pt idx="8">
                  <c:v>1.4864864864864864</c:v>
                </c:pt>
                <c:pt idx="9">
                  <c:v>2174</c:v>
                </c:pt>
                <c:pt idx="10">
                  <c:v>69.333333333333329</c:v>
                </c:pt>
                <c:pt idx="11">
                  <c:v>52.75</c:v>
                </c:pt>
                <c:pt idx="12">
                  <c:v>3.1428571428571428</c:v>
                </c:pt>
                <c:pt idx="13">
                  <c:v>94</c:v>
                </c:pt>
                <c:pt idx="14">
                  <c:v>1.6666666666666667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409-475F-BF06-76C26801D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7748"/>
        <c:axId val="722180797"/>
      </c:barChart>
      <c:catAx>
        <c:axId val="3002774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2180797"/>
        <c:crosses val="autoZero"/>
        <c:auto val="1"/>
        <c:lblAlgn val="ctr"/>
        <c:lblOffset val="100"/>
        <c:noMultiLvlLbl val="1"/>
      </c:catAx>
      <c:valAx>
        <c:axId val="72218079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002774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'!$K$80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'!$J$81:$J$95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'!$K$81:$K$95</c:f>
              <c:numCache>
                <c:formatCode>0.00</c:formatCode>
                <c:ptCount val="15"/>
                <c:pt idx="0">
                  <c:v>0.37626459143968871</c:v>
                </c:pt>
                <c:pt idx="1">
                  <c:v>0.44515752625437571</c:v>
                </c:pt>
                <c:pt idx="2">
                  <c:v>0.38910835214446954</c:v>
                </c:pt>
                <c:pt idx="3">
                  <c:v>0.31923076923076921</c:v>
                </c:pt>
                <c:pt idx="4">
                  <c:v>0.39076923076923076</c:v>
                </c:pt>
                <c:pt idx="5">
                  <c:v>0.16829745596868884</c:v>
                </c:pt>
                <c:pt idx="6">
                  <c:v>0.26165803108808289</c:v>
                </c:pt>
                <c:pt idx="7">
                  <c:v>0.18558282208588958</c:v>
                </c:pt>
                <c:pt idx="8">
                  <c:v>1.3019145802650958</c:v>
                </c:pt>
                <c:pt idx="9">
                  <c:v>0.85382912978119263</c:v>
                </c:pt>
                <c:pt idx="10">
                  <c:v>0.19044170890658943</c:v>
                </c:pt>
                <c:pt idx="11">
                  <c:v>0.58552631578947367</c:v>
                </c:pt>
                <c:pt idx="12">
                  <c:v>0.64299610894941639</c:v>
                </c:pt>
                <c:pt idx="13">
                  <c:v>0.10900473933649289</c:v>
                </c:pt>
                <c:pt idx="14">
                  <c:v>0.60264900662251653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DD-4585-BB41-5012679D3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308300"/>
        <c:axId val="1901892716"/>
      </c:barChart>
      <c:catAx>
        <c:axId val="158430830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1892716"/>
        <c:crosses val="autoZero"/>
        <c:auto val="1"/>
        <c:lblAlgn val="ctr"/>
        <c:lblOffset val="100"/>
        <c:noMultiLvlLbl val="1"/>
      </c:catAx>
      <c:valAx>
        <c:axId val="19018927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430830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CY_MARGIN and MARGIN_23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'IT Enabled Services    '!$C$117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'!$B$118:$B$132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'!$C$118:$C$132</c:f>
              <c:numCache>
                <c:formatCode>0.0%</c:formatCode>
                <c:ptCount val="15"/>
                <c:pt idx="0">
                  <c:v>0.13560275706850472</c:v>
                </c:pt>
                <c:pt idx="1">
                  <c:v>0.13679245283018868</c:v>
                </c:pt>
                <c:pt idx="2">
                  <c:v>2.8944381384790011E-2</c:v>
                </c:pt>
                <c:pt idx="3">
                  <c:v>0.15643712574850299</c:v>
                </c:pt>
                <c:pt idx="4">
                  <c:v>7.4132492113564666E-2</c:v>
                </c:pt>
                <c:pt idx="5">
                  <c:v>0.20146520146520147</c:v>
                </c:pt>
                <c:pt idx="6">
                  <c:v>0.1244309559939302</c:v>
                </c:pt>
                <c:pt idx="7">
                  <c:v>4.9800796812749001E-2</c:v>
                </c:pt>
                <c:pt idx="8">
                  <c:v>2.0204124140804001E-2</c:v>
                </c:pt>
                <c:pt idx="9">
                  <c:v>0.18603733894293978</c:v>
                </c:pt>
                <c:pt idx="10">
                  <c:v>0.12752858399296393</c:v>
                </c:pt>
                <c:pt idx="11">
                  <c:v>0.10154525386313466</c:v>
                </c:pt>
                <c:pt idx="12">
                  <c:v>3.4482758620689655E-2</c:v>
                </c:pt>
                <c:pt idx="13">
                  <c:v>0.21885521885521886</c:v>
                </c:pt>
                <c:pt idx="14">
                  <c:v>1.2658227848101266E-2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EBD-4B3E-A87E-E7F6477983B7}"/>
            </c:ext>
          </c:extLst>
        </c:ser>
        <c:ser>
          <c:idx val="1"/>
          <c:order val="1"/>
          <c:tx>
            <c:strRef>
              <c:f>'IT Enabled Services    '!$D$117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'IT Enabled Services    '!$B$118:$B$132</c:f>
              <c:strCache>
                <c:ptCount val="15"/>
                <c:pt idx="0">
                  <c:v>LTTS</c:v>
                </c:pt>
                <c:pt idx="1">
                  <c:v>TATATECH</c:v>
                </c:pt>
                <c:pt idx="2">
                  <c:v>CYIENT</c:v>
                </c:pt>
                <c:pt idx="3">
                  <c:v>AFFLE</c:v>
                </c:pt>
                <c:pt idx="4">
                  <c:v>RSYSTEMINT</c:v>
                </c:pt>
                <c:pt idx="5">
                  <c:v>EMUDHRA</c:v>
                </c:pt>
                <c:pt idx="6">
                  <c:v>PROTEAN</c:v>
                </c:pt>
                <c:pt idx="7">
                  <c:v>ZAGGLE</c:v>
                </c:pt>
                <c:pt idx="8">
                  <c:v>BBOX</c:v>
                </c:pt>
                <c:pt idx="9">
                  <c:v>BCG</c:v>
                </c:pt>
                <c:pt idx="10">
                  <c:v>DATAMATICS</c:v>
                </c:pt>
                <c:pt idx="11">
                  <c:v>CIGNITI</c:v>
                </c:pt>
                <c:pt idx="12">
                  <c:v>AXISCADES</c:v>
                </c:pt>
                <c:pt idx="13">
                  <c:v>SASKEN</c:v>
                </c:pt>
                <c:pt idx="14">
                  <c:v>VAKRANGEE</c:v>
                </c:pt>
              </c:strCache>
            </c:strRef>
          </c:cat>
          <c:val>
            <c:numRef>
              <c:f>'IT Enabled Services    '!$D$118:$D$132</c:f>
              <c:numCache>
                <c:formatCode>0.0%</c:formatCode>
                <c:ptCount val="15"/>
                <c:pt idx="0">
                  <c:v>0.14651191813303382</c:v>
                </c:pt>
                <c:pt idx="1">
                  <c:v>0.14136837335749886</c:v>
                </c:pt>
                <c:pt idx="2">
                  <c:v>8.5453034081463014E-2</c:v>
                </c:pt>
                <c:pt idx="3">
                  <c:v>0.17085076708507671</c:v>
                </c:pt>
                <c:pt idx="4">
                  <c:v>9.2409240924092403E-2</c:v>
                </c:pt>
                <c:pt idx="5">
                  <c:v>0.24596774193548387</c:v>
                </c:pt>
                <c:pt idx="6">
                  <c:v>0.14439946018893388</c:v>
                </c:pt>
                <c:pt idx="7">
                  <c:v>4.1591320072332731E-2</c:v>
                </c:pt>
                <c:pt idx="8">
                  <c:v>3.7696834738348973E-3</c:v>
                </c:pt>
                <c:pt idx="9">
                  <c:v>0.18534541030147356</c:v>
                </c:pt>
                <c:pt idx="10">
                  <c:v>0.12679917751884853</c:v>
                </c:pt>
                <c:pt idx="11">
                  <c:v>0.10200364298724955</c:v>
                </c:pt>
                <c:pt idx="12">
                  <c:v>-6.1500615006150061E-3</c:v>
                </c:pt>
                <c:pt idx="13">
                  <c:v>0.21748878923766815</c:v>
                </c:pt>
                <c:pt idx="14">
                  <c:v>5.076142131979695E-3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EBD-4B3E-A87E-E7F647798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092436"/>
        <c:axId val="1671968662"/>
      </c:barChart>
      <c:catAx>
        <c:axId val="7380924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1968662"/>
        <c:crosses val="autoZero"/>
        <c:auto val="1"/>
        <c:lblAlgn val="ctr"/>
        <c:lblOffset val="100"/>
        <c:noMultiLvlLbl val="1"/>
      </c:catAx>
      <c:valAx>
        <c:axId val="167196866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809243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342900</xdr:colOff>
      <xdr:row>0</xdr:row>
      <xdr:rowOff>0</xdr:rowOff>
    </xdr:from>
    <xdr:ext cx="552450" cy="552450"/>
    <xdr:pic>
      <xdr:nvPicPr>
        <xdr:cNvPr id="2" name="image5.jpg" title="Image">
          <a:extLst>
            <a:ext uri="{FF2B5EF4-FFF2-40B4-BE49-F238E27FC236}">
              <a16:creationId xmlns:a16="http://schemas.microsoft.com/office/drawing/2014/main" id="{AB4DEB0C-3EC3-4FE6-919A-D05E5B35CA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10900" y="0"/>
          <a:ext cx="552450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400050</xdr:colOff>
      <xdr:row>0</xdr:row>
      <xdr:rowOff>0</xdr:rowOff>
    </xdr:from>
    <xdr:ext cx="1323975" cy="5524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BBA42E07-D344-4252-96A6-735925D44E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4330" y="0"/>
          <a:ext cx="132397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400050</xdr:colOff>
      <xdr:row>62</xdr:row>
      <xdr:rowOff>161925</xdr:rowOff>
    </xdr:from>
    <xdr:ext cx="1323975" cy="55245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755103A6-296E-499A-970F-7E37B40B43E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4330" y="11759565"/>
          <a:ext cx="132397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381000</xdr:colOff>
      <xdr:row>61</xdr:row>
      <xdr:rowOff>200025</xdr:rowOff>
    </xdr:from>
    <xdr:ext cx="552450" cy="552450"/>
    <xdr:pic>
      <xdr:nvPicPr>
        <xdr:cNvPr id="5" name="image5.jpg" title="Image">
          <a:extLst>
            <a:ext uri="{FF2B5EF4-FFF2-40B4-BE49-F238E27FC236}">
              <a16:creationId xmlns:a16="http://schemas.microsoft.com/office/drawing/2014/main" id="{BB68DC2E-8267-48F9-B157-A00D9E23C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0" y="11599545"/>
          <a:ext cx="552450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38</xdr:row>
      <xdr:rowOff>-152400</xdr:rowOff>
    </xdr:from>
    <xdr:ext cx="5191125" cy="5219700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19B5D90B-9EF1-4A02-9E1A-15064E04C71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00" y="7223760"/>
          <a:ext cx="5191125" cy="5219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24</xdr:row>
      <xdr:rowOff>47625</xdr:rowOff>
    </xdr:from>
    <xdr:ext cx="4657725" cy="28765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D7673E66-DE50-4E21-AAAE-EE36B9893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885825</xdr:colOff>
      <xdr:row>24</xdr:row>
      <xdr:rowOff>47625</xdr:rowOff>
    </xdr:from>
    <xdr:ext cx="4714875" cy="28765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17F6D941-9869-40AF-AB4A-2DEE1B06F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762000</xdr:colOff>
      <xdr:row>24</xdr:row>
      <xdr:rowOff>47625</xdr:rowOff>
    </xdr:from>
    <xdr:ext cx="4714875" cy="29241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1721A8D3-E3A7-48EF-987C-C7E609CF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66675</xdr:colOff>
      <xdr:row>59</xdr:row>
      <xdr:rowOff>57150</xdr:rowOff>
    </xdr:from>
    <xdr:ext cx="4714875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148B5148-79EB-4BF2-A4EC-785B6014F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942975</xdr:colOff>
      <xdr:row>59</xdr:row>
      <xdr:rowOff>57150</xdr:rowOff>
    </xdr:from>
    <xdr:ext cx="4819650" cy="35337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E6217EF3-D05A-4075-ABC2-F0E83F20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114300</xdr:colOff>
      <xdr:row>97</xdr:row>
      <xdr:rowOff>47625</xdr:rowOff>
    </xdr:from>
    <xdr:ext cx="4657725" cy="35337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90DC8C24-866D-4150-85F7-CFC383EFA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933450</xdr:colOff>
      <xdr:row>97</xdr:row>
      <xdr:rowOff>47625</xdr:rowOff>
    </xdr:from>
    <xdr:ext cx="4819650" cy="353377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75F734EB-DEF8-4017-A25A-27B39A470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0</xdr:colOff>
      <xdr:row>97</xdr:row>
      <xdr:rowOff>47625</xdr:rowOff>
    </xdr:from>
    <xdr:ext cx="5114925" cy="35337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E63E3AB4-A2CF-4226-8353-C844BB02F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171450</xdr:colOff>
      <xdr:row>134</xdr:row>
      <xdr:rowOff>38100</xdr:rowOff>
    </xdr:from>
    <xdr:ext cx="4657725" cy="353377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95A50F90-A6D7-4E6D-A9B8-4AA4BA5A9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28575</xdr:colOff>
      <xdr:row>134</xdr:row>
      <xdr:rowOff>38100</xdr:rowOff>
    </xdr:from>
    <xdr:ext cx="4762500" cy="35337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01CE537E-EE4C-4C16-860F-661E99D25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10</xdr:col>
      <xdr:colOff>0</xdr:colOff>
      <xdr:row>134</xdr:row>
      <xdr:rowOff>38100</xdr:rowOff>
    </xdr:from>
    <xdr:ext cx="4657725" cy="35337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0F47A6DB-3869-426D-BE29-F5600F71C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IT%20Enabled%20Services%20(14).xlsx" TargetMode="External"/><Relationship Id="rId1" Type="http://schemas.openxmlformats.org/officeDocument/2006/relationships/externalLinkPath" Target="/Users/profi/Downloads/IT%20Enabled%20Services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T Enabled Services    "/>
      <sheetName val="ADVERTISIMENT INDUSTRY"/>
      <sheetName val="AFFLE"/>
      <sheetName val="LTTS"/>
    </sheetNames>
    <sheetDataSet>
      <sheetData sheetId="0">
        <row r="6">
          <cell r="C6" t="str">
            <v>Market Cap</v>
          </cell>
          <cell r="G6" t="str">
            <v>SALES_23</v>
          </cell>
          <cell r="J6" t="str">
            <v>COMPANY</v>
          </cell>
          <cell r="K6" t="str">
            <v>PROFIT_23</v>
          </cell>
        </row>
        <row r="7">
          <cell r="B7" t="str">
            <v>LTTS</v>
          </cell>
          <cell r="C7">
            <v>55524.091480000003</v>
          </cell>
          <cell r="F7" t="str">
            <v>LTTS</v>
          </cell>
          <cell r="G7">
            <v>8013</v>
          </cell>
          <cell r="J7" t="str">
            <v>BCG</v>
          </cell>
          <cell r="K7">
            <v>1371</v>
          </cell>
        </row>
        <row r="8">
          <cell r="B8" t="str">
            <v>TATATECH</v>
          </cell>
          <cell r="C8">
            <v>43997.080337500003</v>
          </cell>
          <cell r="F8" t="str">
            <v>BCG</v>
          </cell>
          <cell r="G8">
            <v>7397</v>
          </cell>
          <cell r="J8" t="str">
            <v>LTTS</v>
          </cell>
          <cell r="K8">
            <v>1174</v>
          </cell>
        </row>
        <row r="9">
          <cell r="B9" t="str">
            <v>CYIENT</v>
          </cell>
          <cell r="C9">
            <v>21406.078621500001</v>
          </cell>
          <cell r="F9" t="str">
            <v>BBOX</v>
          </cell>
          <cell r="G9">
            <v>6287</v>
          </cell>
          <cell r="J9" t="str">
            <v>TATATECH</v>
          </cell>
          <cell r="K9">
            <v>624</v>
          </cell>
        </row>
        <row r="10">
          <cell r="B10" t="str">
            <v>AFFLE</v>
          </cell>
          <cell r="C10">
            <v>14882.1777</v>
          </cell>
          <cell r="F10" t="str">
            <v>CYIENT</v>
          </cell>
          <cell r="G10">
            <v>6015</v>
          </cell>
          <cell r="J10" t="str">
            <v>CYIENT</v>
          </cell>
          <cell r="K10">
            <v>514</v>
          </cell>
        </row>
        <row r="11">
          <cell r="B11" t="str">
            <v>RSYSTEMINT</v>
          </cell>
          <cell r="C11">
            <v>5347.3136800000002</v>
          </cell>
          <cell r="F11" t="str">
            <v>TATATECH</v>
          </cell>
          <cell r="G11">
            <v>4414</v>
          </cell>
          <cell r="J11" t="str">
            <v>AFFLE</v>
          </cell>
          <cell r="K11">
            <v>245</v>
          </cell>
        </row>
        <row r="12">
          <cell r="B12" t="str">
            <v>EMUDHRA</v>
          </cell>
          <cell r="C12">
            <v>4993.1315525</v>
          </cell>
          <cell r="F12" t="str">
            <v>CIGNITI</v>
          </cell>
          <cell r="G12">
            <v>1647</v>
          </cell>
          <cell r="J12" t="str">
            <v>DATAMATICS</v>
          </cell>
          <cell r="K12">
            <v>185</v>
          </cell>
        </row>
        <row r="13">
          <cell r="B13" t="str">
            <v>PROTEAN</v>
          </cell>
          <cell r="C13">
            <v>4320.1140643999997</v>
          </cell>
          <cell r="F13" t="str">
            <v>RSYSTEMINT</v>
          </cell>
          <cell r="G13">
            <v>1515</v>
          </cell>
          <cell r="J13" t="str">
            <v>CIGNITI</v>
          </cell>
          <cell r="K13">
            <v>168</v>
          </cell>
        </row>
        <row r="14">
          <cell r="B14" t="str">
            <v>ZAGGLE</v>
          </cell>
          <cell r="C14">
            <v>3957.5825399999999</v>
          </cell>
          <cell r="F14" t="str">
            <v>DATAMATICS</v>
          </cell>
          <cell r="G14">
            <v>1459</v>
          </cell>
          <cell r="J14" t="str">
            <v>RSYSTEMINT</v>
          </cell>
          <cell r="K14">
            <v>140</v>
          </cell>
        </row>
        <row r="15">
          <cell r="B15" t="str">
            <v>BBOX</v>
          </cell>
          <cell r="C15">
            <v>3898.1916000000001</v>
          </cell>
          <cell r="F15" t="str">
            <v>AFFLE</v>
          </cell>
          <cell r="G15">
            <v>1434</v>
          </cell>
          <cell r="J15" t="str">
            <v>PROTEAN</v>
          </cell>
          <cell r="K15">
            <v>107</v>
          </cell>
        </row>
        <row r="16">
          <cell r="B16" t="str">
            <v>BCG</v>
          </cell>
          <cell r="C16">
            <v>3590.8906124999999</v>
          </cell>
          <cell r="F16" t="str">
            <v>AXISCADES</v>
          </cell>
          <cell r="G16">
            <v>813</v>
          </cell>
          <cell r="J16" t="str">
            <v>SASKEN</v>
          </cell>
          <cell r="K16">
            <v>97</v>
          </cell>
        </row>
        <row r="17">
          <cell r="B17" t="str">
            <v>DATAMATICS</v>
          </cell>
          <cell r="C17">
            <v>3276.2188729</v>
          </cell>
          <cell r="F17" t="str">
            <v>PROTEAN</v>
          </cell>
          <cell r="G17">
            <v>741</v>
          </cell>
          <cell r="J17" t="str">
            <v>EMUDHRA</v>
          </cell>
          <cell r="K17">
            <v>61</v>
          </cell>
        </row>
        <row r="18">
          <cell r="B18" t="str">
            <v>CIGNITI</v>
          </cell>
          <cell r="C18">
            <v>3210.4894079999999</v>
          </cell>
          <cell r="F18" t="str">
            <v>ZAGGLE</v>
          </cell>
          <cell r="G18">
            <v>553</v>
          </cell>
          <cell r="J18" t="str">
            <v>BBOX</v>
          </cell>
          <cell r="K18">
            <v>23.7</v>
          </cell>
        </row>
        <row r="19">
          <cell r="B19" t="str">
            <v>AXISCADES</v>
          </cell>
          <cell r="C19">
            <v>2454.6441355000002</v>
          </cell>
          <cell r="F19" t="str">
            <v>SASKEN</v>
          </cell>
          <cell r="G19">
            <v>446</v>
          </cell>
          <cell r="J19" t="str">
            <v>ZAGGLE</v>
          </cell>
          <cell r="K19">
            <v>23</v>
          </cell>
        </row>
        <row r="20">
          <cell r="B20" t="str">
            <v>SASKEN</v>
          </cell>
          <cell r="C20">
            <v>2354.5203929999998</v>
          </cell>
          <cell r="F20" t="str">
            <v>EMUDHRA</v>
          </cell>
          <cell r="G20">
            <v>248</v>
          </cell>
          <cell r="J20" t="str">
            <v>VAKRANGEE</v>
          </cell>
          <cell r="K20">
            <v>1</v>
          </cell>
        </row>
        <row r="21">
          <cell r="B21" t="str">
            <v>VAKRANGEE</v>
          </cell>
          <cell r="C21">
            <v>2338.4562520999998</v>
          </cell>
          <cell r="F21" t="str">
            <v>VAKRANGEE</v>
          </cell>
          <cell r="G21">
            <v>197</v>
          </cell>
          <cell r="J21" t="str">
            <v>AXISCADES</v>
          </cell>
          <cell r="K21">
            <v>-5</v>
          </cell>
        </row>
        <row r="22">
          <cell r="B22" t="str">
            <v>OTHER_45</v>
          </cell>
          <cell r="C22">
            <v>7230</v>
          </cell>
        </row>
        <row r="42">
          <cell r="C42" t="str">
            <v>SALES_5Y_GR</v>
          </cell>
          <cell r="G42" t="str">
            <v>CY_SALES GR</v>
          </cell>
        </row>
        <row r="43">
          <cell r="B43" t="str">
            <v>LTTS</v>
          </cell>
          <cell r="C43">
            <v>0.15255002420547359</v>
          </cell>
          <cell r="F43" t="str">
            <v>LTTS</v>
          </cell>
          <cell r="G43">
            <v>0.1031967721911855</v>
          </cell>
        </row>
        <row r="44">
          <cell r="B44" t="str">
            <v>TATATECH</v>
          </cell>
          <cell r="C44">
            <v>8.7644244894549139E-2</v>
          </cell>
          <cell r="F44" t="str">
            <v>TATATECH</v>
          </cell>
          <cell r="G44">
            <v>0.26693227091633465</v>
          </cell>
        </row>
        <row r="45">
          <cell r="B45" t="str">
            <v>CYIENT</v>
          </cell>
          <cell r="C45">
            <v>8.9573198932278109E-2</v>
          </cell>
          <cell r="F45" t="str">
            <v>CYIENT</v>
          </cell>
          <cell r="G45">
            <v>0.23968105065666045</v>
          </cell>
        </row>
        <row r="46">
          <cell r="B46" t="str">
            <v>AFFLE</v>
          </cell>
          <cell r="C46">
            <v>0.53732799573642298</v>
          </cell>
          <cell r="F46" t="str">
            <v>AFFLE</v>
          </cell>
          <cell r="G46">
            <v>0.23933209647495368</v>
          </cell>
        </row>
        <row r="47">
          <cell r="B47" t="str">
            <v>RSYSTEMINT</v>
          </cell>
          <cell r="C47">
            <v>0.36732159869815861</v>
          </cell>
          <cell r="F47" t="str">
            <v>RSYSTEMINT</v>
          </cell>
          <cell r="G47">
            <v>9.2161929371231688E-2</v>
          </cell>
        </row>
        <row r="48">
          <cell r="B48" t="str">
            <v>EMUDHRA</v>
          </cell>
          <cell r="C48">
            <v>0.1991964554448078</v>
          </cell>
          <cell r="F48" t="str">
            <v>EMUDHRA</v>
          </cell>
          <cell r="G48">
            <v>0.58720930232558133</v>
          </cell>
        </row>
        <row r="49">
          <cell r="B49" t="str">
            <v>PROTEAN</v>
          </cell>
          <cell r="C49">
            <v>-3.7704678673366465E-2</v>
          </cell>
          <cell r="F49" t="str">
            <v>PROTEAN</v>
          </cell>
          <cell r="G49">
            <v>0.29215686274509811</v>
          </cell>
        </row>
        <row r="50">
          <cell r="B50" t="str">
            <v>ZAGGLE</v>
          </cell>
          <cell r="C50">
            <v>0.52069894175279519</v>
          </cell>
          <cell r="F50" t="str">
            <v>ZAGGLE</v>
          </cell>
          <cell r="G50">
            <v>0.31739961759082225</v>
          </cell>
        </row>
        <row r="51">
          <cell r="B51" t="str">
            <v>BBOX</v>
          </cell>
          <cell r="C51">
            <v>0.53697887061095506</v>
          </cell>
          <cell r="F51" t="str">
            <v>BBOX</v>
          </cell>
          <cell r="G51">
            <v>4.2562432138979478E-2</v>
          </cell>
        </row>
        <row r="52">
          <cell r="B52" t="str">
            <v>BCG</v>
          </cell>
          <cell r="C52">
            <v>0.25029405410139272</v>
          </cell>
          <cell r="F52" t="str">
            <v>BCG</v>
          </cell>
          <cell r="G52">
            <v>2.8254697850479848E-2</v>
          </cell>
        </row>
        <row r="53">
          <cell r="B53" t="str">
            <v>DATAMATICS</v>
          </cell>
          <cell r="C53">
            <v>9.9012874180008481E-2</v>
          </cell>
          <cell r="F53" t="str">
            <v>DATAMATICS</v>
          </cell>
          <cell r="G53">
            <v>9.0124640460210959E-2</v>
          </cell>
        </row>
        <row r="54">
          <cell r="B54" t="str">
            <v>CIGNITI</v>
          </cell>
          <cell r="C54">
            <v>0.18902797570241692</v>
          </cell>
          <cell r="F54" t="str">
            <v>CIGNITI</v>
          </cell>
          <cell r="G54">
            <v>0.11211129296235689</v>
          </cell>
        </row>
        <row r="55">
          <cell r="B55" t="str">
            <v>AXISCADES</v>
          </cell>
          <cell r="C55">
            <v>9.3917670054656899E-2</v>
          </cell>
          <cell r="F55" t="str">
            <v>AXISCADES</v>
          </cell>
          <cell r="G55">
            <v>0.1796610169491526</v>
          </cell>
        </row>
        <row r="56">
          <cell r="B56" t="str">
            <v>SASKEN</v>
          </cell>
          <cell r="C56">
            <v>-2.3767246072902815E-2</v>
          </cell>
          <cell r="F56" t="str">
            <v>SASKEN</v>
          </cell>
          <cell r="G56">
            <v>-0.13662790697674421</v>
          </cell>
        </row>
        <row r="57">
          <cell r="B57" t="str">
            <v>VAKRANGEE</v>
          </cell>
          <cell r="C57">
            <v>-0.50306771631207348</v>
          </cell>
          <cell r="F57" t="str">
            <v>VAKRANGEE</v>
          </cell>
          <cell r="G57">
            <v>8.2191780821917915E-2</v>
          </cell>
        </row>
        <row r="80">
          <cell r="C80" t="str">
            <v>DEBT2EQUITY</v>
          </cell>
          <cell r="G80" t="str">
            <v>ICR</v>
          </cell>
          <cell r="K80" t="str">
            <v>DEBTRATIO</v>
          </cell>
        </row>
        <row r="81">
          <cell r="B81" t="str">
            <v>LTTS</v>
          </cell>
          <cell r="C81">
            <v>0.11535234899328858</v>
          </cell>
          <cell r="F81" t="str">
            <v>LTTS</v>
          </cell>
          <cell r="G81">
            <v>16.477272727272727</v>
          </cell>
          <cell r="J81" t="str">
            <v>LTTS</v>
          </cell>
          <cell r="K81">
            <v>0.37626459143968871</v>
          </cell>
        </row>
        <row r="82">
          <cell r="B82" t="str">
            <v>TATATECH</v>
          </cell>
          <cell r="C82">
            <v>9.3434343434343439E-2</v>
          </cell>
          <cell r="F82" t="str">
            <v>TATATECH</v>
          </cell>
          <cell r="G82">
            <v>40.388888888888886</v>
          </cell>
          <cell r="J82" t="str">
            <v>TATATECH</v>
          </cell>
          <cell r="K82">
            <v>0.44515752625437571</v>
          </cell>
        </row>
        <row r="83">
          <cell r="B83" t="str">
            <v>CYIENT</v>
          </cell>
          <cell r="C83">
            <v>0.2119537920642893</v>
          </cell>
          <cell r="F83" t="str">
            <v>CYIENT</v>
          </cell>
          <cell r="G83">
            <v>7.46</v>
          </cell>
          <cell r="J83" t="str">
            <v>CYIENT</v>
          </cell>
          <cell r="K83">
            <v>0.38910835214446954</v>
          </cell>
        </row>
        <row r="84">
          <cell r="B84" t="str">
            <v>AFFLE</v>
          </cell>
          <cell r="C84">
            <v>0.14495530012771393</v>
          </cell>
          <cell r="F84" t="str">
            <v>AFFLE</v>
          </cell>
          <cell r="G84">
            <v>21.727272727272727</v>
          </cell>
          <cell r="J84" t="str">
            <v>AFFLE</v>
          </cell>
          <cell r="K84">
            <v>0.31923076923076921</v>
          </cell>
        </row>
        <row r="85">
          <cell r="B85" t="str">
            <v>RSYSTEMINT</v>
          </cell>
          <cell r="C85">
            <v>0.21783876500857632</v>
          </cell>
          <cell r="F85" t="str">
            <v>RSYSTEMINT</v>
          </cell>
          <cell r="G85">
            <v>33</v>
          </cell>
          <cell r="J85" t="str">
            <v>RSYSTEMINT</v>
          </cell>
          <cell r="K85">
            <v>0.39076923076923076</v>
          </cell>
        </row>
        <row r="86">
          <cell r="B86" t="str">
            <v>EMUDHRA</v>
          </cell>
          <cell r="C86">
            <v>6.5789473684210523E-2</v>
          </cell>
          <cell r="F86" t="str">
            <v>EMUDHRA</v>
          </cell>
          <cell r="G86">
            <v>17.75</v>
          </cell>
          <cell r="J86" t="str">
            <v>EMUDHRA</v>
          </cell>
          <cell r="K86">
            <v>0.16829745596868884</v>
          </cell>
        </row>
        <row r="87">
          <cell r="B87" t="str">
            <v>PROTEAN</v>
          </cell>
          <cell r="C87">
            <v>2.2646007151370679E-2</v>
          </cell>
          <cell r="F87" t="str">
            <v>PROTEAN</v>
          </cell>
          <cell r="G87">
            <v>100</v>
          </cell>
          <cell r="J87" t="str">
            <v>PROTEAN</v>
          </cell>
          <cell r="K87">
            <v>0.26165803108808289</v>
          </cell>
        </row>
        <row r="88">
          <cell r="B88" t="str">
            <v>ZAGGLE</v>
          </cell>
          <cell r="C88">
            <v>0.14836223506743737</v>
          </cell>
          <cell r="F88" t="str">
            <v>ZAGGLE</v>
          </cell>
          <cell r="G88">
            <v>3.8181818181818183</v>
          </cell>
          <cell r="J88" t="str">
            <v>ZAGGLE</v>
          </cell>
          <cell r="K88">
            <v>0.18558282208588958</v>
          </cell>
        </row>
        <row r="89">
          <cell r="B89" t="str">
            <v>BBOX</v>
          </cell>
          <cell r="C89">
            <v>2.0943396226415096</v>
          </cell>
          <cell r="F89" t="str">
            <v>BBOX</v>
          </cell>
          <cell r="G89">
            <v>1.4864864864864864</v>
          </cell>
          <cell r="J89" t="str">
            <v>BBOX</v>
          </cell>
          <cell r="K89">
            <v>1.3019145802650958</v>
          </cell>
        </row>
        <row r="90">
          <cell r="B90" t="str">
            <v>BCG</v>
          </cell>
          <cell r="C90">
            <v>0</v>
          </cell>
          <cell r="F90" t="str">
            <v>BCG</v>
          </cell>
          <cell r="G90">
            <v>2174</v>
          </cell>
          <cell r="J90" t="str">
            <v>BCG</v>
          </cell>
          <cell r="K90">
            <v>0.85382912978119263</v>
          </cell>
        </row>
        <row r="91">
          <cell r="B91" t="str">
            <v>DATAMATICS</v>
          </cell>
          <cell r="C91">
            <v>1.4598540145985401E-2</v>
          </cell>
          <cell r="F91" t="str">
            <v>DATAMATICS</v>
          </cell>
          <cell r="G91">
            <v>69.333333333333329</v>
          </cell>
          <cell r="J91" t="str">
            <v>DATAMATICS</v>
          </cell>
          <cell r="K91">
            <v>0.19044170890658943</v>
          </cell>
        </row>
        <row r="92">
          <cell r="B92" t="str">
            <v>CIGNITI</v>
          </cell>
          <cell r="C92">
            <v>8.4243369734789394E-2</v>
          </cell>
          <cell r="F92" t="str">
            <v>CIGNITI</v>
          </cell>
          <cell r="G92">
            <v>52.75</v>
          </cell>
          <cell r="J92" t="str">
            <v>CIGNITI</v>
          </cell>
          <cell r="K92">
            <v>0.58552631578947367</v>
          </cell>
        </row>
        <row r="93">
          <cell r="B93" t="str">
            <v>AXISCADES</v>
          </cell>
          <cell r="C93">
            <v>1.2551319648093842</v>
          </cell>
          <cell r="F93" t="str">
            <v>AXISCADES</v>
          </cell>
          <cell r="G93">
            <v>3.1428571428571428</v>
          </cell>
          <cell r="J93" t="str">
            <v>AXISCADES</v>
          </cell>
          <cell r="K93">
            <v>0.64299610894941639</v>
          </cell>
        </row>
        <row r="94">
          <cell r="B94" t="str">
            <v>SASKEN</v>
          </cell>
          <cell r="C94">
            <v>2.309782608695652E-2</v>
          </cell>
          <cell r="F94" t="str">
            <v>SASKEN</v>
          </cell>
          <cell r="G94">
            <v>94</v>
          </cell>
          <cell r="J94" t="str">
            <v>SASKEN</v>
          </cell>
          <cell r="K94">
            <v>0.10900473933649289</v>
          </cell>
        </row>
        <row r="95">
          <cell r="B95" t="str">
            <v>VAKRANGEE</v>
          </cell>
          <cell r="C95">
            <v>4.0769230769230766</v>
          </cell>
          <cell r="F95" t="str">
            <v>VAKRANGEE</v>
          </cell>
          <cell r="G95">
            <v>1.6666666666666667</v>
          </cell>
          <cell r="J95" t="str">
            <v>VAKRANGEE</v>
          </cell>
          <cell r="K95">
            <v>0.60264900662251653</v>
          </cell>
        </row>
        <row r="117">
          <cell r="C117" t="str">
            <v>CY_MARGIN</v>
          </cell>
          <cell r="D117" t="str">
            <v>MARGIN_23</v>
          </cell>
          <cell r="H117" t="str">
            <v>CUR. RATIO</v>
          </cell>
          <cell r="L117" t="str">
            <v>TR.DAYS</v>
          </cell>
        </row>
        <row r="118">
          <cell r="B118" t="str">
            <v>LTTS</v>
          </cell>
          <cell r="C118">
            <v>0.13560275706850472</v>
          </cell>
          <cell r="D118">
            <v>0.14651191813303382</v>
          </cell>
          <cell r="G118" t="str">
            <v>LTTS</v>
          </cell>
          <cell r="H118">
            <v>2.3706788837984174</v>
          </cell>
          <cell r="K118" t="str">
            <v>LTTS</v>
          </cell>
          <cell r="L118">
            <v>124.26307250717585</v>
          </cell>
        </row>
        <row r="119">
          <cell r="B119" t="str">
            <v>TATATECH</v>
          </cell>
          <cell r="C119">
            <v>0.13679245283018868</v>
          </cell>
          <cell r="D119">
            <v>0.14136837335749886</v>
          </cell>
          <cell r="G119" t="str">
            <v>TATATECH</v>
          </cell>
          <cell r="H119">
            <v>1.781524926686217</v>
          </cell>
          <cell r="K119" t="str">
            <v>TATATECH</v>
          </cell>
          <cell r="L119">
            <v>101.21431807884005</v>
          </cell>
        </row>
        <row r="120">
          <cell r="B120" t="str">
            <v>CYIENT</v>
          </cell>
          <cell r="C120">
            <v>2.8944381384790011E-2</v>
          </cell>
          <cell r="D120">
            <v>8.5453034081463014E-2</v>
          </cell>
          <cell r="G120" t="str">
            <v>CYIENT</v>
          </cell>
          <cell r="H120">
            <v>1.9639121338912133</v>
          </cell>
          <cell r="K120" t="str">
            <v>CYIENT</v>
          </cell>
          <cell r="L120">
            <v>74.152950955943481</v>
          </cell>
        </row>
        <row r="121">
          <cell r="B121" t="str">
            <v>AFFLE</v>
          </cell>
          <cell r="C121">
            <v>0.15643712574850299</v>
          </cell>
          <cell r="D121">
            <v>0.17085076708507671</v>
          </cell>
          <cell r="G121" t="str">
            <v>AFFLE</v>
          </cell>
          <cell r="H121">
            <v>1.9134948096885813</v>
          </cell>
          <cell r="K121" t="str">
            <v>AFFLE</v>
          </cell>
          <cell r="L121">
            <v>70.505578800557885</v>
          </cell>
        </row>
        <row r="122">
          <cell r="B122" t="str">
            <v>RSYSTEMINT</v>
          </cell>
          <cell r="C122">
            <v>7.4132492113564666E-2</v>
          </cell>
          <cell r="D122">
            <v>9.2409240924092403E-2</v>
          </cell>
          <cell r="G122" t="str">
            <v>RSYSTEMINT</v>
          </cell>
          <cell r="H122">
            <v>2.7079037800687287</v>
          </cell>
          <cell r="K122" t="str">
            <v>RSYSTEMINT</v>
          </cell>
          <cell r="L122">
            <v>56.135313531353141</v>
          </cell>
        </row>
        <row r="123">
          <cell r="B123" t="str">
            <v>EMUDHRA</v>
          </cell>
          <cell r="C123">
            <v>0.20146520146520147</v>
          </cell>
          <cell r="D123">
            <v>0.24596774193548387</v>
          </cell>
          <cell r="G123" t="str">
            <v>EMUDHRA</v>
          </cell>
          <cell r="H123">
            <v>3.189189189189189</v>
          </cell>
          <cell r="K123" t="str">
            <v>EMUDHRA</v>
          </cell>
          <cell r="L123">
            <v>153.06451612903226</v>
          </cell>
        </row>
        <row r="124">
          <cell r="B124" t="str">
            <v>PROTEAN</v>
          </cell>
          <cell r="C124">
            <v>0.1244309559939302</v>
          </cell>
          <cell r="D124">
            <v>0.14439946018893388</v>
          </cell>
          <cell r="G124" t="str">
            <v>PROTEAN</v>
          </cell>
          <cell r="H124">
            <v>1.8594377510040161</v>
          </cell>
          <cell r="K124" t="str">
            <v>PROTEAN</v>
          </cell>
          <cell r="L124">
            <v>119.20377867746288</v>
          </cell>
        </row>
        <row r="125">
          <cell r="B125" t="str">
            <v>ZAGGLE</v>
          </cell>
          <cell r="C125">
            <v>4.9800796812749001E-2</v>
          </cell>
          <cell r="D125">
            <v>4.1591320072332731E-2</v>
          </cell>
          <cell r="G125" t="str">
            <v>ZAGGLE</v>
          </cell>
          <cell r="H125">
            <v>7.4691358024691361</v>
          </cell>
          <cell r="K125" t="str">
            <v>ZAGGLE</v>
          </cell>
          <cell r="L125">
            <v>79.86437613019892</v>
          </cell>
        </row>
        <row r="126">
          <cell r="B126" t="str">
            <v>BBOX</v>
          </cell>
          <cell r="C126">
            <v>2.0204124140804001E-2</v>
          </cell>
          <cell r="D126">
            <v>3.7696834738348973E-3</v>
          </cell>
          <cell r="G126" t="str">
            <v>BBOX</v>
          </cell>
          <cell r="H126">
            <v>1.0462012320328542</v>
          </cell>
          <cell r="K126" t="str">
            <v>BBOX</v>
          </cell>
          <cell r="L126">
            <v>24.906155559090188</v>
          </cell>
        </row>
        <row r="127">
          <cell r="B127" t="str">
            <v>BCG</v>
          </cell>
          <cell r="C127">
            <v>0.18603733894293978</v>
          </cell>
          <cell r="D127">
            <v>0.18534541030147356</v>
          </cell>
          <cell r="G127" t="str">
            <v>BCG</v>
          </cell>
          <cell r="H127" t="e">
            <v>#DIV/0!</v>
          </cell>
          <cell r="K127" t="str">
            <v>BCG</v>
          </cell>
          <cell r="L127">
            <v>147.63823171556035</v>
          </cell>
        </row>
        <row r="128">
          <cell r="B128" t="str">
            <v>DATAMATICS</v>
          </cell>
          <cell r="C128">
            <v>0.12752858399296393</v>
          </cell>
          <cell r="D128">
            <v>0.12679917751884853</v>
          </cell>
          <cell r="G128" t="str">
            <v>DATAMATICS</v>
          </cell>
          <cell r="H128">
            <v>4.9547738693467336</v>
          </cell>
          <cell r="K128" t="str">
            <v>DATAMATICS</v>
          </cell>
          <cell r="L128">
            <v>67.296093214530501</v>
          </cell>
        </row>
        <row r="129">
          <cell r="B129" t="str">
            <v>CIGNITI</v>
          </cell>
          <cell r="C129">
            <v>0.10154525386313466</v>
          </cell>
          <cell r="D129">
            <v>0.10200364298724955</v>
          </cell>
          <cell r="G129" t="str">
            <v>CIGNITI</v>
          </cell>
          <cell r="H129">
            <v>3.5566037735849059</v>
          </cell>
          <cell r="K129" t="str">
            <v>CIGNITI</v>
          </cell>
          <cell r="L129">
            <v>63.160291438979961</v>
          </cell>
        </row>
        <row r="130">
          <cell r="B130" t="str">
            <v>AXISCADES</v>
          </cell>
          <cell r="C130">
            <v>3.4482758620689655E-2</v>
          </cell>
          <cell r="D130">
            <v>-6.1500615006150061E-3</v>
          </cell>
          <cell r="G130" t="str">
            <v>AXISCADES</v>
          </cell>
          <cell r="H130">
            <v>1.7623456790123457</v>
          </cell>
          <cell r="K130" t="str">
            <v>AXISCADES</v>
          </cell>
          <cell r="L130">
            <v>99.667896678966798</v>
          </cell>
        </row>
        <row r="131">
          <cell r="B131" t="str">
            <v>SASKEN</v>
          </cell>
          <cell r="C131">
            <v>0.21885521885521886</v>
          </cell>
          <cell r="D131">
            <v>0.21748878923766815</v>
          </cell>
          <cell r="G131" t="str">
            <v>SASKEN</v>
          </cell>
          <cell r="H131">
            <v>2.3855421686746987</v>
          </cell>
          <cell r="K131" t="str">
            <v>SASKEN</v>
          </cell>
          <cell r="L131">
            <v>54.013452914798208</v>
          </cell>
        </row>
        <row r="132">
          <cell r="B132" t="str">
            <v>VAKRANGEE</v>
          </cell>
          <cell r="C132">
            <v>1.2658227848101266E-2</v>
          </cell>
          <cell r="D132">
            <v>5.076142131979695E-3</v>
          </cell>
          <cell r="G132" t="str">
            <v>VAKRANGEE</v>
          </cell>
          <cell r="H132">
            <v>1.0261437908496731</v>
          </cell>
          <cell r="K132" t="str">
            <v>VAKRANGEE</v>
          </cell>
          <cell r="L132">
            <v>70.406091370558372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90EF46-9808-468F-85A2-EFD7B2BC8E6B}" name="Table_1" displayName="Table_1" ref="K7:K21" headerRowCount="0">
  <tableColumns count="1">
    <tableColumn id="1" xr3:uid="{F0BC4238-B429-4CCF-AE1D-58538091D121}" name="Column1"/>
  </tableColumns>
  <tableStyleInfo name="IT Enabled Services    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D4B2-7146-4C2F-8AB0-5B841271DE56}">
  <sheetPr>
    <outlinePr summaryBelow="0" summaryRight="0"/>
  </sheetPr>
  <dimension ref="A1:AC1010"/>
  <sheetViews>
    <sheetView showGridLines="0" tabSelected="1" workbookViewId="0"/>
  </sheetViews>
  <sheetFormatPr defaultColWidth="12.6640625" defaultRowHeight="15.75" customHeight="1" x14ac:dyDescent="0.3"/>
  <cols>
    <col min="1" max="1" width="5.21875" customWidth="1"/>
    <col min="2" max="2" width="22.6640625" customWidth="1"/>
    <col min="10" max="10" width="13.6640625" customWidth="1"/>
    <col min="15" max="15" width="13.21875" customWidth="1"/>
    <col min="16" max="16" width="13.88671875" customWidth="1"/>
  </cols>
  <sheetData>
    <row r="1" spans="2:23" ht="15.75" customHeight="1" x14ac:dyDescent="0.8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23" ht="15.75" customHeight="1" x14ac:dyDescent="0.3">
      <c r="B2" s="3"/>
      <c r="J2" s="4" t="s">
        <v>1</v>
      </c>
      <c r="S2" s="4" t="s">
        <v>2</v>
      </c>
    </row>
    <row r="3" spans="2:23" ht="15.75" customHeight="1" x14ac:dyDescent="0.3"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</row>
    <row r="4" spans="2:23" ht="15.75" customHeight="1" x14ac:dyDescent="0.3">
      <c r="B4" s="5" t="s">
        <v>0</v>
      </c>
      <c r="C4" s="6">
        <f ca="1">IFERROR(__xludf.DUMMYFUNCTION("GOOGLEFINANCE(""NSE:""&amp;B4,""price"")"),5125.2)</f>
        <v>5125.2</v>
      </c>
      <c r="D4" s="6">
        <f ca="1">IFERROR(__xludf.DUMMYFUNCTION("GOOGLEFINANCE((""NSE:""&amp;B4),""marketcap"")/10000000"),53808.2655)</f>
        <v>53808.265500000001</v>
      </c>
      <c r="E4" s="6">
        <f t="shared" ref="E4:F4" si="0">C15</f>
        <v>10418.76</v>
      </c>
      <c r="F4" s="6">
        <f t="shared" si="0"/>
        <v>1333.6012800000001</v>
      </c>
      <c r="G4" s="7">
        <v>23577</v>
      </c>
      <c r="H4" s="8">
        <f>E15</f>
        <v>125.80680000000001</v>
      </c>
      <c r="I4" s="7">
        <v>2</v>
      </c>
      <c r="J4" s="7">
        <v>21</v>
      </c>
      <c r="K4" s="6">
        <v>5347</v>
      </c>
      <c r="L4" s="7">
        <v>0</v>
      </c>
      <c r="M4" s="9">
        <f>519+139</f>
        <v>658</v>
      </c>
      <c r="N4" s="6">
        <v>6230</v>
      </c>
      <c r="O4" s="6">
        <v>2537</v>
      </c>
      <c r="P4" s="10">
        <v>8488</v>
      </c>
      <c r="Q4" s="6">
        <v>3140</v>
      </c>
      <c r="R4" s="6">
        <v>2180</v>
      </c>
      <c r="S4" s="11">
        <v>1492</v>
      </c>
      <c r="T4" s="12">
        <v>-233</v>
      </c>
      <c r="U4" s="11">
        <v>-658</v>
      </c>
      <c r="V4" s="12">
        <f t="shared" ref="V4:V5" si="1">U4+T4+S4</f>
        <v>601</v>
      </c>
      <c r="W4" s="11">
        <v>-252</v>
      </c>
    </row>
    <row r="5" spans="2:23" ht="15.75" customHeight="1" x14ac:dyDescent="0.3">
      <c r="B5" s="5" t="s">
        <v>25</v>
      </c>
      <c r="C5" s="6">
        <v>5482</v>
      </c>
      <c r="D5" s="13">
        <f>C5*(J4/I4)</f>
        <v>57561</v>
      </c>
      <c r="E5" s="5">
        <f t="shared" ref="E5:F5" si="2">C28</f>
        <v>9647</v>
      </c>
      <c r="F5" s="5">
        <f t="shared" si="2"/>
        <v>1306</v>
      </c>
      <c r="G5" s="7">
        <v>23392</v>
      </c>
      <c r="H5" s="13">
        <f>F29</f>
        <v>114.82</v>
      </c>
      <c r="I5" s="14">
        <v>2</v>
      </c>
      <c r="J5" s="14">
        <v>21</v>
      </c>
      <c r="K5" s="14">
        <v>4453</v>
      </c>
      <c r="L5" s="14">
        <v>0</v>
      </c>
      <c r="M5" s="9">
        <f>373+81</f>
        <v>454</v>
      </c>
      <c r="N5" s="6">
        <v>6377</v>
      </c>
      <c r="O5" s="6">
        <v>3310</v>
      </c>
      <c r="P5" s="10">
        <v>8198</v>
      </c>
      <c r="Q5" s="6">
        <f>435+O5</f>
        <v>3745</v>
      </c>
      <c r="R5" s="6">
        <v>2151</v>
      </c>
      <c r="S5" s="11">
        <v>1313</v>
      </c>
      <c r="T5" s="12">
        <v>-578</v>
      </c>
      <c r="U5" s="11">
        <v>-445</v>
      </c>
      <c r="V5" s="12">
        <f t="shared" si="1"/>
        <v>290</v>
      </c>
      <c r="W5" s="11">
        <v>-181</v>
      </c>
    </row>
    <row r="6" spans="2:23" ht="15.75" customHeight="1" x14ac:dyDescent="0.3">
      <c r="B6" s="15" t="s">
        <v>26</v>
      </c>
      <c r="C6" s="16">
        <f t="shared" ref="C6:F6" ca="1" si="3">(C4/C5)-1</f>
        <v>-6.508573513316307E-2</v>
      </c>
      <c r="D6" s="16">
        <f t="shared" ca="1" si="3"/>
        <v>-6.519578360348155E-2</v>
      </c>
      <c r="E6" s="16">
        <f t="shared" si="3"/>
        <v>8.0000000000000071E-2</v>
      </c>
      <c r="F6" s="16">
        <f t="shared" si="3"/>
        <v>2.1134211332312525E-2</v>
      </c>
      <c r="G6" s="17">
        <f>G4-G5</f>
        <v>185</v>
      </c>
      <c r="H6" s="16">
        <f t="shared" ref="H6:S6" si="4">(H4/H5)-1</f>
        <v>9.5687162515241342E-2</v>
      </c>
      <c r="I6" s="16">
        <f t="shared" si="4"/>
        <v>0</v>
      </c>
      <c r="J6" s="16">
        <f t="shared" si="4"/>
        <v>0</v>
      </c>
      <c r="K6" s="16">
        <f t="shared" si="4"/>
        <v>0.20076353020435667</v>
      </c>
      <c r="L6" s="16" t="e">
        <f t="shared" si="4"/>
        <v>#DIV/0!</v>
      </c>
      <c r="M6" s="16">
        <f t="shared" si="4"/>
        <v>0.44933920704845809</v>
      </c>
      <c r="N6" s="16">
        <f t="shared" si="4"/>
        <v>-2.3051591657519244E-2</v>
      </c>
      <c r="O6" s="16">
        <f t="shared" si="4"/>
        <v>-0.23353474320241696</v>
      </c>
      <c r="P6" s="16">
        <f t="shared" si="4"/>
        <v>3.5374481580873418E-2</v>
      </c>
      <c r="Q6" s="16">
        <f t="shared" si="4"/>
        <v>-0.16154873164218964</v>
      </c>
      <c r="R6" s="16">
        <f t="shared" si="4"/>
        <v>1.348210134821004E-2</v>
      </c>
      <c r="S6" s="16">
        <f t="shared" si="4"/>
        <v>0.13632901751713633</v>
      </c>
      <c r="T6" s="16">
        <v>1.19</v>
      </c>
      <c r="U6" s="16">
        <v>-0.77</v>
      </c>
      <c r="V6" s="16">
        <f>(V4/V5)-1</f>
        <v>1.0724137931034483</v>
      </c>
      <c r="W6" s="16">
        <v>-0.12</v>
      </c>
    </row>
    <row r="7" spans="2:23" ht="15.75" customHeight="1" x14ac:dyDescent="0.3"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2:23" ht="15.75" customHeight="1" x14ac:dyDescent="0.3">
      <c r="B8" s="20" t="s">
        <v>26</v>
      </c>
      <c r="C8" s="20" t="s">
        <v>27</v>
      </c>
      <c r="D8" s="18"/>
      <c r="E8" s="18"/>
      <c r="F8" s="20" t="s">
        <v>28</v>
      </c>
      <c r="G8" s="18"/>
      <c r="H8" s="18"/>
      <c r="I8" s="20" t="s">
        <v>29</v>
      </c>
      <c r="J8" s="19"/>
      <c r="K8" s="19"/>
      <c r="L8" s="20" t="s">
        <v>30</v>
      </c>
      <c r="M8" s="19"/>
      <c r="N8" s="19"/>
      <c r="O8" s="19"/>
      <c r="P8" s="19"/>
      <c r="Q8" s="20" t="s">
        <v>31</v>
      </c>
      <c r="R8" s="21"/>
      <c r="S8" s="21"/>
    </row>
    <row r="9" spans="2:23" ht="15.75" customHeight="1" x14ac:dyDescent="0.3">
      <c r="B9" s="4" t="s">
        <v>32</v>
      </c>
      <c r="C9" s="22" t="s">
        <v>33</v>
      </c>
      <c r="D9" s="23" t="s">
        <v>34</v>
      </c>
      <c r="E9" s="4" t="s">
        <v>35</v>
      </c>
      <c r="F9" s="23" t="s">
        <v>36</v>
      </c>
      <c r="G9" s="22" t="s">
        <v>37</v>
      </c>
      <c r="H9" s="22" t="s">
        <v>38</v>
      </c>
      <c r="I9" s="23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44</v>
      </c>
      <c r="O9" s="4" t="s">
        <v>45</v>
      </c>
      <c r="P9" s="4" t="s">
        <v>46</v>
      </c>
      <c r="Q9" s="24" t="s">
        <v>47</v>
      </c>
      <c r="R9" s="25" t="s">
        <v>48</v>
      </c>
      <c r="S9" s="25" t="s">
        <v>49</v>
      </c>
      <c r="T9" s="25" t="s">
        <v>50</v>
      </c>
      <c r="U9" s="4" t="s">
        <v>51</v>
      </c>
    </row>
    <row r="10" spans="2:23" ht="15.75" customHeight="1" x14ac:dyDescent="0.3">
      <c r="B10" s="26">
        <v>0.09</v>
      </c>
      <c r="C10" s="26">
        <f>Q26</f>
        <v>0.12753858651502845</v>
      </c>
      <c r="D10" s="26">
        <f>N4/O4</f>
        <v>2.455656286953094</v>
      </c>
      <c r="E10" s="10">
        <f>(R4/E4)*365</f>
        <v>76.37185231255927</v>
      </c>
      <c r="F10" s="26">
        <f>L4/K4</f>
        <v>0</v>
      </c>
      <c r="G10" s="26">
        <f>Q4/P4</f>
        <v>0.36993402450518381</v>
      </c>
      <c r="H10" s="6">
        <f>Q27</f>
        <v>29.53846153846154</v>
      </c>
      <c r="I10" s="26">
        <f>F4/K4</f>
        <v>0.24941112399476342</v>
      </c>
      <c r="J10" s="6">
        <f>F4/J4</f>
        <v>63.504822857142862</v>
      </c>
      <c r="K10" s="26">
        <f>F4/P4</f>
        <v>0.15711607917059378</v>
      </c>
      <c r="L10" s="6">
        <f ca="1">C4/H4</f>
        <v>40.738656416028384</v>
      </c>
      <c r="M10" s="27">
        <f ca="1">H4/C4</f>
        <v>2.4546710372278159E-2</v>
      </c>
      <c r="N10" s="6">
        <f>K4/(J4/I4)</f>
        <v>509.23809523809524</v>
      </c>
      <c r="O10" s="6">
        <f ca="1">C4/N10</f>
        <v>10.064447353656256</v>
      </c>
      <c r="P10" s="28">
        <f ca="1">S14</f>
        <v>20.369328208014192</v>
      </c>
      <c r="Q10" s="29">
        <f>S4-O4</f>
        <v>-1045</v>
      </c>
      <c r="R10" s="30">
        <f>S4-L4</f>
        <v>1492</v>
      </c>
      <c r="S10" s="31">
        <f>S4-W4</f>
        <v>1744</v>
      </c>
      <c r="T10" s="32">
        <f>S10/Q24</f>
        <v>5.5541401273885347</v>
      </c>
      <c r="U10" s="33">
        <v>0.14799999999999999</v>
      </c>
    </row>
    <row r="12" spans="2:23" ht="15.75" customHeight="1" x14ac:dyDescent="0.35">
      <c r="B12" s="34" t="s">
        <v>52</v>
      </c>
      <c r="C12" s="35" t="s">
        <v>53</v>
      </c>
      <c r="D12" s="35" t="s">
        <v>54</v>
      </c>
      <c r="E12" s="35" t="s">
        <v>55</v>
      </c>
      <c r="F12" s="35" t="s">
        <v>56</v>
      </c>
      <c r="H12" s="20" t="s">
        <v>57</v>
      </c>
      <c r="P12" s="36" t="s">
        <v>58</v>
      </c>
      <c r="Q12" s="36" t="s">
        <v>59</v>
      </c>
      <c r="R12" s="36" t="s">
        <v>60</v>
      </c>
      <c r="S12" s="36" t="s">
        <v>46</v>
      </c>
    </row>
    <row r="13" spans="2:23" ht="13.8" x14ac:dyDescent="0.3">
      <c r="B13" s="37" t="s">
        <v>61</v>
      </c>
      <c r="C13" s="38">
        <f t="shared" ref="C13:E13" si="5">FV(C18,5,0,-C14,0)</f>
        <v>42149.695114484122</v>
      </c>
      <c r="D13" s="38">
        <f t="shared" si="5"/>
        <v>5690.2088404553569</v>
      </c>
      <c r="E13" s="38">
        <f t="shared" si="5"/>
        <v>536.79235037131866</v>
      </c>
      <c r="F13" s="39">
        <f t="shared" ref="F13:F15" si="6">E13*25</f>
        <v>13419.808759282967</v>
      </c>
      <c r="H13" s="40" t="s">
        <v>62</v>
      </c>
      <c r="I13" s="40" t="s">
        <v>63</v>
      </c>
      <c r="J13" s="40" t="s">
        <v>64</v>
      </c>
      <c r="K13" s="40" t="s">
        <v>65</v>
      </c>
      <c r="L13" s="40" t="s">
        <v>57</v>
      </c>
      <c r="P13" s="41">
        <v>123.34</v>
      </c>
      <c r="Q13" s="41">
        <v>123.5</v>
      </c>
      <c r="R13" s="42">
        <f>E15</f>
        <v>125.80680000000001</v>
      </c>
      <c r="S13" s="43"/>
    </row>
    <row r="14" spans="2:23" ht="15.75" customHeight="1" x14ac:dyDescent="0.35">
      <c r="B14" s="37" t="s">
        <v>66</v>
      </c>
      <c r="C14" s="38">
        <f>FV(C18,5,0,-C15,0)</f>
        <v>20955.847810837495</v>
      </c>
      <c r="D14" s="38">
        <f t="shared" ref="D14:D15" si="7">C14*F18</f>
        <v>2829.0394544630622</v>
      </c>
      <c r="E14" s="38">
        <f>(D14*E15)/D15</f>
        <v>266.880668290708</v>
      </c>
      <c r="F14" s="39">
        <f t="shared" si="6"/>
        <v>6672.0167072677004</v>
      </c>
      <c r="H14" s="44">
        <v>29.84</v>
      </c>
      <c r="I14" s="44">
        <v>31.8</v>
      </c>
      <c r="J14" s="44">
        <v>32.25</v>
      </c>
      <c r="K14" s="44">
        <v>29.65</v>
      </c>
      <c r="L14" s="45">
        <f>SUM(H14:K14)</f>
        <v>123.53999999999999</v>
      </c>
      <c r="P14" s="46" t="s">
        <v>67</v>
      </c>
      <c r="Q14" s="46" t="s">
        <v>68</v>
      </c>
      <c r="R14" s="46" t="s">
        <v>69</v>
      </c>
      <c r="S14" s="47">
        <f ca="1">R15/2</f>
        <v>20.369328208014192</v>
      </c>
    </row>
    <row r="15" spans="2:23" ht="13.8" x14ac:dyDescent="0.3">
      <c r="B15" s="37" t="s">
        <v>70</v>
      </c>
      <c r="C15" s="38">
        <f>FV(C19,1,0,-C28,0)</f>
        <v>10418.76</v>
      </c>
      <c r="D15" s="38">
        <f t="shared" si="7"/>
        <v>1333.6012800000001</v>
      </c>
      <c r="E15" s="38">
        <f>FV(E19,1,0,-F28,0)</f>
        <v>125.80680000000001</v>
      </c>
      <c r="F15" s="39">
        <f t="shared" si="6"/>
        <v>3145.17</v>
      </c>
      <c r="P15" s="48">
        <f>5482/P13</f>
        <v>44.446246148856815</v>
      </c>
      <c r="Q15" s="48">
        <f ca="1">C4/Q13</f>
        <v>41.499595141700404</v>
      </c>
      <c r="R15" s="48">
        <f ca="1">C4/R13</f>
        <v>40.738656416028384</v>
      </c>
      <c r="S15" s="43"/>
    </row>
    <row r="16" spans="2:23" ht="14.4" x14ac:dyDescent="0.3">
      <c r="D16" s="49"/>
      <c r="H16" s="20" t="s">
        <v>71</v>
      </c>
      <c r="I16" s="20" t="s">
        <v>72</v>
      </c>
      <c r="J16" s="20" t="s">
        <v>73</v>
      </c>
      <c r="K16" s="20" t="s">
        <v>74</v>
      </c>
      <c r="L16" s="20" t="s">
        <v>75</v>
      </c>
      <c r="M16" s="20" t="s">
        <v>76</v>
      </c>
    </row>
    <row r="17" spans="2:29" ht="15.75" customHeight="1" x14ac:dyDescent="0.35">
      <c r="B17" s="34" t="s">
        <v>52</v>
      </c>
      <c r="C17" s="35" t="s">
        <v>53</v>
      </c>
      <c r="D17" s="35" t="s">
        <v>54</v>
      </c>
      <c r="E17" s="35" t="s">
        <v>55</v>
      </c>
      <c r="F17" s="35" t="s">
        <v>77</v>
      </c>
      <c r="H17" s="50" t="s">
        <v>53</v>
      </c>
      <c r="I17" s="51">
        <v>0.09</v>
      </c>
      <c r="J17" s="51">
        <v>0.1</v>
      </c>
      <c r="K17" s="51">
        <v>0.09</v>
      </c>
      <c r="L17" s="51">
        <v>7.0000000000000007E-2</v>
      </c>
      <c r="M17" s="51">
        <v>0.08</v>
      </c>
    </row>
    <row r="18" spans="2:29" ht="13.8" x14ac:dyDescent="0.3">
      <c r="B18" s="37" t="s">
        <v>78</v>
      </c>
      <c r="C18" s="52">
        <v>0.15</v>
      </c>
      <c r="D18" s="52">
        <v>0.15</v>
      </c>
      <c r="E18" s="52">
        <v>0.15</v>
      </c>
      <c r="F18" s="53">
        <v>0.13500000000000001</v>
      </c>
      <c r="H18" s="50" t="s">
        <v>54</v>
      </c>
      <c r="I18" s="51">
        <v>0.09</v>
      </c>
      <c r="J18" s="51">
        <v>0.1</v>
      </c>
      <c r="K18" s="51">
        <v>7.0000000000000007E-2</v>
      </c>
      <c r="L18" s="51">
        <v>0.01</v>
      </c>
      <c r="M18" s="51">
        <v>0.02</v>
      </c>
      <c r="R18" s="44"/>
      <c r="S18" s="44"/>
      <c r="W18" s="44" t="s">
        <v>79</v>
      </c>
      <c r="X18" s="44"/>
      <c r="AB18" s="44"/>
      <c r="AC18" s="44"/>
    </row>
    <row r="19" spans="2:29" ht="14.4" x14ac:dyDescent="0.3">
      <c r="B19" s="37" t="s">
        <v>80</v>
      </c>
      <c r="C19" s="52">
        <v>0.08</v>
      </c>
      <c r="D19" s="52">
        <f>(D15/D28)-1</f>
        <v>2.1134211332312525E-2</v>
      </c>
      <c r="E19" s="52">
        <v>0.02</v>
      </c>
      <c r="F19" s="53">
        <v>0.128</v>
      </c>
      <c r="H19" s="50" t="s">
        <v>77</v>
      </c>
      <c r="I19" s="54">
        <v>0.13400000000000001</v>
      </c>
      <c r="J19" s="54">
        <v>0.13600000000000001</v>
      </c>
      <c r="K19" s="54">
        <v>0.13500000000000001</v>
      </c>
      <c r="L19" s="54">
        <v>0.128</v>
      </c>
      <c r="M19" s="54">
        <v>0.128</v>
      </c>
      <c r="P19" s="20" t="s">
        <v>81</v>
      </c>
      <c r="R19" s="44" t="s">
        <v>82</v>
      </c>
      <c r="S19" s="51">
        <v>6.0999999999999999E-2</v>
      </c>
      <c r="U19" s="20" t="s">
        <v>81</v>
      </c>
      <c r="W19" s="44" t="s">
        <v>23</v>
      </c>
      <c r="X19" s="44" t="s">
        <v>83</v>
      </c>
      <c r="Z19" s="20" t="s">
        <v>81</v>
      </c>
      <c r="AB19" s="44" t="s">
        <v>23</v>
      </c>
      <c r="AC19" s="51">
        <v>7.0000000000000007E-2</v>
      </c>
    </row>
    <row r="20" spans="2:29" ht="15.75" customHeight="1" x14ac:dyDescent="0.3">
      <c r="P20" s="35" t="s">
        <v>75</v>
      </c>
      <c r="Q20" s="35" t="s">
        <v>75</v>
      </c>
      <c r="R20" s="35" t="s">
        <v>84</v>
      </c>
      <c r="S20" s="35" t="s">
        <v>85</v>
      </c>
      <c r="U20" s="35" t="s">
        <v>86</v>
      </c>
      <c r="V20" s="35" t="s">
        <v>86</v>
      </c>
      <c r="W20" s="35" t="s">
        <v>87</v>
      </c>
      <c r="X20" s="35" t="s">
        <v>85</v>
      </c>
      <c r="Z20" s="35" t="s">
        <v>74</v>
      </c>
      <c r="AA20" s="35" t="s">
        <v>74</v>
      </c>
      <c r="AB20" s="35" t="s">
        <v>88</v>
      </c>
      <c r="AC20" s="35" t="s">
        <v>85</v>
      </c>
    </row>
    <row r="21" spans="2:29" ht="15.75" customHeight="1" x14ac:dyDescent="0.35">
      <c r="B21" s="55" t="s">
        <v>85</v>
      </c>
      <c r="C21" s="35" t="s">
        <v>53</v>
      </c>
      <c r="D21" s="35" t="s">
        <v>54</v>
      </c>
      <c r="E21" s="35" t="s">
        <v>11</v>
      </c>
      <c r="F21" s="35" t="s">
        <v>55</v>
      </c>
      <c r="G21" s="35" t="s">
        <v>89</v>
      </c>
      <c r="H21" s="35" t="s">
        <v>90</v>
      </c>
      <c r="I21" s="35" t="s">
        <v>91</v>
      </c>
      <c r="J21" s="35" t="s">
        <v>92</v>
      </c>
      <c r="K21" s="35" t="s">
        <v>93</v>
      </c>
      <c r="L21" s="35" t="s">
        <v>94</v>
      </c>
      <c r="M21" s="35" t="s">
        <v>95</v>
      </c>
      <c r="N21" s="35" t="s">
        <v>96</v>
      </c>
      <c r="P21" s="40" t="s">
        <v>53</v>
      </c>
      <c r="Q21" s="44">
        <v>2462</v>
      </c>
      <c r="R21" s="44">
        <v>2301</v>
      </c>
      <c r="S21" s="56">
        <f t="shared" ref="S21:S25" si="8">(Q21/R21)^(1/1)-1</f>
        <v>6.9969578444154745E-2</v>
      </c>
      <c r="U21" s="40" t="s">
        <v>53</v>
      </c>
      <c r="V21" s="44">
        <v>2538</v>
      </c>
      <c r="W21" s="44">
        <v>2370</v>
      </c>
      <c r="X21" s="56">
        <f t="shared" ref="X21:X25" si="9">(V21/W21)^(1/1)-1</f>
        <v>7.0886075949367022E-2</v>
      </c>
      <c r="Z21" s="40" t="s">
        <v>53</v>
      </c>
      <c r="AA21" s="44">
        <v>9647</v>
      </c>
      <c r="AB21" s="44">
        <v>8815</v>
      </c>
      <c r="AC21" s="56">
        <f t="shared" ref="AC21:AC25" si="10">(AA21/AB21)^(1/1)-1</f>
        <v>9.4384571752694324E-2</v>
      </c>
    </row>
    <row r="22" spans="2:29" ht="13.8" x14ac:dyDescent="0.3">
      <c r="B22" s="57" t="s">
        <v>97</v>
      </c>
      <c r="C22" s="51">
        <f t="shared" ref="C22:F22" si="11">(C28/C29)-1</f>
        <v>9.4384571752694324E-2</v>
      </c>
      <c r="D22" s="51">
        <f t="shared" si="11"/>
        <v>7.4013157894736947E-2</v>
      </c>
      <c r="E22" s="51">
        <f t="shared" si="11"/>
        <v>0</v>
      </c>
      <c r="F22" s="51">
        <f t="shared" si="11"/>
        <v>7.4203100505138675E-2</v>
      </c>
      <c r="G22" s="58">
        <f>G28</f>
        <v>0.13537887426142842</v>
      </c>
      <c r="H22" s="51">
        <f t="shared" ref="H22:I22" si="12">(H28/H29)-1</f>
        <v>4.9102927289896181E-2</v>
      </c>
      <c r="I22" s="51">
        <f t="shared" si="12"/>
        <v>0.13201094391244861</v>
      </c>
      <c r="J22" s="59">
        <f t="shared" ref="J22:N22" si="13">J28</f>
        <v>45.038106048321708</v>
      </c>
      <c r="K22" s="59">
        <f t="shared" si="13"/>
        <v>26.836387222312307</v>
      </c>
      <c r="L22" s="59">
        <f t="shared" si="13"/>
        <v>35.93724663531701</v>
      </c>
      <c r="M22" s="44">
        <f t="shared" si="13"/>
        <v>33</v>
      </c>
      <c r="N22" s="51">
        <f t="shared" si="13"/>
        <v>0.26755310523755471</v>
      </c>
      <c r="P22" s="40" t="s">
        <v>98</v>
      </c>
      <c r="Q22" s="44">
        <v>2091</v>
      </c>
      <c r="R22" s="44">
        <v>1918</v>
      </c>
      <c r="S22" s="56">
        <f t="shared" si="8"/>
        <v>9.0198123044838319E-2</v>
      </c>
      <c r="U22" s="40" t="s">
        <v>98</v>
      </c>
      <c r="V22" s="44">
        <v>2122</v>
      </c>
      <c r="W22" s="44">
        <v>1959</v>
      </c>
      <c r="X22" s="56">
        <f t="shared" si="9"/>
        <v>8.320571720265435E-2</v>
      </c>
      <c r="Z22" s="40" t="s">
        <v>98</v>
      </c>
      <c r="AA22" s="44">
        <v>8050</v>
      </c>
      <c r="AB22" s="44">
        <v>7332</v>
      </c>
      <c r="AC22" s="56">
        <f t="shared" si="10"/>
        <v>9.7926895799236302E-2</v>
      </c>
    </row>
    <row r="23" spans="2:29" ht="13.8" x14ac:dyDescent="0.3">
      <c r="B23" s="57" t="s">
        <v>99</v>
      </c>
      <c r="C23" s="60">
        <f>(C28/C37)^(1/8)-1</f>
        <v>0.17888236132865165</v>
      </c>
      <c r="D23" s="60">
        <f t="shared" ref="D23:F23" si="14">(D28/D37)^(1/9)-1</f>
        <v>0.17118593175847674</v>
      </c>
      <c r="E23" s="60">
        <f t="shared" si="14"/>
        <v>5.4358502631846051E-3</v>
      </c>
      <c r="F23" s="60">
        <f t="shared" si="14"/>
        <v>0.15798217160754247</v>
      </c>
      <c r="G23" s="61">
        <f>MEDIAN(G28:G37)</f>
        <v>0.13413388157515865</v>
      </c>
      <c r="H23" s="60">
        <f t="shared" ref="H23:I23" si="15">(H28/H35)^(1/7)-1</f>
        <v>0.29068183385421786</v>
      </c>
      <c r="I23" s="60">
        <f t="shared" si="15"/>
        <v>0.23983231229384883</v>
      </c>
      <c r="J23" s="62">
        <f t="shared" ref="J23:L23" si="16">MEDIAN(J28:J35)</f>
        <v>38.113811088676982</v>
      </c>
      <c r="K23" s="62">
        <f t="shared" si="16"/>
        <v>17.150926610925495</v>
      </c>
      <c r="L23" s="62">
        <f t="shared" si="16"/>
        <v>26.672170796568377</v>
      </c>
      <c r="M23" s="62">
        <f>SUM(M28:M35)</f>
        <v>176.5</v>
      </c>
      <c r="N23" s="60">
        <f>MEDIAN(N28:N37)</f>
        <v>0.26743235709942909</v>
      </c>
      <c r="P23" s="40" t="s">
        <v>100</v>
      </c>
      <c r="Q23" s="44">
        <v>13</v>
      </c>
      <c r="R23" s="44">
        <v>12</v>
      </c>
      <c r="S23" s="56">
        <f t="shared" si="8"/>
        <v>8.3333333333333259E-2</v>
      </c>
      <c r="U23" s="40" t="s">
        <v>100</v>
      </c>
      <c r="V23" s="44">
        <v>13</v>
      </c>
      <c r="W23" s="44">
        <v>11</v>
      </c>
      <c r="X23" s="56">
        <f t="shared" si="9"/>
        <v>0.18181818181818188</v>
      </c>
      <c r="Z23" s="40" t="s">
        <v>100</v>
      </c>
      <c r="AA23" s="44">
        <v>51</v>
      </c>
      <c r="AB23" s="44">
        <v>44</v>
      </c>
      <c r="AC23" s="56">
        <f t="shared" si="10"/>
        <v>0.15909090909090917</v>
      </c>
    </row>
    <row r="24" spans="2:29" ht="13.8" x14ac:dyDescent="0.3">
      <c r="B24" s="3"/>
      <c r="P24" s="40" t="s">
        <v>54</v>
      </c>
      <c r="Q24" s="44">
        <v>314</v>
      </c>
      <c r="R24" s="44">
        <v>312</v>
      </c>
      <c r="S24" s="56">
        <f t="shared" si="8"/>
        <v>6.4102564102563875E-3</v>
      </c>
      <c r="U24" s="40" t="s">
        <v>54</v>
      </c>
      <c r="V24" s="44">
        <v>341</v>
      </c>
      <c r="W24" s="44">
        <v>341</v>
      </c>
      <c r="X24" s="56">
        <f t="shared" si="9"/>
        <v>0</v>
      </c>
      <c r="Z24" s="40" t="s">
        <v>54</v>
      </c>
      <c r="AA24" s="44">
        <v>1306</v>
      </c>
      <c r="AB24" s="44">
        <v>1216</v>
      </c>
      <c r="AC24" s="56">
        <f t="shared" si="10"/>
        <v>7.4013157894736947E-2</v>
      </c>
    </row>
    <row r="25" spans="2:29" ht="15.75" customHeight="1" x14ac:dyDescent="0.35">
      <c r="B25" s="55" t="s">
        <v>101</v>
      </c>
      <c r="C25" s="11" t="s">
        <v>102</v>
      </c>
      <c r="P25" s="40" t="s">
        <v>55</v>
      </c>
      <c r="Q25" s="59">
        <v>29.65</v>
      </c>
      <c r="R25" s="59">
        <v>29.45</v>
      </c>
      <c r="S25" s="56">
        <f t="shared" si="8"/>
        <v>6.7911714770798604E-3</v>
      </c>
      <c r="U25" s="40" t="s">
        <v>55</v>
      </c>
      <c r="V25" s="59">
        <v>32.25</v>
      </c>
      <c r="W25" s="59">
        <v>32.21</v>
      </c>
      <c r="X25" s="56">
        <f t="shared" si="9"/>
        <v>1.2418503570319483E-3</v>
      </c>
      <c r="Z25" s="40" t="s">
        <v>55</v>
      </c>
      <c r="AA25" s="59">
        <v>123.34</v>
      </c>
      <c r="AB25" s="59">
        <v>114.82</v>
      </c>
      <c r="AC25" s="56">
        <f t="shared" si="10"/>
        <v>7.4203100505138675E-2</v>
      </c>
    </row>
    <row r="26" spans="2:29" ht="15.75" customHeight="1" x14ac:dyDescent="0.3">
      <c r="B26" s="63" t="s">
        <v>103</v>
      </c>
      <c r="C26" s="35" t="s">
        <v>53</v>
      </c>
      <c r="D26" s="35" t="s">
        <v>54</v>
      </c>
      <c r="E26" s="35" t="s">
        <v>11</v>
      </c>
      <c r="F26" s="35" t="s">
        <v>55</v>
      </c>
      <c r="G26" s="35" t="s">
        <v>89</v>
      </c>
      <c r="H26" s="35" t="s">
        <v>90</v>
      </c>
      <c r="I26" s="35" t="s">
        <v>91</v>
      </c>
      <c r="J26" s="35" t="s">
        <v>92</v>
      </c>
      <c r="K26" s="35" t="s">
        <v>93</v>
      </c>
      <c r="L26" s="35" t="s">
        <v>94</v>
      </c>
      <c r="M26" s="35" t="s">
        <v>95</v>
      </c>
      <c r="N26" s="35" t="s">
        <v>96</v>
      </c>
      <c r="P26" s="40" t="s">
        <v>89</v>
      </c>
      <c r="Q26" s="58">
        <f t="shared" ref="Q26:R26" si="17">Q24/Q21</f>
        <v>0.12753858651502845</v>
      </c>
      <c r="R26" s="58">
        <f t="shared" si="17"/>
        <v>0.13559322033898305</v>
      </c>
      <c r="S26" s="54">
        <f>Q26-R26</f>
        <v>-8.0546338239546045E-3</v>
      </c>
      <c r="U26" s="40" t="s">
        <v>89</v>
      </c>
      <c r="V26" s="58">
        <f t="shared" ref="V26:W26" si="18">V24/V21</f>
        <v>0.13435776201733649</v>
      </c>
      <c r="W26" s="58">
        <f t="shared" si="18"/>
        <v>0.1438818565400844</v>
      </c>
      <c r="X26" s="54">
        <f>V26-W26</f>
        <v>-9.5240945227479112E-3</v>
      </c>
      <c r="Z26" s="40" t="s">
        <v>89</v>
      </c>
      <c r="AA26" s="58">
        <f t="shared" ref="AA26:AB26" si="19">AA24/AA21</f>
        <v>0.13537887426142842</v>
      </c>
      <c r="AB26" s="58">
        <f t="shared" si="19"/>
        <v>0.13794668179239933</v>
      </c>
      <c r="AC26" s="54">
        <f>AA26-AB26</f>
        <v>-2.5678075309709114E-3</v>
      </c>
    </row>
    <row r="27" spans="2:29" ht="15.75" customHeight="1" x14ac:dyDescent="0.3">
      <c r="B27" s="64" t="s">
        <v>104</v>
      </c>
      <c r="C27" s="44">
        <f>C28+Q21-R21</f>
        <v>9808</v>
      </c>
      <c r="D27" s="44">
        <f>D28+Q24-R24</f>
        <v>1308</v>
      </c>
      <c r="E27" s="44">
        <v>21</v>
      </c>
      <c r="F27" s="59">
        <f>L14</f>
        <v>123.53999999999999</v>
      </c>
      <c r="G27" s="27">
        <f t="shared" ref="G27:G37" si="20">D27/C27</f>
        <v>0.13336052202283849</v>
      </c>
      <c r="H27" s="44">
        <v>5873</v>
      </c>
      <c r="I27" s="44">
        <v>4200</v>
      </c>
      <c r="J27" s="6">
        <f t="shared" ref="J27:J35" si="21">H27/F27</f>
        <v>47.539258539744218</v>
      </c>
      <c r="K27" s="6">
        <f t="shared" ref="K27:K35" si="22">I27/F27</f>
        <v>33.997085964060226</v>
      </c>
      <c r="L27" s="59">
        <f t="shared" ref="L27:L35" si="23">AVERAGE(J27:K27)</f>
        <v>40.768172251902222</v>
      </c>
      <c r="M27" s="44">
        <v>33</v>
      </c>
      <c r="N27" s="51">
        <f t="shared" ref="N27:N35" si="24">M27/F27</f>
        <v>0.26711996114618747</v>
      </c>
      <c r="P27" s="40" t="s">
        <v>38</v>
      </c>
      <c r="Q27" s="45">
        <f t="shared" ref="Q27:R27" si="25">(Q21-Q22+Q23)/Q23</f>
        <v>29.53846153846154</v>
      </c>
      <c r="R27" s="45">
        <f t="shared" si="25"/>
        <v>32.916666666666664</v>
      </c>
      <c r="S27" s="56">
        <f>(Q27/R27)^(1/1)-1</f>
        <v>-0.10262901655306711</v>
      </c>
      <c r="U27" s="40" t="s">
        <v>38</v>
      </c>
      <c r="V27" s="45">
        <f t="shared" ref="V27:W27" si="26">(V21-V22+V23)/V23</f>
        <v>33</v>
      </c>
      <c r="W27" s="45">
        <f t="shared" si="26"/>
        <v>38.363636363636367</v>
      </c>
      <c r="X27" s="56">
        <f>(V27/W27)^(1/1)-1</f>
        <v>-0.13981042654028442</v>
      </c>
      <c r="Z27" s="40" t="s">
        <v>38</v>
      </c>
      <c r="AA27" s="45">
        <f t="shared" ref="AA27:AB27" si="27">(AA21-AA22+AA23)/AA23</f>
        <v>32.313725490196077</v>
      </c>
      <c r="AB27" s="45">
        <f t="shared" si="27"/>
        <v>34.704545454545453</v>
      </c>
      <c r="AC27" s="56">
        <f>(AA27/AB27)^(1/1)-1</f>
        <v>-6.8890686595528883E-2</v>
      </c>
    </row>
    <row r="28" spans="2:29" ht="14.4" x14ac:dyDescent="0.3">
      <c r="B28" s="64" t="s">
        <v>105</v>
      </c>
      <c r="C28" s="44">
        <v>9647</v>
      </c>
      <c r="D28" s="44">
        <v>1306</v>
      </c>
      <c r="E28" s="44">
        <v>21</v>
      </c>
      <c r="F28" s="59">
        <v>123.34</v>
      </c>
      <c r="G28" s="27">
        <f t="shared" si="20"/>
        <v>0.13537887426142842</v>
      </c>
      <c r="H28" s="44">
        <v>5555</v>
      </c>
      <c r="I28" s="44">
        <v>3310</v>
      </c>
      <c r="J28" s="6">
        <f t="shared" si="21"/>
        <v>45.038106048321708</v>
      </c>
      <c r="K28" s="6">
        <f t="shared" si="22"/>
        <v>26.836387222312307</v>
      </c>
      <c r="L28" s="59">
        <f t="shared" si="23"/>
        <v>35.93724663531701</v>
      </c>
      <c r="M28" s="44">
        <v>33</v>
      </c>
      <c r="N28" s="51">
        <f t="shared" si="24"/>
        <v>0.26755310523755471</v>
      </c>
    </row>
    <row r="29" spans="2:29" ht="14.4" x14ac:dyDescent="0.3">
      <c r="B29" s="64" t="s">
        <v>106</v>
      </c>
      <c r="C29" s="11">
        <v>8815</v>
      </c>
      <c r="D29" s="11">
        <v>1216</v>
      </c>
      <c r="E29" s="11">
        <v>21</v>
      </c>
      <c r="F29" s="12">
        <v>114.82</v>
      </c>
      <c r="G29" s="27">
        <f t="shared" si="20"/>
        <v>0.13794668179239933</v>
      </c>
      <c r="H29" s="11">
        <v>5295</v>
      </c>
      <c r="I29" s="11">
        <v>2924</v>
      </c>
      <c r="J29" s="6">
        <f t="shared" si="21"/>
        <v>46.115659292806136</v>
      </c>
      <c r="K29" s="6">
        <f t="shared" si="22"/>
        <v>25.46594669918133</v>
      </c>
      <c r="L29" s="59">
        <f t="shared" si="23"/>
        <v>35.790802995993729</v>
      </c>
      <c r="M29" s="11">
        <v>45</v>
      </c>
      <c r="N29" s="51">
        <f t="shared" si="24"/>
        <v>0.3919177843581258</v>
      </c>
      <c r="P29" s="20" t="s">
        <v>107</v>
      </c>
      <c r="V29" s="20" t="s">
        <v>108</v>
      </c>
    </row>
    <row r="30" spans="2:29" ht="14.4" x14ac:dyDescent="0.3">
      <c r="B30" s="64" t="s">
        <v>109</v>
      </c>
      <c r="C30" s="7">
        <v>6570</v>
      </c>
      <c r="D30" s="6">
        <v>961</v>
      </c>
      <c r="E30" s="6">
        <v>21</v>
      </c>
      <c r="F30" s="6">
        <v>90.92</v>
      </c>
      <c r="G30" s="27">
        <f t="shared" si="20"/>
        <v>0.14627092846270928</v>
      </c>
      <c r="H30" s="7">
        <v>5956</v>
      </c>
      <c r="I30" s="7">
        <v>2471</v>
      </c>
      <c r="J30" s="6">
        <f t="shared" si="21"/>
        <v>65.508139023317199</v>
      </c>
      <c r="K30" s="6">
        <f t="shared" si="22"/>
        <v>27.177738671359435</v>
      </c>
      <c r="L30" s="59">
        <f t="shared" si="23"/>
        <v>46.342938847338317</v>
      </c>
      <c r="M30" s="44">
        <v>25</v>
      </c>
      <c r="N30" s="51">
        <f t="shared" si="24"/>
        <v>0.27496700395952484</v>
      </c>
      <c r="P30" s="35" t="s">
        <v>75</v>
      </c>
      <c r="Q30" s="35" t="s">
        <v>75</v>
      </c>
      <c r="R30" s="35" t="s">
        <v>84</v>
      </c>
      <c r="S30" s="35" t="s">
        <v>110</v>
      </c>
      <c r="T30" s="35" t="s">
        <v>85</v>
      </c>
      <c r="V30" s="35" t="s">
        <v>75</v>
      </c>
      <c r="W30" s="35" t="s">
        <v>75</v>
      </c>
      <c r="X30" s="35" t="s">
        <v>84</v>
      </c>
      <c r="Y30" s="35" t="s">
        <v>110</v>
      </c>
      <c r="Z30" s="35" t="s">
        <v>85</v>
      </c>
      <c r="AA30" s="65"/>
      <c r="AB30" s="65"/>
      <c r="AC30" s="65"/>
    </row>
    <row r="31" spans="2:29" ht="14.4" x14ac:dyDescent="0.3">
      <c r="B31" s="64" t="s">
        <v>111</v>
      </c>
      <c r="C31" s="7">
        <v>5450</v>
      </c>
      <c r="D31" s="6">
        <v>667</v>
      </c>
      <c r="E31" s="6">
        <v>20.9</v>
      </c>
      <c r="F31" s="6">
        <v>63.32</v>
      </c>
      <c r="G31" s="27">
        <f t="shared" si="20"/>
        <v>0.12238532110091743</v>
      </c>
      <c r="H31" s="7">
        <v>2858</v>
      </c>
      <c r="I31" s="7">
        <v>1066</v>
      </c>
      <c r="J31" s="6">
        <f t="shared" si="21"/>
        <v>45.135818066961463</v>
      </c>
      <c r="K31" s="6">
        <f t="shared" si="22"/>
        <v>16.835123183828173</v>
      </c>
      <c r="L31" s="59">
        <f t="shared" si="23"/>
        <v>30.985470625394818</v>
      </c>
      <c r="M31" s="44">
        <v>22</v>
      </c>
      <c r="N31" s="51">
        <f t="shared" si="24"/>
        <v>0.3474415666456096</v>
      </c>
      <c r="P31" s="40" t="s">
        <v>112</v>
      </c>
      <c r="Q31" s="44">
        <v>866</v>
      </c>
      <c r="R31" s="44">
        <v>753</v>
      </c>
      <c r="S31" s="56">
        <f t="shared" ref="S31:S33" si="28">Q31/$Q$35</f>
        <v>0.35174654752233958</v>
      </c>
      <c r="T31" s="56">
        <f t="shared" ref="T31:T33" si="29">(Q31/R31)^(1/1)-1</f>
        <v>0.15006640106241709</v>
      </c>
      <c r="V31" s="40" t="s">
        <v>113</v>
      </c>
      <c r="W31" s="44">
        <v>1332</v>
      </c>
      <c r="X31" s="44">
        <v>1215</v>
      </c>
      <c r="Y31" s="56">
        <f t="shared" ref="Y31:Y34" si="30">W31/$W$36</f>
        <v>0.6367112810707457</v>
      </c>
      <c r="Z31" s="56">
        <f t="shared" ref="Z31:Z34" si="31">(W31/X31)^(1/1)-1</f>
        <v>9.6296296296296324E-2</v>
      </c>
      <c r="AA31" s="66"/>
      <c r="AB31" s="66"/>
      <c r="AC31" s="66"/>
    </row>
    <row r="32" spans="2:29" ht="14.4" x14ac:dyDescent="0.3">
      <c r="B32" s="64" t="s">
        <v>114</v>
      </c>
      <c r="C32" s="7">
        <v>5828</v>
      </c>
      <c r="D32" s="6">
        <v>822.4</v>
      </c>
      <c r="E32" s="6">
        <v>20.9</v>
      </c>
      <c r="F32" s="6">
        <v>78.56</v>
      </c>
      <c r="G32" s="27">
        <f t="shared" si="20"/>
        <v>0.14111187371310913</v>
      </c>
      <c r="H32" s="7">
        <v>1817</v>
      </c>
      <c r="I32" s="7">
        <v>995</v>
      </c>
      <c r="J32" s="6">
        <f t="shared" si="21"/>
        <v>23.128818737270876</v>
      </c>
      <c r="K32" s="6">
        <f t="shared" si="22"/>
        <v>12.665478615071283</v>
      </c>
      <c r="L32" s="59">
        <f t="shared" si="23"/>
        <v>17.897148676171078</v>
      </c>
      <c r="M32" s="44">
        <v>21</v>
      </c>
      <c r="N32" s="51">
        <f t="shared" si="24"/>
        <v>0.26731160896130346</v>
      </c>
      <c r="P32" s="40" t="s">
        <v>115</v>
      </c>
      <c r="Q32" s="59">
        <v>740</v>
      </c>
      <c r="R32" s="59">
        <v>726</v>
      </c>
      <c r="S32" s="56">
        <f t="shared" si="28"/>
        <v>0.3005686433793664</v>
      </c>
      <c r="T32" s="56">
        <f t="shared" si="29"/>
        <v>1.9283746556473913E-2</v>
      </c>
      <c r="V32" s="40" t="s">
        <v>116</v>
      </c>
      <c r="W32" s="44">
        <v>674</v>
      </c>
      <c r="X32" s="44">
        <v>634</v>
      </c>
      <c r="Y32" s="56">
        <f t="shared" si="30"/>
        <v>0.32217973231357555</v>
      </c>
      <c r="Z32" s="56">
        <f t="shared" si="31"/>
        <v>6.3091482649842323E-2</v>
      </c>
      <c r="AA32" s="66"/>
      <c r="AB32" s="66"/>
      <c r="AC32" s="66"/>
    </row>
    <row r="33" spans="1:29" ht="14.4" x14ac:dyDescent="0.3">
      <c r="B33" s="64" t="s">
        <v>117</v>
      </c>
      <c r="C33" s="7">
        <v>5301</v>
      </c>
      <c r="D33" s="6">
        <v>768.4</v>
      </c>
      <c r="E33" s="6">
        <v>20.8</v>
      </c>
      <c r="F33" s="6">
        <v>74.06</v>
      </c>
      <c r="G33" s="27">
        <f t="shared" si="20"/>
        <v>0.14495378230522543</v>
      </c>
      <c r="H33" s="7">
        <v>1852</v>
      </c>
      <c r="I33" s="7">
        <v>1150</v>
      </c>
      <c r="J33" s="6">
        <f t="shared" si="21"/>
        <v>25.006751282743721</v>
      </c>
      <c r="K33" s="6">
        <f t="shared" si="22"/>
        <v>15.527950310559005</v>
      </c>
      <c r="L33" s="59">
        <f t="shared" si="23"/>
        <v>20.267350796651364</v>
      </c>
      <c r="M33" s="59">
        <v>19.5</v>
      </c>
      <c r="N33" s="51">
        <f t="shared" si="24"/>
        <v>0.26330002700513094</v>
      </c>
      <c r="P33" s="40" t="s">
        <v>118</v>
      </c>
      <c r="Q33" s="44">
        <v>856</v>
      </c>
      <c r="R33" s="44">
        <v>823</v>
      </c>
      <c r="S33" s="56">
        <f t="shared" si="28"/>
        <v>0.34768480909829408</v>
      </c>
      <c r="T33" s="56">
        <f t="shared" si="29"/>
        <v>4.0097205346294018E-2</v>
      </c>
      <c r="V33" s="40" t="s">
        <v>119</v>
      </c>
      <c r="W33" s="44">
        <v>73</v>
      </c>
      <c r="X33" s="44">
        <v>57</v>
      </c>
      <c r="Y33" s="56">
        <f t="shared" si="30"/>
        <v>3.4894837476099429E-2</v>
      </c>
      <c r="Z33" s="56">
        <f t="shared" si="31"/>
        <v>0.2807017543859649</v>
      </c>
      <c r="AA33" s="66"/>
      <c r="AB33" s="66"/>
      <c r="AC33" s="66"/>
    </row>
    <row r="34" spans="1:29" ht="15" thickBot="1" x14ac:dyDescent="0.35">
      <c r="B34" s="64" t="s">
        <v>120</v>
      </c>
      <c r="C34" s="7">
        <v>3940</v>
      </c>
      <c r="D34" s="6">
        <v>506.6</v>
      </c>
      <c r="E34" s="6">
        <v>20.5</v>
      </c>
      <c r="F34" s="6">
        <v>49.6</v>
      </c>
      <c r="G34" s="27">
        <f t="shared" si="20"/>
        <v>0.12857868020304569</v>
      </c>
      <c r="H34" s="7">
        <v>1547</v>
      </c>
      <c r="I34" s="7">
        <v>671</v>
      </c>
      <c r="J34" s="6">
        <f t="shared" si="21"/>
        <v>31.189516129032256</v>
      </c>
      <c r="K34" s="6">
        <f t="shared" si="22"/>
        <v>13.528225806451612</v>
      </c>
      <c r="L34" s="59">
        <f t="shared" si="23"/>
        <v>22.358870967741936</v>
      </c>
      <c r="M34" s="44">
        <v>8</v>
      </c>
      <c r="N34" s="51">
        <f t="shared" si="24"/>
        <v>0.16129032258064516</v>
      </c>
      <c r="P34" s="67"/>
      <c r="Q34" s="11"/>
      <c r="R34" s="11"/>
      <c r="S34" s="66"/>
      <c r="T34" s="66"/>
      <c r="V34" s="40" t="s">
        <v>100</v>
      </c>
      <c r="W34" s="44">
        <v>13</v>
      </c>
      <c r="X34" s="44">
        <v>12</v>
      </c>
      <c r="Y34" s="56">
        <f t="shared" si="30"/>
        <v>6.2141491395793502E-3</v>
      </c>
      <c r="Z34" s="56">
        <f t="shared" si="31"/>
        <v>8.3333333333333259E-2</v>
      </c>
      <c r="AA34" s="66"/>
      <c r="AB34" s="66"/>
      <c r="AC34" s="66"/>
    </row>
    <row r="35" spans="1:29" ht="15.6" thickTop="1" thickBot="1" x14ac:dyDescent="0.35">
      <c r="A35" s="11" t="s">
        <v>121</v>
      </c>
      <c r="B35" s="64" t="s">
        <v>122</v>
      </c>
      <c r="C35" s="68">
        <v>3307</v>
      </c>
      <c r="D35" s="6">
        <v>425</v>
      </c>
      <c r="E35" s="69">
        <v>20.3</v>
      </c>
      <c r="F35" s="6">
        <v>42.08</v>
      </c>
      <c r="G35" s="27">
        <f t="shared" si="20"/>
        <v>0.12851527063804052</v>
      </c>
      <c r="H35" s="7">
        <v>931</v>
      </c>
      <c r="I35" s="7">
        <v>735</v>
      </c>
      <c r="J35" s="6">
        <f t="shared" si="21"/>
        <v>22.124524714828897</v>
      </c>
      <c r="K35" s="6">
        <f t="shared" si="22"/>
        <v>17.466730038022813</v>
      </c>
      <c r="L35" s="59">
        <f t="shared" si="23"/>
        <v>19.795627376425855</v>
      </c>
      <c r="M35" s="44">
        <v>3</v>
      </c>
      <c r="N35" s="51">
        <f t="shared" si="24"/>
        <v>7.1292775665399238E-2</v>
      </c>
      <c r="P35" s="70" t="s">
        <v>23</v>
      </c>
      <c r="Q35" s="70">
        <f t="shared" ref="Q35:R35" si="32">SUM(Q31:Q34)</f>
        <v>2462</v>
      </c>
      <c r="R35" s="70">
        <f t="shared" si="32"/>
        <v>2302</v>
      </c>
      <c r="S35" s="71">
        <f>Q35/$Q$35</f>
        <v>1</v>
      </c>
      <c r="T35" s="71">
        <f>(Q35/R35)^(1/1)-1</f>
        <v>6.9504778453518767E-2</v>
      </c>
    </row>
    <row r="36" spans="1:29" ht="15" thickTop="1" x14ac:dyDescent="0.3">
      <c r="B36" s="64" t="s">
        <v>123</v>
      </c>
      <c r="C36" s="7">
        <v>3150</v>
      </c>
      <c r="D36" s="6">
        <v>418.6</v>
      </c>
      <c r="E36" s="7">
        <v>20</v>
      </c>
      <c r="F36" s="6">
        <v>43.78</v>
      </c>
      <c r="G36" s="27">
        <f t="shared" si="20"/>
        <v>0.13288888888888889</v>
      </c>
      <c r="H36" s="44"/>
      <c r="I36" s="44"/>
      <c r="J36" s="7"/>
      <c r="K36" s="7"/>
      <c r="L36" s="44"/>
      <c r="M36" s="44"/>
      <c r="N36" s="44"/>
      <c r="V36" s="70" t="s">
        <v>23</v>
      </c>
      <c r="W36" s="70">
        <f t="shared" ref="W36:X36" si="33">SUM(W31:W34)</f>
        <v>2092</v>
      </c>
      <c r="X36" s="70">
        <f t="shared" si="33"/>
        <v>1918</v>
      </c>
      <c r="Y36" s="71">
        <f>W36/$W$36</f>
        <v>1</v>
      </c>
      <c r="Z36" s="71">
        <f>(W36/X36)^(1/1)-1</f>
        <v>9.0719499478623566E-2</v>
      </c>
      <c r="AA36" s="72"/>
      <c r="AB36" s="72"/>
      <c r="AC36" s="72"/>
    </row>
    <row r="37" spans="1:29" ht="14.4" x14ac:dyDescent="0.3">
      <c r="B37" s="64" t="s">
        <v>124</v>
      </c>
      <c r="C37" s="7">
        <v>2586</v>
      </c>
      <c r="D37" s="6">
        <v>315</v>
      </c>
      <c r="E37" s="7">
        <v>20</v>
      </c>
      <c r="F37" s="6">
        <f>(D37*F36)/D36</f>
        <v>32.944816053511708</v>
      </c>
      <c r="G37" s="27">
        <f t="shared" si="20"/>
        <v>0.12180974477958237</v>
      </c>
      <c r="H37" s="7"/>
      <c r="I37" s="7"/>
      <c r="J37" s="7"/>
      <c r="K37" s="7"/>
      <c r="L37" s="44"/>
      <c r="M37" s="44"/>
      <c r="N37" s="44"/>
    </row>
    <row r="39" spans="1:29" ht="14.4" x14ac:dyDescent="0.3">
      <c r="L39" s="73" t="s">
        <v>125</v>
      </c>
      <c r="M39" s="74">
        <v>2016</v>
      </c>
      <c r="N39" s="74">
        <v>2023</v>
      </c>
      <c r="P39" s="20" t="s">
        <v>126</v>
      </c>
    </row>
    <row r="40" spans="1:29" ht="14.4" x14ac:dyDescent="0.3">
      <c r="L40" s="75" t="s">
        <v>127</v>
      </c>
      <c r="M40" s="31">
        <v>89.27</v>
      </c>
      <c r="N40" s="31">
        <v>73.849999999999994</v>
      </c>
      <c r="P40" s="35" t="s">
        <v>65</v>
      </c>
      <c r="Q40" s="35" t="s">
        <v>110</v>
      </c>
      <c r="R40" s="35" t="s">
        <v>128</v>
      </c>
    </row>
    <row r="41" spans="1:29" ht="14.4" x14ac:dyDescent="0.3">
      <c r="L41" s="75" t="s">
        <v>129</v>
      </c>
      <c r="M41" s="31">
        <f>1.79+0.67</f>
        <v>2.46</v>
      </c>
      <c r="N41" s="31">
        <v>7.92</v>
      </c>
      <c r="P41" s="40" t="s">
        <v>130</v>
      </c>
      <c r="Q41" s="56">
        <v>0.52900000000000003</v>
      </c>
      <c r="R41" s="54">
        <v>-1.4E-2</v>
      </c>
    </row>
    <row r="42" spans="1:29" ht="14.4" x14ac:dyDescent="0.3">
      <c r="L42" s="75" t="s">
        <v>131</v>
      </c>
      <c r="M42" s="31">
        <v>3.08</v>
      </c>
      <c r="N42" s="31">
        <v>7.22</v>
      </c>
      <c r="P42" s="40" t="s">
        <v>132</v>
      </c>
      <c r="Q42" s="56">
        <v>0.18099999999999999</v>
      </c>
      <c r="R42" s="56">
        <v>0.23699999999999999</v>
      </c>
    </row>
    <row r="43" spans="1:29" ht="14.4" x14ac:dyDescent="0.3">
      <c r="B43" s="3"/>
      <c r="L43" s="75" t="s">
        <v>133</v>
      </c>
      <c r="M43" s="31">
        <v>5.5</v>
      </c>
      <c r="N43" s="31">
        <v>11.01</v>
      </c>
      <c r="O43" s="11"/>
      <c r="P43" s="40" t="s">
        <v>134</v>
      </c>
      <c r="Q43" s="56">
        <v>0.219</v>
      </c>
      <c r="R43" s="56">
        <v>0.122</v>
      </c>
    </row>
    <row r="44" spans="1:29" ht="14.4" x14ac:dyDescent="0.3">
      <c r="L44" s="75"/>
      <c r="M44" s="76"/>
      <c r="N44" s="31"/>
      <c r="P44" s="40" t="s">
        <v>135</v>
      </c>
      <c r="Q44" s="56">
        <v>7.1999999999999995E-2</v>
      </c>
      <c r="R44" s="56">
        <v>5.0000000000000001E-3</v>
      </c>
    </row>
    <row r="45" spans="1:29" ht="15" thickBot="1" x14ac:dyDescent="0.35">
      <c r="L45" s="77" t="s">
        <v>23</v>
      </c>
      <c r="M45" s="78">
        <f t="shared" ref="M45:N45" si="34">SUM(M40:M44)</f>
        <v>100.30999999999999</v>
      </c>
      <c r="N45" s="78">
        <f t="shared" si="34"/>
        <v>100</v>
      </c>
      <c r="P45" s="40"/>
      <c r="Q45" s="56"/>
      <c r="R45" s="56"/>
    </row>
    <row r="46" spans="1:29" ht="14.4" thickTop="1" x14ac:dyDescent="0.3">
      <c r="G46" s="12"/>
      <c r="P46" s="70" t="s">
        <v>23</v>
      </c>
      <c r="Q46" s="71">
        <f>SUM(Q41:Q44)</f>
        <v>1.0009999999999999</v>
      </c>
      <c r="R46" s="71">
        <v>0.06</v>
      </c>
    </row>
    <row r="48" spans="1:29" ht="13.8" x14ac:dyDescent="0.3">
      <c r="O48" s="79"/>
    </row>
    <row r="49" spans="2:15" ht="13.8" x14ac:dyDescent="0.3">
      <c r="G49" s="79"/>
      <c r="H49" s="79"/>
      <c r="O49" s="79"/>
    </row>
    <row r="50" spans="2:15" ht="13.8" x14ac:dyDescent="0.3">
      <c r="G50" s="79"/>
      <c r="H50" s="79"/>
    </row>
    <row r="53" spans="2:15" ht="13.8" x14ac:dyDescent="0.3">
      <c r="B53" s="3"/>
    </row>
    <row r="54" spans="2:15" ht="13.8" x14ac:dyDescent="0.3">
      <c r="B54" s="3"/>
    </row>
    <row r="55" spans="2:15" ht="13.8" x14ac:dyDescent="0.3">
      <c r="B55" s="3"/>
    </row>
    <row r="56" spans="2:15" ht="13.8" x14ac:dyDescent="0.3">
      <c r="B56" s="3"/>
    </row>
    <row r="57" spans="2:15" ht="13.8" x14ac:dyDescent="0.3">
      <c r="B57" s="3"/>
    </row>
    <row r="58" spans="2:15" ht="13.8" x14ac:dyDescent="0.3">
      <c r="B58" s="3"/>
    </row>
    <row r="59" spans="2:15" ht="13.8" x14ac:dyDescent="0.3">
      <c r="B59" s="3"/>
    </row>
    <row r="60" spans="2:15" ht="13.8" x14ac:dyDescent="0.3">
      <c r="B60" s="3"/>
    </row>
    <row r="61" spans="2:15" ht="13.8" x14ac:dyDescent="0.3">
      <c r="B61" s="3"/>
    </row>
    <row r="62" spans="2:15" ht="13.8" x14ac:dyDescent="0.3">
      <c r="B62" s="3"/>
    </row>
    <row r="63" spans="2:15" ht="13.8" x14ac:dyDescent="0.3">
      <c r="B63" s="3"/>
    </row>
    <row r="64" spans="2:15" ht="46.2" x14ac:dyDescent="0.85">
      <c r="B64" s="1" t="s">
        <v>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4" ht="13.8" x14ac:dyDescent="0.3">
      <c r="B65" s="3"/>
    </row>
    <row r="66" spans="2:4" ht="13.8" x14ac:dyDescent="0.3">
      <c r="B66" s="3"/>
    </row>
    <row r="67" spans="2:4" ht="13.8" x14ac:dyDescent="0.3">
      <c r="B67" s="3"/>
    </row>
    <row r="68" spans="2:4" ht="13.8" x14ac:dyDescent="0.3">
      <c r="B68" s="3"/>
    </row>
    <row r="69" spans="2:4" ht="13.8" x14ac:dyDescent="0.3">
      <c r="B69" s="3"/>
    </row>
    <row r="70" spans="2:4" ht="13.8" x14ac:dyDescent="0.3">
      <c r="B70" s="3"/>
    </row>
    <row r="71" spans="2:4" ht="13.8" x14ac:dyDescent="0.3">
      <c r="B71" s="3"/>
    </row>
    <row r="72" spans="2:4" ht="13.8" x14ac:dyDescent="0.3">
      <c r="B72" s="3"/>
    </row>
    <row r="74" spans="2:4" ht="13.8" x14ac:dyDescent="0.3">
      <c r="C74" s="12"/>
      <c r="D74" s="12"/>
    </row>
    <row r="75" spans="2:4" ht="13.8" x14ac:dyDescent="0.3">
      <c r="C75" s="12"/>
      <c r="D75" s="12"/>
    </row>
    <row r="76" spans="2:4" ht="13.8" x14ac:dyDescent="0.3">
      <c r="C76" s="12"/>
      <c r="D76" s="12"/>
    </row>
    <row r="77" spans="2:4" ht="13.8" x14ac:dyDescent="0.3">
      <c r="C77" s="12"/>
      <c r="D77" s="12"/>
    </row>
    <row r="78" spans="2:4" ht="13.8" x14ac:dyDescent="0.3">
      <c r="C78" s="12"/>
      <c r="D78" s="12"/>
    </row>
    <row r="79" spans="2:4" ht="13.8" x14ac:dyDescent="0.3">
      <c r="C79" s="12"/>
      <c r="D79" s="12"/>
    </row>
    <row r="80" spans="2:4" ht="13.8" x14ac:dyDescent="0.3">
      <c r="C80" s="12"/>
      <c r="D80" s="12"/>
    </row>
    <row r="81" spans="2:13" ht="13.8" x14ac:dyDescent="0.3">
      <c r="C81" s="12"/>
      <c r="D81" s="12"/>
    </row>
    <row r="82" spans="2:13" ht="13.8" x14ac:dyDescent="0.3">
      <c r="C82" s="12"/>
      <c r="D82" s="12"/>
    </row>
    <row r="83" spans="2:13" ht="13.8" x14ac:dyDescent="0.3">
      <c r="C83" s="12"/>
      <c r="D83" s="12"/>
      <c r="H83" s="11"/>
    </row>
    <row r="84" spans="2:13" ht="13.8" x14ac:dyDescent="0.3">
      <c r="C84" s="12"/>
      <c r="D84" s="12"/>
      <c r="H84" s="11"/>
      <c r="I84" s="11"/>
      <c r="J84" s="11"/>
      <c r="K84" s="11"/>
      <c r="L84" s="11"/>
    </row>
    <row r="85" spans="2:13" ht="13.8" x14ac:dyDescent="0.3">
      <c r="H85" s="11"/>
      <c r="I85" s="11"/>
      <c r="J85" s="11"/>
      <c r="K85" s="11"/>
    </row>
    <row r="86" spans="2:13" ht="13.8" x14ac:dyDescent="0.3">
      <c r="B86" s="3"/>
    </row>
    <row r="87" spans="2:13" ht="13.8" x14ac:dyDescent="0.3">
      <c r="B87" s="3"/>
      <c r="H87" s="11"/>
      <c r="I87" s="11"/>
      <c r="J87" s="11"/>
      <c r="K87" s="11"/>
      <c r="L87" s="11"/>
      <c r="M87" s="11"/>
    </row>
    <row r="88" spans="2:13" ht="13.8" x14ac:dyDescent="0.3">
      <c r="B88" s="3"/>
      <c r="H88" s="11"/>
      <c r="I88" s="79"/>
      <c r="J88" s="79"/>
      <c r="K88" s="79"/>
      <c r="L88" s="79"/>
      <c r="M88" s="79"/>
    </row>
    <row r="89" spans="2:13" ht="13.8" x14ac:dyDescent="0.3">
      <c r="B89" s="3"/>
      <c r="H89" s="11"/>
      <c r="I89" s="79"/>
      <c r="J89" s="79"/>
      <c r="K89" s="79"/>
      <c r="L89" s="79"/>
      <c r="M89" s="79"/>
    </row>
    <row r="90" spans="2:13" ht="13.8" x14ac:dyDescent="0.3">
      <c r="B90" s="3"/>
      <c r="H90" s="11"/>
      <c r="I90" s="79"/>
      <c r="J90" s="79"/>
      <c r="K90" s="79"/>
      <c r="L90" s="49"/>
      <c r="M90" s="49"/>
    </row>
    <row r="91" spans="2:13" ht="13.8" x14ac:dyDescent="0.3">
      <c r="B91" s="3"/>
    </row>
    <row r="92" spans="2:13" ht="13.8" x14ac:dyDescent="0.3">
      <c r="B92" s="3"/>
      <c r="H92" s="11"/>
      <c r="I92" s="11"/>
      <c r="J92" s="11"/>
      <c r="K92" s="11"/>
      <c r="L92" s="11"/>
      <c r="M92" s="11"/>
    </row>
    <row r="93" spans="2:13" ht="13.8" x14ac:dyDescent="0.3">
      <c r="B93" s="3"/>
      <c r="H93" s="12"/>
      <c r="I93" s="12"/>
      <c r="J93" s="12"/>
      <c r="K93" s="12"/>
      <c r="L93" s="12"/>
      <c r="M93" s="12"/>
    </row>
    <row r="94" spans="2:13" ht="13.8" x14ac:dyDescent="0.3">
      <c r="B94" s="3"/>
    </row>
    <row r="95" spans="2:13" ht="13.8" x14ac:dyDescent="0.3">
      <c r="B95" s="3"/>
    </row>
    <row r="96" spans="2:13" ht="13.8" x14ac:dyDescent="0.3">
      <c r="B96" s="3"/>
    </row>
    <row r="97" spans="2:2" ht="13.8" x14ac:dyDescent="0.3">
      <c r="B97" s="3"/>
    </row>
    <row r="98" spans="2:2" ht="13.8" x14ac:dyDescent="0.3">
      <c r="B98" s="3"/>
    </row>
    <row r="99" spans="2:2" ht="13.8" x14ac:dyDescent="0.3">
      <c r="B99" s="3"/>
    </row>
    <row r="100" spans="2:2" ht="13.8" x14ac:dyDescent="0.3">
      <c r="B100" s="3"/>
    </row>
    <row r="101" spans="2:2" ht="13.8" x14ac:dyDescent="0.3">
      <c r="B101" s="3"/>
    </row>
    <row r="102" spans="2:2" ht="13.8" x14ac:dyDescent="0.3">
      <c r="B102" s="3"/>
    </row>
    <row r="103" spans="2:2" ht="13.8" x14ac:dyDescent="0.3">
      <c r="B103" s="3"/>
    </row>
    <row r="104" spans="2:2" ht="13.8" x14ac:dyDescent="0.3">
      <c r="B104" s="3"/>
    </row>
    <row r="105" spans="2:2" ht="13.8" x14ac:dyDescent="0.3">
      <c r="B105" s="3"/>
    </row>
    <row r="106" spans="2:2" ht="13.8" x14ac:dyDescent="0.3">
      <c r="B106" s="3"/>
    </row>
    <row r="107" spans="2:2" ht="13.8" x14ac:dyDescent="0.3">
      <c r="B107" s="3"/>
    </row>
    <row r="108" spans="2:2" ht="13.8" x14ac:dyDescent="0.3">
      <c r="B108" s="3"/>
    </row>
    <row r="109" spans="2:2" ht="13.8" x14ac:dyDescent="0.3">
      <c r="B109" s="3"/>
    </row>
    <row r="110" spans="2:2" ht="13.8" x14ac:dyDescent="0.3">
      <c r="B110" s="3"/>
    </row>
    <row r="111" spans="2:2" ht="13.8" x14ac:dyDescent="0.3">
      <c r="B111" s="3"/>
    </row>
    <row r="112" spans="2:2" ht="13.8" x14ac:dyDescent="0.3">
      <c r="B112" s="3"/>
    </row>
    <row r="113" spans="2:2" ht="13.8" x14ac:dyDescent="0.3">
      <c r="B113" s="3"/>
    </row>
    <row r="114" spans="2:2" ht="13.8" x14ac:dyDescent="0.3">
      <c r="B114" s="3"/>
    </row>
    <row r="115" spans="2:2" ht="13.8" x14ac:dyDescent="0.3">
      <c r="B115" s="3"/>
    </row>
    <row r="116" spans="2:2" ht="13.8" x14ac:dyDescent="0.3">
      <c r="B116" s="3"/>
    </row>
    <row r="117" spans="2:2" ht="13.8" x14ac:dyDescent="0.3">
      <c r="B117" s="3"/>
    </row>
    <row r="118" spans="2:2" ht="13.8" x14ac:dyDescent="0.3">
      <c r="B118" s="3"/>
    </row>
    <row r="119" spans="2:2" ht="13.8" x14ac:dyDescent="0.3">
      <c r="B119" s="3"/>
    </row>
    <row r="120" spans="2:2" ht="13.8" x14ac:dyDescent="0.3">
      <c r="B120" s="3"/>
    </row>
    <row r="121" spans="2:2" ht="13.8" x14ac:dyDescent="0.3">
      <c r="B121" s="3"/>
    </row>
    <row r="122" spans="2:2" ht="13.8" x14ac:dyDescent="0.3">
      <c r="B122" s="3"/>
    </row>
    <row r="123" spans="2:2" ht="13.8" x14ac:dyDescent="0.3">
      <c r="B123" s="3"/>
    </row>
    <row r="124" spans="2:2" ht="13.8" x14ac:dyDescent="0.3">
      <c r="B124" s="3"/>
    </row>
    <row r="125" spans="2:2" ht="13.8" x14ac:dyDescent="0.3">
      <c r="B125" s="3"/>
    </row>
    <row r="126" spans="2:2" ht="13.8" x14ac:dyDescent="0.3">
      <c r="B126" s="3"/>
    </row>
    <row r="127" spans="2:2" ht="13.8" x14ac:dyDescent="0.3">
      <c r="B127" s="3"/>
    </row>
    <row r="128" spans="2:2" ht="13.8" x14ac:dyDescent="0.3">
      <c r="B128" s="3"/>
    </row>
    <row r="129" spans="2:2" ht="13.8" x14ac:dyDescent="0.3">
      <c r="B129" s="3"/>
    </row>
    <row r="130" spans="2:2" ht="13.8" x14ac:dyDescent="0.3">
      <c r="B130" s="3"/>
    </row>
    <row r="131" spans="2:2" ht="13.8" x14ac:dyDescent="0.3">
      <c r="B131" s="3"/>
    </row>
    <row r="132" spans="2:2" ht="13.8" x14ac:dyDescent="0.3">
      <c r="B132" s="3"/>
    </row>
    <row r="133" spans="2:2" ht="13.8" x14ac:dyDescent="0.3">
      <c r="B133" s="3"/>
    </row>
    <row r="134" spans="2:2" ht="13.8" x14ac:dyDescent="0.3">
      <c r="B134" s="3"/>
    </row>
    <row r="135" spans="2:2" ht="13.8" x14ac:dyDescent="0.3">
      <c r="B135" s="3"/>
    </row>
    <row r="136" spans="2:2" ht="13.8" x14ac:dyDescent="0.3">
      <c r="B136" s="3"/>
    </row>
    <row r="137" spans="2:2" ht="13.8" x14ac:dyDescent="0.3">
      <c r="B137" s="3"/>
    </row>
    <row r="138" spans="2:2" ht="13.8" x14ac:dyDescent="0.3">
      <c r="B138" s="3"/>
    </row>
    <row r="139" spans="2:2" ht="13.8" x14ac:dyDescent="0.3">
      <c r="B139" s="3"/>
    </row>
    <row r="140" spans="2:2" ht="13.8" x14ac:dyDescent="0.3">
      <c r="B140" s="3"/>
    </row>
    <row r="141" spans="2:2" ht="13.8" x14ac:dyDescent="0.3">
      <c r="B141" s="3"/>
    </row>
    <row r="142" spans="2:2" ht="13.8" x14ac:dyDescent="0.3">
      <c r="B142" s="3"/>
    </row>
    <row r="143" spans="2:2" ht="13.8" x14ac:dyDescent="0.3">
      <c r="B143" s="3"/>
    </row>
    <row r="144" spans="2:2" ht="13.8" x14ac:dyDescent="0.3">
      <c r="B144" s="3"/>
    </row>
    <row r="145" spans="2:2" ht="13.8" x14ac:dyDescent="0.3">
      <c r="B145" s="3"/>
    </row>
    <row r="146" spans="2:2" ht="13.8" x14ac:dyDescent="0.3">
      <c r="B146" s="3"/>
    </row>
    <row r="147" spans="2:2" ht="13.8" x14ac:dyDescent="0.3">
      <c r="B147" s="3"/>
    </row>
    <row r="148" spans="2:2" ht="13.8" x14ac:dyDescent="0.3">
      <c r="B148" s="3"/>
    </row>
    <row r="149" spans="2:2" ht="13.8" x14ac:dyDescent="0.3">
      <c r="B149" s="3"/>
    </row>
    <row r="150" spans="2:2" ht="13.8" x14ac:dyDescent="0.3">
      <c r="B150" s="3"/>
    </row>
    <row r="151" spans="2:2" ht="13.8" x14ac:dyDescent="0.3">
      <c r="B151" s="3"/>
    </row>
    <row r="152" spans="2:2" ht="13.8" x14ac:dyDescent="0.3">
      <c r="B152" s="3"/>
    </row>
    <row r="153" spans="2:2" ht="13.8" x14ac:dyDescent="0.3">
      <c r="B153" s="3"/>
    </row>
    <row r="154" spans="2:2" ht="13.8" x14ac:dyDescent="0.3">
      <c r="B154" s="3"/>
    </row>
    <row r="155" spans="2:2" ht="13.8" x14ac:dyDescent="0.3">
      <c r="B155" s="3"/>
    </row>
    <row r="156" spans="2:2" ht="13.8" x14ac:dyDescent="0.3">
      <c r="B156" s="3"/>
    </row>
    <row r="157" spans="2:2" ht="13.8" x14ac:dyDescent="0.3">
      <c r="B157" s="3"/>
    </row>
    <row r="158" spans="2:2" ht="13.8" x14ac:dyDescent="0.3">
      <c r="B158" s="3"/>
    </row>
    <row r="159" spans="2:2" ht="13.8" x14ac:dyDescent="0.3">
      <c r="B159" s="3"/>
    </row>
    <row r="160" spans="2:2" ht="13.8" x14ac:dyDescent="0.3">
      <c r="B160" s="3"/>
    </row>
    <row r="161" spans="2:2" ht="13.8" x14ac:dyDescent="0.3">
      <c r="B161" s="3"/>
    </row>
    <row r="162" spans="2:2" ht="13.8" x14ac:dyDescent="0.3">
      <c r="B162" s="3"/>
    </row>
    <row r="163" spans="2:2" ht="13.8" x14ac:dyDescent="0.3">
      <c r="B163" s="3"/>
    </row>
    <row r="164" spans="2:2" ht="13.8" x14ac:dyDescent="0.3">
      <c r="B164" s="3"/>
    </row>
    <row r="165" spans="2:2" ht="13.8" x14ac:dyDescent="0.3">
      <c r="B165" s="3"/>
    </row>
    <row r="166" spans="2:2" ht="13.8" x14ac:dyDescent="0.3">
      <c r="B166" s="3"/>
    </row>
    <row r="167" spans="2:2" ht="13.8" x14ac:dyDescent="0.3">
      <c r="B167" s="3"/>
    </row>
    <row r="168" spans="2:2" ht="13.8" x14ac:dyDescent="0.3">
      <c r="B168" s="3"/>
    </row>
    <row r="169" spans="2:2" ht="13.8" x14ac:dyDescent="0.3">
      <c r="B169" s="3"/>
    </row>
    <row r="170" spans="2:2" ht="13.8" x14ac:dyDescent="0.3">
      <c r="B170" s="3"/>
    </row>
    <row r="171" spans="2:2" ht="13.8" x14ac:dyDescent="0.3">
      <c r="B171" s="3"/>
    </row>
    <row r="172" spans="2:2" ht="13.8" x14ac:dyDescent="0.3">
      <c r="B172" s="3"/>
    </row>
    <row r="173" spans="2:2" ht="13.8" x14ac:dyDescent="0.3">
      <c r="B173" s="3"/>
    </row>
    <row r="174" spans="2:2" ht="13.8" x14ac:dyDescent="0.3">
      <c r="B174" s="3"/>
    </row>
    <row r="175" spans="2:2" ht="13.8" x14ac:dyDescent="0.3">
      <c r="B175" s="3"/>
    </row>
    <row r="176" spans="2:2" ht="13.8" x14ac:dyDescent="0.3">
      <c r="B176" s="3"/>
    </row>
    <row r="177" spans="2:2" ht="13.8" x14ac:dyDescent="0.3">
      <c r="B177" s="3"/>
    </row>
    <row r="178" spans="2:2" ht="13.8" x14ac:dyDescent="0.3">
      <c r="B178" s="3"/>
    </row>
    <row r="179" spans="2:2" ht="13.8" x14ac:dyDescent="0.3">
      <c r="B179" s="3"/>
    </row>
    <row r="180" spans="2:2" ht="13.8" x14ac:dyDescent="0.3">
      <c r="B180" s="3"/>
    </row>
    <row r="181" spans="2:2" ht="13.8" x14ac:dyDescent="0.3">
      <c r="B181" s="3"/>
    </row>
    <row r="182" spans="2:2" ht="13.8" x14ac:dyDescent="0.3">
      <c r="B182" s="3"/>
    </row>
    <row r="183" spans="2:2" ht="13.8" x14ac:dyDescent="0.3">
      <c r="B183" s="3"/>
    </row>
    <row r="184" spans="2:2" ht="13.8" x14ac:dyDescent="0.3">
      <c r="B184" s="3"/>
    </row>
    <row r="185" spans="2:2" ht="13.8" x14ac:dyDescent="0.3">
      <c r="B185" s="3"/>
    </row>
    <row r="186" spans="2:2" ht="13.8" x14ac:dyDescent="0.3">
      <c r="B186" s="3"/>
    </row>
    <row r="187" spans="2:2" ht="13.8" x14ac:dyDescent="0.3">
      <c r="B187" s="3"/>
    </row>
    <row r="188" spans="2:2" ht="13.8" x14ac:dyDescent="0.3">
      <c r="B188" s="3"/>
    </row>
    <row r="189" spans="2:2" ht="13.8" x14ac:dyDescent="0.3">
      <c r="B189" s="3"/>
    </row>
    <row r="190" spans="2:2" ht="13.8" x14ac:dyDescent="0.3">
      <c r="B190" s="3"/>
    </row>
    <row r="191" spans="2:2" ht="13.8" x14ac:dyDescent="0.3">
      <c r="B191" s="3"/>
    </row>
    <row r="192" spans="2:2" ht="13.8" x14ac:dyDescent="0.3">
      <c r="B192" s="3"/>
    </row>
    <row r="193" spans="2:2" ht="13.8" x14ac:dyDescent="0.3">
      <c r="B193" s="3"/>
    </row>
    <row r="194" spans="2:2" ht="13.8" x14ac:dyDescent="0.3">
      <c r="B194" s="3"/>
    </row>
    <row r="195" spans="2:2" ht="13.8" x14ac:dyDescent="0.3">
      <c r="B195" s="3"/>
    </row>
    <row r="196" spans="2:2" ht="13.8" x14ac:dyDescent="0.3">
      <c r="B196" s="3"/>
    </row>
    <row r="197" spans="2:2" ht="13.8" x14ac:dyDescent="0.3">
      <c r="B197" s="3"/>
    </row>
    <row r="198" spans="2:2" ht="13.8" x14ac:dyDescent="0.3">
      <c r="B198" s="3"/>
    </row>
    <row r="199" spans="2:2" ht="13.8" x14ac:dyDescent="0.3">
      <c r="B199" s="3"/>
    </row>
    <row r="200" spans="2:2" ht="13.8" x14ac:dyDescent="0.3">
      <c r="B200" s="3"/>
    </row>
    <row r="201" spans="2:2" ht="13.8" x14ac:dyDescent="0.3">
      <c r="B201" s="3"/>
    </row>
    <row r="202" spans="2:2" ht="13.8" x14ac:dyDescent="0.3">
      <c r="B202" s="3"/>
    </row>
    <row r="203" spans="2:2" ht="13.8" x14ac:dyDescent="0.3">
      <c r="B203" s="3"/>
    </row>
    <row r="204" spans="2:2" ht="13.8" x14ac:dyDescent="0.3">
      <c r="B204" s="3"/>
    </row>
    <row r="205" spans="2:2" ht="13.8" x14ac:dyDescent="0.3">
      <c r="B205" s="3"/>
    </row>
    <row r="206" spans="2:2" ht="13.8" x14ac:dyDescent="0.3">
      <c r="B206" s="3"/>
    </row>
    <row r="207" spans="2:2" ht="13.8" x14ac:dyDescent="0.3">
      <c r="B207" s="3"/>
    </row>
    <row r="208" spans="2:2" ht="13.8" x14ac:dyDescent="0.3">
      <c r="B208" s="3"/>
    </row>
    <row r="209" spans="2:2" ht="13.8" x14ac:dyDescent="0.3">
      <c r="B209" s="3"/>
    </row>
    <row r="210" spans="2:2" ht="13.8" x14ac:dyDescent="0.3">
      <c r="B210" s="3"/>
    </row>
    <row r="211" spans="2:2" ht="13.8" x14ac:dyDescent="0.3">
      <c r="B211" s="3"/>
    </row>
    <row r="212" spans="2:2" ht="13.8" x14ac:dyDescent="0.3">
      <c r="B212" s="3"/>
    </row>
    <row r="213" spans="2:2" ht="13.8" x14ac:dyDescent="0.3">
      <c r="B213" s="3"/>
    </row>
    <row r="214" spans="2:2" ht="13.8" x14ac:dyDescent="0.3">
      <c r="B214" s="3"/>
    </row>
    <row r="215" spans="2:2" ht="13.8" x14ac:dyDescent="0.3">
      <c r="B215" s="3"/>
    </row>
    <row r="216" spans="2:2" ht="13.8" x14ac:dyDescent="0.3">
      <c r="B216" s="3"/>
    </row>
    <row r="217" spans="2:2" ht="13.8" x14ac:dyDescent="0.3">
      <c r="B217" s="3"/>
    </row>
    <row r="218" spans="2:2" ht="13.8" x14ac:dyDescent="0.3">
      <c r="B218" s="3"/>
    </row>
    <row r="219" spans="2:2" ht="13.8" x14ac:dyDescent="0.3">
      <c r="B219" s="3"/>
    </row>
    <row r="220" spans="2:2" ht="13.8" x14ac:dyDescent="0.3">
      <c r="B220" s="3"/>
    </row>
    <row r="221" spans="2:2" ht="13.8" x14ac:dyDescent="0.3">
      <c r="B221" s="3"/>
    </row>
    <row r="222" spans="2:2" ht="13.8" x14ac:dyDescent="0.3">
      <c r="B222" s="3"/>
    </row>
    <row r="223" spans="2:2" ht="13.8" x14ac:dyDescent="0.3">
      <c r="B223" s="3"/>
    </row>
    <row r="224" spans="2:2" ht="13.8" x14ac:dyDescent="0.3">
      <c r="B224" s="3"/>
    </row>
    <row r="225" spans="2:2" ht="13.8" x14ac:dyDescent="0.3">
      <c r="B225" s="3"/>
    </row>
    <row r="226" spans="2:2" ht="13.8" x14ac:dyDescent="0.3">
      <c r="B226" s="3"/>
    </row>
    <row r="227" spans="2:2" ht="13.8" x14ac:dyDescent="0.3">
      <c r="B227" s="3"/>
    </row>
    <row r="228" spans="2:2" ht="13.8" x14ac:dyDescent="0.3">
      <c r="B228" s="3"/>
    </row>
    <row r="229" spans="2:2" ht="13.8" x14ac:dyDescent="0.3">
      <c r="B229" s="3"/>
    </row>
    <row r="230" spans="2:2" ht="13.8" x14ac:dyDescent="0.3">
      <c r="B230" s="3"/>
    </row>
    <row r="231" spans="2:2" ht="13.8" x14ac:dyDescent="0.3">
      <c r="B231" s="3"/>
    </row>
    <row r="232" spans="2:2" ht="13.8" x14ac:dyDescent="0.3">
      <c r="B232" s="3"/>
    </row>
    <row r="233" spans="2:2" ht="13.8" x14ac:dyDescent="0.3">
      <c r="B233" s="3"/>
    </row>
    <row r="234" spans="2:2" ht="13.8" x14ac:dyDescent="0.3">
      <c r="B234" s="3"/>
    </row>
    <row r="235" spans="2:2" ht="13.8" x14ac:dyDescent="0.3">
      <c r="B235" s="3"/>
    </row>
    <row r="236" spans="2:2" ht="13.8" x14ac:dyDescent="0.3">
      <c r="B236" s="3"/>
    </row>
    <row r="237" spans="2:2" ht="13.8" x14ac:dyDescent="0.3">
      <c r="B237" s="3"/>
    </row>
    <row r="238" spans="2:2" ht="13.8" x14ac:dyDescent="0.3">
      <c r="B238" s="3"/>
    </row>
    <row r="239" spans="2:2" ht="13.8" x14ac:dyDescent="0.3">
      <c r="B239" s="3"/>
    </row>
    <row r="240" spans="2:2" ht="13.8" x14ac:dyDescent="0.3">
      <c r="B240" s="3"/>
    </row>
    <row r="241" spans="2:2" ht="13.8" x14ac:dyDescent="0.3">
      <c r="B241" s="3"/>
    </row>
    <row r="242" spans="2:2" ht="13.8" x14ac:dyDescent="0.3">
      <c r="B242" s="3"/>
    </row>
    <row r="243" spans="2:2" ht="13.8" x14ac:dyDescent="0.3">
      <c r="B243" s="3"/>
    </row>
    <row r="244" spans="2:2" ht="13.8" x14ac:dyDescent="0.3">
      <c r="B244" s="3"/>
    </row>
    <row r="245" spans="2:2" ht="13.8" x14ac:dyDescent="0.3">
      <c r="B245" s="3"/>
    </row>
    <row r="246" spans="2:2" ht="13.8" x14ac:dyDescent="0.3">
      <c r="B246" s="3"/>
    </row>
    <row r="247" spans="2:2" ht="13.8" x14ac:dyDescent="0.3">
      <c r="B247" s="3"/>
    </row>
    <row r="248" spans="2:2" ht="13.8" x14ac:dyDescent="0.3">
      <c r="B248" s="3"/>
    </row>
    <row r="249" spans="2:2" ht="13.8" x14ac:dyDescent="0.3">
      <c r="B249" s="3"/>
    </row>
    <row r="250" spans="2:2" ht="13.8" x14ac:dyDescent="0.3">
      <c r="B250" s="3"/>
    </row>
    <row r="251" spans="2:2" ht="13.8" x14ac:dyDescent="0.3">
      <c r="B251" s="3"/>
    </row>
    <row r="252" spans="2:2" ht="13.8" x14ac:dyDescent="0.3">
      <c r="B252" s="3"/>
    </row>
    <row r="253" spans="2:2" ht="13.8" x14ac:dyDescent="0.3">
      <c r="B253" s="3"/>
    </row>
    <row r="254" spans="2:2" ht="13.8" x14ac:dyDescent="0.3">
      <c r="B254" s="3"/>
    </row>
    <row r="255" spans="2:2" ht="13.8" x14ac:dyDescent="0.3">
      <c r="B255" s="3"/>
    </row>
    <row r="256" spans="2:2" ht="13.8" x14ac:dyDescent="0.3">
      <c r="B256" s="3"/>
    </row>
    <row r="257" spans="2:2" ht="13.8" x14ac:dyDescent="0.3">
      <c r="B257" s="3"/>
    </row>
    <row r="258" spans="2:2" ht="13.8" x14ac:dyDescent="0.3">
      <c r="B258" s="3"/>
    </row>
    <row r="259" spans="2:2" ht="13.8" x14ac:dyDescent="0.3">
      <c r="B259" s="3"/>
    </row>
    <row r="260" spans="2:2" ht="13.8" x14ac:dyDescent="0.3">
      <c r="B260" s="3"/>
    </row>
    <row r="261" spans="2:2" ht="13.8" x14ac:dyDescent="0.3">
      <c r="B261" s="3"/>
    </row>
    <row r="262" spans="2:2" ht="13.8" x14ac:dyDescent="0.3">
      <c r="B262" s="3"/>
    </row>
    <row r="263" spans="2:2" ht="13.8" x14ac:dyDescent="0.3">
      <c r="B263" s="3"/>
    </row>
    <row r="264" spans="2:2" ht="13.8" x14ac:dyDescent="0.3">
      <c r="B264" s="3"/>
    </row>
    <row r="265" spans="2:2" ht="13.8" x14ac:dyDescent="0.3">
      <c r="B265" s="3"/>
    </row>
    <row r="266" spans="2:2" ht="13.8" x14ac:dyDescent="0.3">
      <c r="B266" s="3"/>
    </row>
    <row r="267" spans="2:2" ht="13.8" x14ac:dyDescent="0.3">
      <c r="B267" s="3"/>
    </row>
    <row r="268" spans="2:2" ht="13.8" x14ac:dyDescent="0.3">
      <c r="B268" s="3"/>
    </row>
    <row r="269" spans="2:2" ht="13.8" x14ac:dyDescent="0.3">
      <c r="B269" s="3"/>
    </row>
    <row r="270" spans="2:2" ht="13.8" x14ac:dyDescent="0.3">
      <c r="B270" s="3"/>
    </row>
    <row r="271" spans="2:2" ht="13.8" x14ac:dyDescent="0.3">
      <c r="B271" s="3"/>
    </row>
    <row r="272" spans="2:2" ht="13.8" x14ac:dyDescent="0.3">
      <c r="B272" s="3"/>
    </row>
    <row r="273" spans="2:2" ht="13.8" x14ac:dyDescent="0.3">
      <c r="B273" s="3"/>
    </row>
    <row r="274" spans="2:2" ht="13.8" x14ac:dyDescent="0.3">
      <c r="B274" s="3"/>
    </row>
    <row r="275" spans="2:2" ht="13.8" x14ac:dyDescent="0.3">
      <c r="B275" s="3"/>
    </row>
    <row r="276" spans="2:2" ht="13.8" x14ac:dyDescent="0.3">
      <c r="B276" s="3"/>
    </row>
    <row r="277" spans="2:2" ht="13.8" x14ac:dyDescent="0.3">
      <c r="B277" s="3"/>
    </row>
    <row r="278" spans="2:2" ht="13.8" x14ac:dyDescent="0.3">
      <c r="B278" s="3"/>
    </row>
    <row r="279" spans="2:2" ht="13.8" x14ac:dyDescent="0.3">
      <c r="B279" s="3"/>
    </row>
    <row r="280" spans="2:2" ht="13.8" x14ac:dyDescent="0.3">
      <c r="B280" s="3"/>
    </row>
    <row r="281" spans="2:2" ht="13.8" x14ac:dyDescent="0.3">
      <c r="B281" s="3"/>
    </row>
    <row r="282" spans="2:2" ht="13.8" x14ac:dyDescent="0.3">
      <c r="B282" s="3"/>
    </row>
    <row r="283" spans="2:2" ht="13.8" x14ac:dyDescent="0.3">
      <c r="B283" s="3"/>
    </row>
    <row r="284" spans="2:2" ht="13.8" x14ac:dyDescent="0.3">
      <c r="B284" s="3"/>
    </row>
    <row r="285" spans="2:2" ht="13.8" x14ac:dyDescent="0.3">
      <c r="B285" s="3"/>
    </row>
    <row r="286" spans="2:2" ht="13.8" x14ac:dyDescent="0.3">
      <c r="B286" s="3"/>
    </row>
    <row r="287" spans="2:2" ht="13.8" x14ac:dyDescent="0.3">
      <c r="B287" s="3"/>
    </row>
    <row r="288" spans="2:2" ht="13.8" x14ac:dyDescent="0.3">
      <c r="B288" s="3"/>
    </row>
    <row r="289" spans="2:2" ht="13.8" x14ac:dyDescent="0.3">
      <c r="B289" s="3"/>
    </row>
    <row r="290" spans="2:2" ht="13.8" x14ac:dyDescent="0.3">
      <c r="B290" s="3"/>
    </row>
    <row r="291" spans="2:2" ht="13.8" x14ac:dyDescent="0.3">
      <c r="B291" s="3"/>
    </row>
    <row r="292" spans="2:2" ht="13.8" x14ac:dyDescent="0.3">
      <c r="B292" s="3"/>
    </row>
    <row r="293" spans="2:2" ht="13.8" x14ac:dyDescent="0.3">
      <c r="B293" s="3"/>
    </row>
    <row r="294" spans="2:2" ht="13.8" x14ac:dyDescent="0.3">
      <c r="B294" s="3"/>
    </row>
    <row r="295" spans="2:2" ht="13.8" x14ac:dyDescent="0.3">
      <c r="B295" s="3"/>
    </row>
    <row r="296" spans="2:2" ht="13.8" x14ac:dyDescent="0.3">
      <c r="B296" s="3"/>
    </row>
    <row r="297" spans="2:2" ht="13.8" x14ac:dyDescent="0.3">
      <c r="B297" s="3"/>
    </row>
    <row r="298" spans="2:2" ht="13.8" x14ac:dyDescent="0.3">
      <c r="B298" s="3"/>
    </row>
    <row r="299" spans="2:2" ht="13.8" x14ac:dyDescent="0.3">
      <c r="B299" s="3"/>
    </row>
    <row r="300" spans="2:2" ht="13.8" x14ac:dyDescent="0.3">
      <c r="B300" s="3"/>
    </row>
    <row r="301" spans="2:2" ht="13.8" x14ac:dyDescent="0.3">
      <c r="B301" s="3"/>
    </row>
    <row r="302" spans="2:2" ht="13.8" x14ac:dyDescent="0.3">
      <c r="B302" s="3"/>
    </row>
    <row r="303" spans="2:2" ht="13.8" x14ac:dyDescent="0.3">
      <c r="B303" s="3"/>
    </row>
    <row r="304" spans="2:2" ht="13.8" x14ac:dyDescent="0.3">
      <c r="B304" s="3"/>
    </row>
    <row r="305" spans="2:2" ht="13.8" x14ac:dyDescent="0.3">
      <c r="B305" s="3"/>
    </row>
    <row r="306" spans="2:2" ht="13.8" x14ac:dyDescent="0.3">
      <c r="B306" s="3"/>
    </row>
    <row r="307" spans="2:2" ht="13.8" x14ac:dyDescent="0.3">
      <c r="B307" s="3"/>
    </row>
    <row r="308" spans="2:2" ht="13.8" x14ac:dyDescent="0.3">
      <c r="B308" s="3"/>
    </row>
    <row r="309" spans="2:2" ht="13.8" x14ac:dyDescent="0.3">
      <c r="B309" s="3"/>
    </row>
    <row r="310" spans="2:2" ht="13.8" x14ac:dyDescent="0.3">
      <c r="B310" s="3"/>
    </row>
    <row r="311" spans="2:2" ht="13.8" x14ac:dyDescent="0.3">
      <c r="B311" s="3"/>
    </row>
    <row r="312" spans="2:2" ht="13.8" x14ac:dyDescent="0.3">
      <c r="B312" s="3"/>
    </row>
    <row r="313" spans="2:2" ht="13.8" x14ac:dyDescent="0.3">
      <c r="B313" s="3"/>
    </row>
    <row r="314" spans="2:2" ht="13.8" x14ac:dyDescent="0.3">
      <c r="B314" s="3"/>
    </row>
    <row r="315" spans="2:2" ht="13.8" x14ac:dyDescent="0.3">
      <c r="B315" s="3"/>
    </row>
    <row r="316" spans="2:2" ht="13.8" x14ac:dyDescent="0.3">
      <c r="B316" s="3"/>
    </row>
    <row r="317" spans="2:2" ht="13.8" x14ac:dyDescent="0.3">
      <c r="B317" s="3"/>
    </row>
    <row r="318" spans="2:2" ht="13.8" x14ac:dyDescent="0.3">
      <c r="B318" s="3"/>
    </row>
    <row r="319" spans="2:2" ht="13.8" x14ac:dyDescent="0.3">
      <c r="B319" s="3"/>
    </row>
    <row r="320" spans="2:2" ht="13.8" x14ac:dyDescent="0.3">
      <c r="B320" s="3"/>
    </row>
    <row r="321" spans="2:2" ht="13.8" x14ac:dyDescent="0.3">
      <c r="B321" s="3"/>
    </row>
    <row r="322" spans="2:2" ht="13.8" x14ac:dyDescent="0.3">
      <c r="B322" s="3"/>
    </row>
    <row r="323" spans="2:2" ht="13.8" x14ac:dyDescent="0.3">
      <c r="B323" s="3"/>
    </row>
    <row r="324" spans="2:2" ht="13.8" x14ac:dyDescent="0.3">
      <c r="B324" s="3"/>
    </row>
    <row r="325" spans="2:2" ht="13.8" x14ac:dyDescent="0.3">
      <c r="B325" s="3"/>
    </row>
    <row r="326" spans="2:2" ht="13.8" x14ac:dyDescent="0.3">
      <c r="B326" s="3"/>
    </row>
    <row r="327" spans="2:2" ht="13.8" x14ac:dyDescent="0.3">
      <c r="B327" s="3"/>
    </row>
    <row r="328" spans="2:2" ht="13.8" x14ac:dyDescent="0.3">
      <c r="B328" s="3"/>
    </row>
    <row r="329" spans="2:2" ht="13.8" x14ac:dyDescent="0.3">
      <c r="B329" s="3"/>
    </row>
    <row r="330" spans="2:2" ht="13.8" x14ac:dyDescent="0.3">
      <c r="B330" s="3"/>
    </row>
    <row r="331" spans="2:2" ht="13.8" x14ac:dyDescent="0.3">
      <c r="B331" s="3"/>
    </row>
    <row r="332" spans="2:2" ht="13.8" x14ac:dyDescent="0.3">
      <c r="B332" s="3"/>
    </row>
    <row r="333" spans="2:2" ht="13.8" x14ac:dyDescent="0.3">
      <c r="B333" s="3"/>
    </row>
    <row r="334" spans="2:2" ht="13.8" x14ac:dyDescent="0.3">
      <c r="B334" s="3"/>
    </row>
    <row r="335" spans="2:2" ht="13.8" x14ac:dyDescent="0.3">
      <c r="B335" s="3"/>
    </row>
    <row r="336" spans="2:2" ht="13.8" x14ac:dyDescent="0.3">
      <c r="B336" s="3"/>
    </row>
    <row r="337" spans="2:2" ht="13.8" x14ac:dyDescent="0.3">
      <c r="B337" s="3"/>
    </row>
    <row r="338" spans="2:2" ht="13.8" x14ac:dyDescent="0.3">
      <c r="B338" s="3"/>
    </row>
    <row r="339" spans="2:2" ht="13.8" x14ac:dyDescent="0.3">
      <c r="B339" s="3"/>
    </row>
    <row r="340" spans="2:2" ht="13.8" x14ac:dyDescent="0.3">
      <c r="B340" s="3"/>
    </row>
    <row r="341" spans="2:2" ht="13.8" x14ac:dyDescent="0.3">
      <c r="B341" s="3"/>
    </row>
    <row r="342" spans="2:2" ht="13.8" x14ac:dyDescent="0.3">
      <c r="B342" s="3"/>
    </row>
    <row r="343" spans="2:2" ht="13.8" x14ac:dyDescent="0.3">
      <c r="B343" s="3"/>
    </row>
    <row r="344" spans="2:2" ht="13.8" x14ac:dyDescent="0.3">
      <c r="B344" s="3"/>
    </row>
    <row r="345" spans="2:2" ht="13.8" x14ac:dyDescent="0.3">
      <c r="B345" s="3"/>
    </row>
    <row r="346" spans="2:2" ht="13.8" x14ac:dyDescent="0.3">
      <c r="B346" s="3"/>
    </row>
    <row r="347" spans="2:2" ht="13.8" x14ac:dyDescent="0.3">
      <c r="B347" s="3"/>
    </row>
    <row r="348" spans="2:2" ht="13.8" x14ac:dyDescent="0.3">
      <c r="B348" s="3"/>
    </row>
    <row r="349" spans="2:2" ht="13.8" x14ac:dyDescent="0.3">
      <c r="B349" s="3"/>
    </row>
    <row r="350" spans="2:2" ht="13.8" x14ac:dyDescent="0.3">
      <c r="B350" s="3"/>
    </row>
    <row r="351" spans="2:2" ht="13.8" x14ac:dyDescent="0.3">
      <c r="B351" s="3"/>
    </row>
    <row r="352" spans="2:2" ht="13.8" x14ac:dyDescent="0.3">
      <c r="B352" s="3"/>
    </row>
    <row r="353" spans="2:2" ht="13.8" x14ac:dyDescent="0.3">
      <c r="B353" s="3"/>
    </row>
    <row r="354" spans="2:2" ht="13.8" x14ac:dyDescent="0.3">
      <c r="B354" s="3"/>
    </row>
    <row r="355" spans="2:2" ht="13.8" x14ac:dyDescent="0.3">
      <c r="B355" s="3"/>
    </row>
    <row r="356" spans="2:2" ht="13.8" x14ac:dyDescent="0.3">
      <c r="B356" s="3"/>
    </row>
    <row r="357" spans="2:2" ht="13.8" x14ac:dyDescent="0.3">
      <c r="B357" s="3"/>
    </row>
    <row r="358" spans="2:2" ht="13.8" x14ac:dyDescent="0.3">
      <c r="B358" s="3"/>
    </row>
    <row r="359" spans="2:2" ht="13.8" x14ac:dyDescent="0.3">
      <c r="B359" s="3"/>
    </row>
    <row r="360" spans="2:2" ht="13.8" x14ac:dyDescent="0.3">
      <c r="B360" s="3"/>
    </row>
    <row r="361" spans="2:2" ht="13.8" x14ac:dyDescent="0.3">
      <c r="B361" s="3"/>
    </row>
    <row r="362" spans="2:2" ht="13.8" x14ac:dyDescent="0.3">
      <c r="B362" s="3"/>
    </row>
    <row r="363" spans="2:2" ht="13.8" x14ac:dyDescent="0.3">
      <c r="B363" s="3"/>
    </row>
    <row r="364" spans="2:2" ht="13.8" x14ac:dyDescent="0.3">
      <c r="B364" s="3"/>
    </row>
    <row r="365" spans="2:2" ht="13.8" x14ac:dyDescent="0.3">
      <c r="B365" s="3"/>
    </row>
    <row r="366" spans="2:2" ht="13.8" x14ac:dyDescent="0.3">
      <c r="B366" s="3"/>
    </row>
    <row r="367" spans="2:2" ht="13.8" x14ac:dyDescent="0.3">
      <c r="B367" s="3"/>
    </row>
    <row r="368" spans="2:2" ht="13.8" x14ac:dyDescent="0.3">
      <c r="B368" s="3"/>
    </row>
    <row r="369" spans="2:2" ht="13.8" x14ac:dyDescent="0.3">
      <c r="B369" s="3"/>
    </row>
    <row r="370" spans="2:2" ht="13.8" x14ac:dyDescent="0.3">
      <c r="B370" s="3"/>
    </row>
    <row r="371" spans="2:2" ht="13.8" x14ac:dyDescent="0.3">
      <c r="B371" s="3"/>
    </row>
    <row r="372" spans="2:2" ht="13.8" x14ac:dyDescent="0.3">
      <c r="B372" s="3"/>
    </row>
    <row r="373" spans="2:2" ht="13.8" x14ac:dyDescent="0.3">
      <c r="B373" s="3"/>
    </row>
    <row r="374" spans="2:2" ht="13.8" x14ac:dyDescent="0.3">
      <c r="B374" s="3"/>
    </row>
    <row r="375" spans="2:2" ht="13.8" x14ac:dyDescent="0.3">
      <c r="B375" s="3"/>
    </row>
    <row r="376" spans="2:2" ht="13.8" x14ac:dyDescent="0.3">
      <c r="B376" s="3"/>
    </row>
    <row r="377" spans="2:2" ht="13.8" x14ac:dyDescent="0.3">
      <c r="B377" s="3"/>
    </row>
    <row r="378" spans="2:2" ht="13.8" x14ac:dyDescent="0.3">
      <c r="B378" s="3"/>
    </row>
    <row r="379" spans="2:2" ht="13.8" x14ac:dyDescent="0.3">
      <c r="B379" s="3"/>
    </row>
    <row r="380" spans="2:2" ht="13.8" x14ac:dyDescent="0.3">
      <c r="B380" s="3"/>
    </row>
    <row r="381" spans="2:2" ht="13.8" x14ac:dyDescent="0.3">
      <c r="B381" s="3"/>
    </row>
    <row r="382" spans="2:2" ht="13.8" x14ac:dyDescent="0.3">
      <c r="B382" s="3"/>
    </row>
    <row r="383" spans="2:2" ht="13.8" x14ac:dyDescent="0.3">
      <c r="B383" s="3"/>
    </row>
    <row r="384" spans="2:2" ht="13.8" x14ac:dyDescent="0.3">
      <c r="B384" s="3"/>
    </row>
    <row r="385" spans="2:2" ht="13.8" x14ac:dyDescent="0.3">
      <c r="B385" s="3"/>
    </row>
    <row r="386" spans="2:2" ht="13.8" x14ac:dyDescent="0.3">
      <c r="B386" s="3"/>
    </row>
    <row r="387" spans="2:2" ht="13.8" x14ac:dyDescent="0.3">
      <c r="B387" s="3"/>
    </row>
    <row r="388" spans="2:2" ht="13.8" x14ac:dyDescent="0.3">
      <c r="B388" s="3"/>
    </row>
    <row r="389" spans="2:2" ht="13.8" x14ac:dyDescent="0.3">
      <c r="B389" s="3"/>
    </row>
    <row r="390" spans="2:2" ht="13.8" x14ac:dyDescent="0.3">
      <c r="B390" s="3"/>
    </row>
    <row r="391" spans="2:2" ht="13.8" x14ac:dyDescent="0.3">
      <c r="B391" s="3"/>
    </row>
    <row r="392" spans="2:2" ht="13.8" x14ac:dyDescent="0.3">
      <c r="B392" s="3"/>
    </row>
    <row r="393" spans="2:2" ht="13.8" x14ac:dyDescent="0.3">
      <c r="B393" s="3"/>
    </row>
    <row r="394" spans="2:2" ht="13.8" x14ac:dyDescent="0.3">
      <c r="B394" s="3"/>
    </row>
    <row r="395" spans="2:2" ht="13.8" x14ac:dyDescent="0.3">
      <c r="B395" s="3"/>
    </row>
    <row r="396" spans="2:2" ht="13.8" x14ac:dyDescent="0.3">
      <c r="B396" s="3"/>
    </row>
    <row r="397" spans="2:2" ht="13.8" x14ac:dyDescent="0.3">
      <c r="B397" s="3"/>
    </row>
    <row r="398" spans="2:2" ht="13.8" x14ac:dyDescent="0.3">
      <c r="B398" s="3"/>
    </row>
    <row r="399" spans="2:2" ht="13.8" x14ac:dyDescent="0.3">
      <c r="B399" s="3"/>
    </row>
    <row r="400" spans="2:2" ht="13.8" x14ac:dyDescent="0.3">
      <c r="B400" s="3"/>
    </row>
    <row r="401" spans="2:2" ht="13.8" x14ac:dyDescent="0.3">
      <c r="B401" s="3"/>
    </row>
    <row r="402" spans="2:2" ht="13.8" x14ac:dyDescent="0.3">
      <c r="B402" s="3"/>
    </row>
    <row r="403" spans="2:2" ht="13.8" x14ac:dyDescent="0.3">
      <c r="B403" s="3"/>
    </row>
    <row r="404" spans="2:2" ht="13.8" x14ac:dyDescent="0.3">
      <c r="B404" s="3"/>
    </row>
    <row r="405" spans="2:2" ht="13.8" x14ac:dyDescent="0.3">
      <c r="B405" s="3"/>
    </row>
    <row r="406" spans="2:2" ht="13.8" x14ac:dyDescent="0.3">
      <c r="B406" s="3"/>
    </row>
    <row r="407" spans="2:2" ht="13.8" x14ac:dyDescent="0.3">
      <c r="B407" s="3"/>
    </row>
    <row r="408" spans="2:2" ht="13.8" x14ac:dyDescent="0.3">
      <c r="B408" s="3"/>
    </row>
    <row r="409" spans="2:2" ht="13.8" x14ac:dyDescent="0.3">
      <c r="B409" s="3"/>
    </row>
    <row r="410" spans="2:2" ht="13.8" x14ac:dyDescent="0.3">
      <c r="B410" s="3"/>
    </row>
    <row r="411" spans="2:2" ht="13.8" x14ac:dyDescent="0.3">
      <c r="B411" s="3"/>
    </row>
    <row r="412" spans="2:2" ht="13.8" x14ac:dyDescent="0.3">
      <c r="B412" s="3"/>
    </row>
    <row r="413" spans="2:2" ht="13.8" x14ac:dyDescent="0.3">
      <c r="B413" s="3"/>
    </row>
    <row r="414" spans="2:2" ht="13.8" x14ac:dyDescent="0.3">
      <c r="B414" s="3"/>
    </row>
    <row r="415" spans="2:2" ht="13.8" x14ac:dyDescent="0.3">
      <c r="B415" s="3"/>
    </row>
    <row r="416" spans="2:2" ht="13.8" x14ac:dyDescent="0.3">
      <c r="B416" s="3"/>
    </row>
    <row r="417" spans="2:2" ht="13.8" x14ac:dyDescent="0.3">
      <c r="B417" s="3"/>
    </row>
    <row r="418" spans="2:2" ht="13.8" x14ac:dyDescent="0.3">
      <c r="B418" s="3"/>
    </row>
    <row r="419" spans="2:2" ht="13.8" x14ac:dyDescent="0.3">
      <c r="B419" s="3"/>
    </row>
    <row r="420" spans="2:2" ht="13.8" x14ac:dyDescent="0.3">
      <c r="B420" s="3"/>
    </row>
    <row r="421" spans="2:2" ht="13.8" x14ac:dyDescent="0.3">
      <c r="B421" s="3"/>
    </row>
    <row r="422" spans="2:2" ht="13.8" x14ac:dyDescent="0.3">
      <c r="B422" s="3"/>
    </row>
    <row r="423" spans="2:2" ht="13.8" x14ac:dyDescent="0.3">
      <c r="B423" s="3"/>
    </row>
    <row r="424" spans="2:2" ht="13.8" x14ac:dyDescent="0.3">
      <c r="B424" s="3"/>
    </row>
    <row r="425" spans="2:2" ht="13.8" x14ac:dyDescent="0.3">
      <c r="B425" s="3"/>
    </row>
    <row r="426" spans="2:2" ht="13.8" x14ac:dyDescent="0.3">
      <c r="B426" s="3"/>
    </row>
    <row r="427" spans="2:2" ht="13.8" x14ac:dyDescent="0.3">
      <c r="B427" s="3"/>
    </row>
    <row r="428" spans="2:2" ht="13.8" x14ac:dyDescent="0.3">
      <c r="B428" s="3"/>
    </row>
    <row r="429" spans="2:2" ht="13.8" x14ac:dyDescent="0.3">
      <c r="B429" s="3"/>
    </row>
    <row r="430" spans="2:2" ht="13.8" x14ac:dyDescent="0.3">
      <c r="B430" s="3"/>
    </row>
    <row r="431" spans="2:2" ht="13.8" x14ac:dyDescent="0.3">
      <c r="B431" s="3"/>
    </row>
    <row r="432" spans="2:2" ht="13.8" x14ac:dyDescent="0.3">
      <c r="B432" s="3"/>
    </row>
    <row r="433" spans="2:2" ht="13.8" x14ac:dyDescent="0.3">
      <c r="B433" s="3"/>
    </row>
    <row r="434" spans="2:2" ht="13.8" x14ac:dyDescent="0.3">
      <c r="B434" s="3"/>
    </row>
    <row r="435" spans="2:2" ht="13.8" x14ac:dyDescent="0.3">
      <c r="B435" s="3"/>
    </row>
    <row r="436" spans="2:2" ht="13.8" x14ac:dyDescent="0.3">
      <c r="B436" s="3"/>
    </row>
    <row r="437" spans="2:2" ht="13.8" x14ac:dyDescent="0.3">
      <c r="B437" s="3"/>
    </row>
    <row r="438" spans="2:2" ht="13.8" x14ac:dyDescent="0.3">
      <c r="B438" s="3"/>
    </row>
    <row r="439" spans="2:2" ht="13.8" x14ac:dyDescent="0.3">
      <c r="B439" s="3"/>
    </row>
    <row r="440" spans="2:2" ht="13.8" x14ac:dyDescent="0.3">
      <c r="B440" s="3"/>
    </row>
    <row r="441" spans="2:2" ht="13.8" x14ac:dyDescent="0.3">
      <c r="B441" s="3"/>
    </row>
    <row r="442" spans="2:2" ht="13.8" x14ac:dyDescent="0.3">
      <c r="B442" s="3"/>
    </row>
    <row r="443" spans="2:2" ht="13.8" x14ac:dyDescent="0.3">
      <c r="B443" s="3"/>
    </row>
    <row r="444" spans="2:2" ht="13.8" x14ac:dyDescent="0.3">
      <c r="B444" s="3"/>
    </row>
    <row r="445" spans="2:2" ht="13.8" x14ac:dyDescent="0.3">
      <c r="B445" s="3"/>
    </row>
    <row r="446" spans="2:2" ht="13.8" x14ac:dyDescent="0.3">
      <c r="B446" s="3"/>
    </row>
    <row r="447" spans="2:2" ht="13.8" x14ac:dyDescent="0.3">
      <c r="B447" s="3"/>
    </row>
    <row r="448" spans="2:2" ht="13.8" x14ac:dyDescent="0.3">
      <c r="B448" s="3"/>
    </row>
    <row r="449" spans="2:2" ht="13.8" x14ac:dyDescent="0.3">
      <c r="B449" s="3"/>
    </row>
    <row r="450" spans="2:2" ht="13.8" x14ac:dyDescent="0.3">
      <c r="B450" s="3"/>
    </row>
    <row r="451" spans="2:2" ht="13.8" x14ac:dyDescent="0.3">
      <c r="B451" s="3"/>
    </row>
    <row r="452" spans="2:2" ht="13.8" x14ac:dyDescent="0.3">
      <c r="B452" s="3"/>
    </row>
    <row r="453" spans="2:2" ht="13.8" x14ac:dyDescent="0.3">
      <c r="B453" s="3"/>
    </row>
    <row r="454" spans="2:2" ht="13.8" x14ac:dyDescent="0.3">
      <c r="B454" s="3"/>
    </row>
    <row r="455" spans="2:2" ht="13.8" x14ac:dyDescent="0.3">
      <c r="B455" s="3"/>
    </row>
    <row r="456" spans="2:2" ht="13.8" x14ac:dyDescent="0.3">
      <c r="B456" s="3"/>
    </row>
    <row r="457" spans="2:2" ht="13.8" x14ac:dyDescent="0.3">
      <c r="B457" s="3"/>
    </row>
    <row r="458" spans="2:2" ht="13.8" x14ac:dyDescent="0.3">
      <c r="B458" s="3"/>
    </row>
    <row r="459" spans="2:2" ht="13.8" x14ac:dyDescent="0.3">
      <c r="B459" s="3"/>
    </row>
    <row r="460" spans="2:2" ht="13.8" x14ac:dyDescent="0.3">
      <c r="B460" s="3"/>
    </row>
    <row r="461" spans="2:2" ht="13.8" x14ac:dyDescent="0.3">
      <c r="B461" s="3"/>
    </row>
    <row r="462" spans="2:2" ht="13.8" x14ac:dyDescent="0.3">
      <c r="B462" s="3"/>
    </row>
    <row r="463" spans="2:2" ht="13.8" x14ac:dyDescent="0.3">
      <c r="B463" s="3"/>
    </row>
    <row r="464" spans="2:2" ht="13.8" x14ac:dyDescent="0.3">
      <c r="B464" s="3"/>
    </row>
    <row r="465" spans="2:2" ht="13.8" x14ac:dyDescent="0.3">
      <c r="B465" s="3"/>
    </row>
    <row r="466" spans="2:2" ht="13.8" x14ac:dyDescent="0.3">
      <c r="B466" s="3"/>
    </row>
    <row r="467" spans="2:2" ht="13.8" x14ac:dyDescent="0.3">
      <c r="B467" s="3"/>
    </row>
    <row r="468" spans="2:2" ht="13.8" x14ac:dyDescent="0.3">
      <c r="B468" s="3"/>
    </row>
    <row r="469" spans="2:2" ht="13.8" x14ac:dyDescent="0.3">
      <c r="B469" s="3"/>
    </row>
    <row r="470" spans="2:2" ht="13.8" x14ac:dyDescent="0.3">
      <c r="B470" s="3"/>
    </row>
    <row r="471" spans="2:2" ht="13.8" x14ac:dyDescent="0.3">
      <c r="B471" s="3"/>
    </row>
    <row r="472" spans="2:2" ht="13.8" x14ac:dyDescent="0.3">
      <c r="B472" s="3"/>
    </row>
    <row r="473" spans="2:2" ht="13.8" x14ac:dyDescent="0.3">
      <c r="B473" s="3"/>
    </row>
    <row r="474" spans="2:2" ht="13.8" x14ac:dyDescent="0.3">
      <c r="B474" s="3"/>
    </row>
    <row r="475" spans="2:2" ht="13.8" x14ac:dyDescent="0.3">
      <c r="B475" s="3"/>
    </row>
    <row r="476" spans="2:2" ht="13.8" x14ac:dyDescent="0.3">
      <c r="B476" s="3"/>
    </row>
    <row r="477" spans="2:2" ht="13.8" x14ac:dyDescent="0.3">
      <c r="B477" s="3"/>
    </row>
    <row r="478" spans="2:2" ht="13.8" x14ac:dyDescent="0.3">
      <c r="B478" s="3"/>
    </row>
    <row r="479" spans="2:2" ht="13.8" x14ac:dyDescent="0.3">
      <c r="B479" s="3"/>
    </row>
    <row r="480" spans="2:2" ht="13.8" x14ac:dyDescent="0.3">
      <c r="B480" s="3"/>
    </row>
    <row r="481" spans="2:2" ht="13.8" x14ac:dyDescent="0.3">
      <c r="B481" s="3"/>
    </row>
    <row r="482" spans="2:2" ht="13.8" x14ac:dyDescent="0.3">
      <c r="B482" s="3"/>
    </row>
    <row r="483" spans="2:2" ht="13.8" x14ac:dyDescent="0.3">
      <c r="B483" s="3"/>
    </row>
    <row r="484" spans="2:2" ht="13.8" x14ac:dyDescent="0.3">
      <c r="B484" s="3"/>
    </row>
    <row r="485" spans="2:2" ht="13.8" x14ac:dyDescent="0.3">
      <c r="B485" s="3"/>
    </row>
    <row r="486" spans="2:2" ht="13.8" x14ac:dyDescent="0.3">
      <c r="B486" s="3"/>
    </row>
    <row r="487" spans="2:2" ht="13.8" x14ac:dyDescent="0.3">
      <c r="B487" s="3"/>
    </row>
    <row r="488" spans="2:2" ht="13.8" x14ac:dyDescent="0.3">
      <c r="B488" s="3"/>
    </row>
    <row r="489" spans="2:2" ht="13.8" x14ac:dyDescent="0.3">
      <c r="B489" s="3"/>
    </row>
    <row r="490" spans="2:2" ht="13.8" x14ac:dyDescent="0.3">
      <c r="B490" s="3"/>
    </row>
    <row r="491" spans="2:2" ht="13.8" x14ac:dyDescent="0.3">
      <c r="B491" s="3"/>
    </row>
    <row r="492" spans="2:2" ht="13.8" x14ac:dyDescent="0.3">
      <c r="B492" s="3"/>
    </row>
    <row r="493" spans="2:2" ht="13.8" x14ac:dyDescent="0.3">
      <c r="B493" s="3"/>
    </row>
    <row r="494" spans="2:2" ht="13.8" x14ac:dyDescent="0.3">
      <c r="B494" s="3"/>
    </row>
    <row r="495" spans="2:2" ht="13.8" x14ac:dyDescent="0.3">
      <c r="B495" s="3"/>
    </row>
    <row r="496" spans="2:2" ht="13.8" x14ac:dyDescent="0.3">
      <c r="B496" s="3"/>
    </row>
    <row r="497" spans="2:2" ht="13.8" x14ac:dyDescent="0.3">
      <c r="B497" s="3"/>
    </row>
    <row r="498" spans="2:2" ht="13.8" x14ac:dyDescent="0.3">
      <c r="B498" s="3"/>
    </row>
    <row r="499" spans="2:2" ht="13.8" x14ac:dyDescent="0.3">
      <c r="B499" s="3"/>
    </row>
    <row r="500" spans="2:2" ht="13.8" x14ac:dyDescent="0.3">
      <c r="B500" s="3"/>
    </row>
    <row r="501" spans="2:2" ht="13.8" x14ac:dyDescent="0.3">
      <c r="B501" s="3"/>
    </row>
    <row r="502" spans="2:2" ht="13.8" x14ac:dyDescent="0.3">
      <c r="B502" s="3"/>
    </row>
    <row r="503" spans="2:2" ht="13.8" x14ac:dyDescent="0.3">
      <c r="B503" s="3"/>
    </row>
    <row r="504" spans="2:2" ht="13.8" x14ac:dyDescent="0.3">
      <c r="B504" s="3"/>
    </row>
    <row r="505" spans="2:2" ht="13.8" x14ac:dyDescent="0.3">
      <c r="B505" s="3"/>
    </row>
    <row r="506" spans="2:2" ht="13.8" x14ac:dyDescent="0.3">
      <c r="B506" s="3"/>
    </row>
    <row r="507" spans="2:2" ht="13.8" x14ac:dyDescent="0.3">
      <c r="B507" s="3"/>
    </row>
    <row r="508" spans="2:2" ht="13.8" x14ac:dyDescent="0.3">
      <c r="B508" s="3"/>
    </row>
    <row r="509" spans="2:2" ht="13.8" x14ac:dyDescent="0.3">
      <c r="B509" s="3"/>
    </row>
    <row r="510" spans="2:2" ht="13.8" x14ac:dyDescent="0.3">
      <c r="B510" s="3"/>
    </row>
    <row r="511" spans="2:2" ht="13.8" x14ac:dyDescent="0.3">
      <c r="B511" s="3"/>
    </row>
    <row r="512" spans="2:2" ht="13.8" x14ac:dyDescent="0.3">
      <c r="B512" s="3"/>
    </row>
    <row r="513" spans="2:2" ht="13.8" x14ac:dyDescent="0.3">
      <c r="B513" s="3"/>
    </row>
    <row r="514" spans="2:2" ht="13.8" x14ac:dyDescent="0.3">
      <c r="B514" s="3"/>
    </row>
    <row r="515" spans="2:2" ht="13.8" x14ac:dyDescent="0.3">
      <c r="B515" s="3"/>
    </row>
    <row r="516" spans="2:2" ht="13.8" x14ac:dyDescent="0.3">
      <c r="B516" s="3"/>
    </row>
    <row r="517" spans="2:2" ht="13.8" x14ac:dyDescent="0.3">
      <c r="B517" s="3"/>
    </row>
    <row r="518" spans="2:2" ht="13.8" x14ac:dyDescent="0.3">
      <c r="B518" s="3"/>
    </row>
    <row r="519" spans="2:2" ht="13.8" x14ac:dyDescent="0.3">
      <c r="B519" s="3"/>
    </row>
    <row r="520" spans="2:2" ht="13.8" x14ac:dyDescent="0.3">
      <c r="B520" s="3"/>
    </row>
    <row r="521" spans="2:2" ht="13.8" x14ac:dyDescent="0.3">
      <c r="B521" s="3"/>
    </row>
    <row r="522" spans="2:2" ht="13.8" x14ac:dyDescent="0.3">
      <c r="B522" s="3"/>
    </row>
    <row r="523" spans="2:2" ht="13.8" x14ac:dyDescent="0.3">
      <c r="B523" s="3"/>
    </row>
    <row r="524" spans="2:2" ht="13.8" x14ac:dyDescent="0.3">
      <c r="B524" s="3"/>
    </row>
    <row r="525" spans="2:2" ht="13.8" x14ac:dyDescent="0.3">
      <c r="B525" s="3"/>
    </row>
    <row r="526" spans="2:2" ht="13.8" x14ac:dyDescent="0.3">
      <c r="B526" s="3"/>
    </row>
    <row r="527" spans="2:2" ht="13.8" x14ac:dyDescent="0.3">
      <c r="B527" s="3"/>
    </row>
    <row r="528" spans="2:2" ht="13.8" x14ac:dyDescent="0.3">
      <c r="B528" s="3"/>
    </row>
    <row r="529" spans="2:2" ht="13.8" x14ac:dyDescent="0.3">
      <c r="B529" s="3"/>
    </row>
    <row r="530" spans="2:2" ht="13.8" x14ac:dyDescent="0.3">
      <c r="B530" s="3"/>
    </row>
    <row r="531" spans="2:2" ht="13.8" x14ac:dyDescent="0.3">
      <c r="B531" s="3"/>
    </row>
    <row r="532" spans="2:2" ht="13.8" x14ac:dyDescent="0.3">
      <c r="B532" s="3"/>
    </row>
    <row r="533" spans="2:2" ht="13.8" x14ac:dyDescent="0.3">
      <c r="B533" s="3"/>
    </row>
    <row r="534" spans="2:2" ht="13.8" x14ac:dyDescent="0.3">
      <c r="B534" s="3"/>
    </row>
    <row r="535" spans="2:2" ht="13.8" x14ac:dyDescent="0.3">
      <c r="B535" s="3"/>
    </row>
    <row r="536" spans="2:2" ht="13.8" x14ac:dyDescent="0.3">
      <c r="B536" s="3"/>
    </row>
    <row r="537" spans="2:2" ht="13.8" x14ac:dyDescent="0.3">
      <c r="B537" s="3"/>
    </row>
    <row r="538" spans="2:2" ht="13.8" x14ac:dyDescent="0.3">
      <c r="B538" s="3"/>
    </row>
    <row r="539" spans="2:2" ht="13.8" x14ac:dyDescent="0.3">
      <c r="B539" s="3"/>
    </row>
    <row r="540" spans="2:2" ht="13.8" x14ac:dyDescent="0.3">
      <c r="B540" s="3"/>
    </row>
    <row r="541" spans="2:2" ht="13.8" x14ac:dyDescent="0.3">
      <c r="B541" s="3"/>
    </row>
    <row r="542" spans="2:2" ht="13.8" x14ac:dyDescent="0.3">
      <c r="B542" s="3"/>
    </row>
    <row r="543" spans="2:2" ht="13.8" x14ac:dyDescent="0.3">
      <c r="B543" s="3"/>
    </row>
    <row r="544" spans="2:2" ht="13.8" x14ac:dyDescent="0.3">
      <c r="B544" s="3"/>
    </row>
    <row r="545" spans="2:2" ht="13.8" x14ac:dyDescent="0.3">
      <c r="B545" s="3"/>
    </row>
    <row r="546" spans="2:2" ht="13.8" x14ac:dyDescent="0.3">
      <c r="B546" s="3"/>
    </row>
    <row r="547" spans="2:2" ht="13.8" x14ac:dyDescent="0.3">
      <c r="B547" s="3"/>
    </row>
    <row r="548" spans="2:2" ht="13.8" x14ac:dyDescent="0.3">
      <c r="B548" s="3"/>
    </row>
    <row r="549" spans="2:2" ht="13.8" x14ac:dyDescent="0.3">
      <c r="B549" s="3"/>
    </row>
    <row r="550" spans="2:2" ht="13.8" x14ac:dyDescent="0.3">
      <c r="B550" s="3"/>
    </row>
    <row r="551" spans="2:2" ht="13.8" x14ac:dyDescent="0.3">
      <c r="B551" s="3"/>
    </row>
    <row r="552" spans="2:2" ht="13.8" x14ac:dyDescent="0.3">
      <c r="B552" s="3"/>
    </row>
    <row r="553" spans="2:2" ht="13.8" x14ac:dyDescent="0.3">
      <c r="B553" s="3"/>
    </row>
    <row r="554" spans="2:2" ht="13.8" x14ac:dyDescent="0.3">
      <c r="B554" s="3"/>
    </row>
    <row r="555" spans="2:2" ht="13.8" x14ac:dyDescent="0.3">
      <c r="B555" s="3"/>
    </row>
    <row r="556" spans="2:2" ht="13.8" x14ac:dyDescent="0.3">
      <c r="B556" s="3"/>
    </row>
    <row r="557" spans="2:2" ht="13.8" x14ac:dyDescent="0.3">
      <c r="B557" s="3"/>
    </row>
    <row r="558" spans="2:2" ht="13.8" x14ac:dyDescent="0.3">
      <c r="B558" s="3"/>
    </row>
    <row r="559" spans="2:2" ht="13.8" x14ac:dyDescent="0.3">
      <c r="B559" s="3"/>
    </row>
    <row r="560" spans="2:2" ht="13.8" x14ac:dyDescent="0.3">
      <c r="B560" s="3"/>
    </row>
    <row r="561" spans="2:2" ht="13.8" x14ac:dyDescent="0.3">
      <c r="B561" s="3"/>
    </row>
    <row r="562" spans="2:2" ht="13.8" x14ac:dyDescent="0.3">
      <c r="B562" s="3"/>
    </row>
    <row r="563" spans="2:2" ht="13.8" x14ac:dyDescent="0.3">
      <c r="B563" s="3"/>
    </row>
    <row r="564" spans="2:2" ht="13.8" x14ac:dyDescent="0.3">
      <c r="B564" s="3"/>
    </row>
    <row r="565" spans="2:2" ht="13.8" x14ac:dyDescent="0.3">
      <c r="B565" s="3"/>
    </row>
    <row r="566" spans="2:2" ht="13.8" x14ac:dyDescent="0.3">
      <c r="B566" s="3"/>
    </row>
    <row r="567" spans="2:2" ht="13.8" x14ac:dyDescent="0.3">
      <c r="B567" s="3"/>
    </row>
    <row r="568" spans="2:2" ht="13.8" x14ac:dyDescent="0.3">
      <c r="B568" s="3"/>
    </row>
    <row r="569" spans="2:2" ht="13.8" x14ac:dyDescent="0.3">
      <c r="B569" s="3"/>
    </row>
    <row r="570" spans="2:2" ht="13.8" x14ac:dyDescent="0.3">
      <c r="B570" s="3"/>
    </row>
    <row r="571" spans="2:2" ht="13.8" x14ac:dyDescent="0.3">
      <c r="B571" s="3"/>
    </row>
    <row r="572" spans="2:2" ht="13.8" x14ac:dyDescent="0.3">
      <c r="B572" s="3"/>
    </row>
    <row r="573" spans="2:2" ht="13.8" x14ac:dyDescent="0.3">
      <c r="B573" s="3"/>
    </row>
    <row r="574" spans="2:2" ht="13.8" x14ac:dyDescent="0.3">
      <c r="B574" s="3"/>
    </row>
    <row r="575" spans="2:2" ht="13.8" x14ac:dyDescent="0.3">
      <c r="B575" s="3"/>
    </row>
    <row r="576" spans="2:2" ht="13.8" x14ac:dyDescent="0.3">
      <c r="B576" s="3"/>
    </row>
    <row r="577" spans="2:2" ht="13.8" x14ac:dyDescent="0.3">
      <c r="B577" s="3"/>
    </row>
    <row r="578" spans="2:2" ht="13.8" x14ac:dyDescent="0.3">
      <c r="B578" s="3"/>
    </row>
    <row r="579" spans="2:2" ht="13.8" x14ac:dyDescent="0.3">
      <c r="B579" s="3"/>
    </row>
    <row r="580" spans="2:2" ht="13.8" x14ac:dyDescent="0.3">
      <c r="B580" s="3"/>
    </row>
    <row r="581" spans="2:2" ht="13.8" x14ac:dyDescent="0.3">
      <c r="B581" s="3"/>
    </row>
    <row r="582" spans="2:2" ht="13.8" x14ac:dyDescent="0.3">
      <c r="B582" s="3"/>
    </row>
    <row r="583" spans="2:2" ht="13.8" x14ac:dyDescent="0.3">
      <c r="B583" s="3"/>
    </row>
    <row r="584" spans="2:2" ht="13.8" x14ac:dyDescent="0.3">
      <c r="B584" s="3"/>
    </row>
    <row r="585" spans="2:2" ht="13.8" x14ac:dyDescent="0.3">
      <c r="B585" s="3"/>
    </row>
    <row r="586" spans="2:2" ht="13.8" x14ac:dyDescent="0.3">
      <c r="B586" s="3"/>
    </row>
    <row r="587" spans="2:2" ht="13.8" x14ac:dyDescent="0.3">
      <c r="B587" s="3"/>
    </row>
    <row r="588" spans="2:2" ht="13.8" x14ac:dyDescent="0.3">
      <c r="B588" s="3"/>
    </row>
    <row r="589" spans="2:2" ht="13.8" x14ac:dyDescent="0.3">
      <c r="B589" s="3"/>
    </row>
    <row r="590" spans="2:2" ht="13.8" x14ac:dyDescent="0.3">
      <c r="B590" s="3"/>
    </row>
    <row r="591" spans="2:2" ht="13.8" x14ac:dyDescent="0.3">
      <c r="B591" s="3"/>
    </row>
    <row r="592" spans="2:2" ht="13.8" x14ac:dyDescent="0.3">
      <c r="B592" s="3"/>
    </row>
    <row r="593" spans="2:2" ht="13.8" x14ac:dyDescent="0.3">
      <c r="B593" s="3"/>
    </row>
    <row r="594" spans="2:2" ht="13.8" x14ac:dyDescent="0.3">
      <c r="B594" s="3"/>
    </row>
    <row r="595" spans="2:2" ht="13.8" x14ac:dyDescent="0.3">
      <c r="B595" s="3"/>
    </row>
    <row r="596" spans="2:2" ht="13.8" x14ac:dyDescent="0.3">
      <c r="B596" s="3"/>
    </row>
    <row r="597" spans="2:2" ht="13.8" x14ac:dyDescent="0.3">
      <c r="B597" s="3"/>
    </row>
    <row r="598" spans="2:2" ht="13.8" x14ac:dyDescent="0.3">
      <c r="B598" s="3"/>
    </row>
    <row r="599" spans="2:2" ht="13.8" x14ac:dyDescent="0.3">
      <c r="B599" s="3"/>
    </row>
    <row r="600" spans="2:2" ht="13.8" x14ac:dyDescent="0.3">
      <c r="B600" s="3"/>
    </row>
    <row r="601" spans="2:2" ht="13.8" x14ac:dyDescent="0.3">
      <c r="B601" s="3"/>
    </row>
    <row r="602" spans="2:2" ht="13.8" x14ac:dyDescent="0.3">
      <c r="B602" s="3"/>
    </row>
    <row r="603" spans="2:2" ht="13.8" x14ac:dyDescent="0.3">
      <c r="B603" s="3"/>
    </row>
    <row r="604" spans="2:2" ht="13.8" x14ac:dyDescent="0.3">
      <c r="B604" s="3"/>
    </row>
    <row r="605" spans="2:2" ht="13.8" x14ac:dyDescent="0.3">
      <c r="B605" s="3"/>
    </row>
    <row r="606" spans="2:2" ht="13.8" x14ac:dyDescent="0.3">
      <c r="B606" s="3"/>
    </row>
    <row r="607" spans="2:2" ht="13.8" x14ac:dyDescent="0.3">
      <c r="B607" s="3"/>
    </row>
    <row r="608" spans="2:2" ht="13.8" x14ac:dyDescent="0.3">
      <c r="B608" s="3"/>
    </row>
    <row r="609" spans="2:2" ht="13.8" x14ac:dyDescent="0.3">
      <c r="B609" s="3"/>
    </row>
    <row r="610" spans="2:2" ht="13.8" x14ac:dyDescent="0.3">
      <c r="B610" s="3"/>
    </row>
    <row r="611" spans="2:2" ht="13.8" x14ac:dyDescent="0.3">
      <c r="B611" s="3"/>
    </row>
    <row r="612" spans="2:2" ht="13.8" x14ac:dyDescent="0.3">
      <c r="B612" s="3"/>
    </row>
    <row r="613" spans="2:2" ht="13.8" x14ac:dyDescent="0.3">
      <c r="B613" s="3"/>
    </row>
    <row r="614" spans="2:2" ht="13.8" x14ac:dyDescent="0.3">
      <c r="B614" s="3"/>
    </row>
    <row r="615" spans="2:2" ht="13.8" x14ac:dyDescent="0.3">
      <c r="B615" s="3"/>
    </row>
    <row r="616" spans="2:2" ht="13.8" x14ac:dyDescent="0.3">
      <c r="B616" s="3"/>
    </row>
    <row r="617" spans="2:2" ht="13.8" x14ac:dyDescent="0.3">
      <c r="B617" s="3"/>
    </row>
    <row r="618" spans="2:2" ht="13.8" x14ac:dyDescent="0.3">
      <c r="B618" s="3"/>
    </row>
    <row r="619" spans="2:2" ht="13.8" x14ac:dyDescent="0.3">
      <c r="B619" s="3"/>
    </row>
    <row r="620" spans="2:2" ht="13.8" x14ac:dyDescent="0.3">
      <c r="B620" s="3"/>
    </row>
    <row r="621" spans="2:2" ht="13.8" x14ac:dyDescent="0.3">
      <c r="B621" s="3"/>
    </row>
    <row r="622" spans="2:2" ht="13.8" x14ac:dyDescent="0.3">
      <c r="B622" s="3"/>
    </row>
    <row r="623" spans="2:2" ht="13.8" x14ac:dyDescent="0.3">
      <c r="B623" s="3"/>
    </row>
    <row r="624" spans="2:2" ht="13.8" x14ac:dyDescent="0.3">
      <c r="B624" s="3"/>
    </row>
    <row r="625" spans="2:2" ht="13.8" x14ac:dyDescent="0.3">
      <c r="B625" s="3"/>
    </row>
    <row r="626" spans="2:2" ht="13.8" x14ac:dyDescent="0.3">
      <c r="B626" s="3"/>
    </row>
    <row r="627" spans="2:2" ht="13.8" x14ac:dyDescent="0.3">
      <c r="B627" s="3"/>
    </row>
    <row r="628" spans="2:2" ht="13.8" x14ac:dyDescent="0.3">
      <c r="B628" s="3"/>
    </row>
    <row r="629" spans="2:2" ht="13.8" x14ac:dyDescent="0.3">
      <c r="B629" s="3"/>
    </row>
    <row r="630" spans="2:2" ht="13.8" x14ac:dyDescent="0.3">
      <c r="B630" s="3"/>
    </row>
    <row r="631" spans="2:2" ht="13.8" x14ac:dyDescent="0.3">
      <c r="B631" s="3"/>
    </row>
    <row r="632" spans="2:2" ht="13.8" x14ac:dyDescent="0.3">
      <c r="B632" s="3"/>
    </row>
    <row r="633" spans="2:2" ht="13.8" x14ac:dyDescent="0.3">
      <c r="B633" s="3"/>
    </row>
    <row r="634" spans="2:2" ht="13.8" x14ac:dyDescent="0.3">
      <c r="B634" s="3"/>
    </row>
    <row r="635" spans="2:2" ht="13.8" x14ac:dyDescent="0.3">
      <c r="B635" s="3"/>
    </row>
    <row r="636" spans="2:2" ht="13.8" x14ac:dyDescent="0.3">
      <c r="B636" s="3"/>
    </row>
    <row r="637" spans="2:2" ht="13.8" x14ac:dyDescent="0.3">
      <c r="B637" s="3"/>
    </row>
    <row r="638" spans="2:2" ht="13.8" x14ac:dyDescent="0.3">
      <c r="B638" s="3"/>
    </row>
    <row r="639" spans="2:2" ht="13.8" x14ac:dyDescent="0.3">
      <c r="B639" s="3"/>
    </row>
    <row r="640" spans="2:2" ht="13.8" x14ac:dyDescent="0.3">
      <c r="B640" s="3"/>
    </row>
    <row r="641" spans="2:2" ht="13.8" x14ac:dyDescent="0.3">
      <c r="B641" s="3"/>
    </row>
    <row r="642" spans="2:2" ht="13.8" x14ac:dyDescent="0.3">
      <c r="B642" s="3"/>
    </row>
    <row r="643" spans="2:2" ht="13.8" x14ac:dyDescent="0.3">
      <c r="B643" s="3"/>
    </row>
    <row r="644" spans="2:2" ht="13.8" x14ac:dyDescent="0.3">
      <c r="B644" s="3"/>
    </row>
    <row r="645" spans="2:2" ht="13.8" x14ac:dyDescent="0.3">
      <c r="B645" s="3"/>
    </row>
    <row r="646" spans="2:2" ht="13.8" x14ac:dyDescent="0.3">
      <c r="B646" s="3"/>
    </row>
    <row r="647" spans="2:2" ht="13.8" x14ac:dyDescent="0.3">
      <c r="B647" s="3"/>
    </row>
    <row r="648" spans="2:2" ht="13.8" x14ac:dyDescent="0.3">
      <c r="B648" s="3"/>
    </row>
    <row r="649" spans="2:2" ht="13.8" x14ac:dyDescent="0.3">
      <c r="B649" s="3"/>
    </row>
    <row r="650" spans="2:2" ht="13.8" x14ac:dyDescent="0.3">
      <c r="B650" s="3"/>
    </row>
    <row r="651" spans="2:2" ht="13.8" x14ac:dyDescent="0.3">
      <c r="B651" s="3"/>
    </row>
    <row r="652" spans="2:2" ht="13.8" x14ac:dyDescent="0.3">
      <c r="B652" s="3"/>
    </row>
    <row r="653" spans="2:2" ht="13.8" x14ac:dyDescent="0.3">
      <c r="B653" s="3"/>
    </row>
    <row r="654" spans="2:2" ht="13.8" x14ac:dyDescent="0.3">
      <c r="B654" s="3"/>
    </row>
    <row r="655" spans="2:2" ht="13.8" x14ac:dyDescent="0.3">
      <c r="B655" s="3"/>
    </row>
    <row r="656" spans="2:2" ht="13.8" x14ac:dyDescent="0.3">
      <c r="B656" s="3"/>
    </row>
    <row r="657" spans="2:2" ht="13.8" x14ac:dyDescent="0.3">
      <c r="B657" s="3"/>
    </row>
    <row r="658" spans="2:2" ht="13.8" x14ac:dyDescent="0.3">
      <c r="B658" s="3"/>
    </row>
    <row r="659" spans="2:2" ht="13.8" x14ac:dyDescent="0.3">
      <c r="B659" s="3"/>
    </row>
    <row r="660" spans="2:2" ht="13.8" x14ac:dyDescent="0.3">
      <c r="B660" s="3"/>
    </row>
    <row r="661" spans="2:2" ht="13.8" x14ac:dyDescent="0.3">
      <c r="B661" s="3"/>
    </row>
    <row r="662" spans="2:2" ht="13.8" x14ac:dyDescent="0.3">
      <c r="B662" s="3"/>
    </row>
    <row r="663" spans="2:2" ht="13.8" x14ac:dyDescent="0.3">
      <c r="B663" s="3"/>
    </row>
    <row r="664" spans="2:2" ht="13.8" x14ac:dyDescent="0.3">
      <c r="B664" s="3"/>
    </row>
    <row r="665" spans="2:2" ht="13.8" x14ac:dyDescent="0.3">
      <c r="B665" s="3"/>
    </row>
    <row r="666" spans="2:2" ht="13.8" x14ac:dyDescent="0.3">
      <c r="B666" s="3"/>
    </row>
    <row r="667" spans="2:2" ht="13.8" x14ac:dyDescent="0.3">
      <c r="B667" s="3"/>
    </row>
    <row r="668" spans="2:2" ht="13.8" x14ac:dyDescent="0.3">
      <c r="B668" s="3"/>
    </row>
    <row r="669" spans="2:2" ht="13.8" x14ac:dyDescent="0.3">
      <c r="B669" s="3"/>
    </row>
    <row r="670" spans="2:2" ht="13.8" x14ac:dyDescent="0.3">
      <c r="B670" s="3"/>
    </row>
    <row r="671" spans="2:2" ht="13.8" x14ac:dyDescent="0.3">
      <c r="B671" s="3"/>
    </row>
    <row r="672" spans="2:2" ht="13.8" x14ac:dyDescent="0.3">
      <c r="B672" s="3"/>
    </row>
    <row r="673" spans="2:2" ht="13.8" x14ac:dyDescent="0.3">
      <c r="B673" s="3"/>
    </row>
    <row r="674" spans="2:2" ht="13.8" x14ac:dyDescent="0.3">
      <c r="B674" s="3"/>
    </row>
    <row r="675" spans="2:2" ht="13.8" x14ac:dyDescent="0.3">
      <c r="B675" s="3"/>
    </row>
    <row r="676" spans="2:2" ht="13.8" x14ac:dyDescent="0.3">
      <c r="B676" s="3"/>
    </row>
    <row r="677" spans="2:2" ht="13.8" x14ac:dyDescent="0.3">
      <c r="B677" s="3"/>
    </row>
    <row r="678" spans="2:2" ht="13.8" x14ac:dyDescent="0.3">
      <c r="B678" s="3"/>
    </row>
    <row r="679" spans="2:2" ht="13.8" x14ac:dyDescent="0.3">
      <c r="B679" s="3"/>
    </row>
    <row r="680" spans="2:2" ht="13.8" x14ac:dyDescent="0.3">
      <c r="B680" s="3"/>
    </row>
    <row r="681" spans="2:2" ht="13.8" x14ac:dyDescent="0.3">
      <c r="B681" s="3"/>
    </row>
    <row r="682" spans="2:2" ht="13.8" x14ac:dyDescent="0.3">
      <c r="B682" s="3"/>
    </row>
    <row r="683" spans="2:2" ht="13.8" x14ac:dyDescent="0.3">
      <c r="B683" s="3"/>
    </row>
    <row r="684" spans="2:2" ht="13.8" x14ac:dyDescent="0.3">
      <c r="B684" s="3"/>
    </row>
    <row r="685" spans="2:2" ht="13.8" x14ac:dyDescent="0.3">
      <c r="B685" s="3"/>
    </row>
    <row r="686" spans="2:2" ht="13.8" x14ac:dyDescent="0.3">
      <c r="B686" s="3"/>
    </row>
    <row r="687" spans="2:2" ht="13.8" x14ac:dyDescent="0.3">
      <c r="B687" s="3"/>
    </row>
    <row r="688" spans="2:2" ht="13.8" x14ac:dyDescent="0.3">
      <c r="B688" s="3"/>
    </row>
    <row r="689" spans="2:2" ht="13.8" x14ac:dyDescent="0.3">
      <c r="B689" s="3"/>
    </row>
    <row r="690" spans="2:2" ht="13.8" x14ac:dyDescent="0.3">
      <c r="B690" s="3"/>
    </row>
    <row r="691" spans="2:2" ht="13.8" x14ac:dyDescent="0.3">
      <c r="B691" s="3"/>
    </row>
    <row r="692" spans="2:2" ht="13.8" x14ac:dyDescent="0.3">
      <c r="B692" s="3"/>
    </row>
    <row r="693" spans="2:2" ht="13.8" x14ac:dyDescent="0.3">
      <c r="B693" s="3"/>
    </row>
    <row r="694" spans="2:2" ht="13.8" x14ac:dyDescent="0.3">
      <c r="B694" s="3"/>
    </row>
    <row r="695" spans="2:2" ht="13.8" x14ac:dyDescent="0.3">
      <c r="B695" s="3"/>
    </row>
    <row r="696" spans="2:2" ht="13.8" x14ac:dyDescent="0.3">
      <c r="B696" s="3"/>
    </row>
    <row r="697" spans="2:2" ht="13.8" x14ac:dyDescent="0.3">
      <c r="B697" s="3"/>
    </row>
    <row r="698" spans="2:2" ht="13.8" x14ac:dyDescent="0.3">
      <c r="B698" s="3"/>
    </row>
    <row r="699" spans="2:2" ht="13.8" x14ac:dyDescent="0.3">
      <c r="B699" s="3"/>
    </row>
    <row r="700" spans="2:2" ht="13.8" x14ac:dyDescent="0.3">
      <c r="B700" s="3"/>
    </row>
    <row r="701" spans="2:2" ht="13.8" x14ac:dyDescent="0.3">
      <c r="B701" s="3"/>
    </row>
    <row r="702" spans="2:2" ht="13.8" x14ac:dyDescent="0.3">
      <c r="B702" s="3"/>
    </row>
    <row r="703" spans="2:2" ht="13.8" x14ac:dyDescent="0.3">
      <c r="B703" s="3"/>
    </row>
    <row r="704" spans="2:2" ht="13.8" x14ac:dyDescent="0.3">
      <c r="B704" s="3"/>
    </row>
    <row r="705" spans="2:2" ht="13.8" x14ac:dyDescent="0.3">
      <c r="B705" s="3"/>
    </row>
    <row r="706" spans="2:2" ht="13.8" x14ac:dyDescent="0.3">
      <c r="B706" s="3"/>
    </row>
    <row r="707" spans="2:2" ht="13.8" x14ac:dyDescent="0.3">
      <c r="B707" s="3"/>
    </row>
    <row r="708" spans="2:2" ht="13.8" x14ac:dyDescent="0.3">
      <c r="B708" s="3"/>
    </row>
    <row r="709" spans="2:2" ht="13.8" x14ac:dyDescent="0.3">
      <c r="B709" s="3"/>
    </row>
    <row r="710" spans="2:2" ht="13.8" x14ac:dyDescent="0.3">
      <c r="B710" s="3"/>
    </row>
    <row r="711" spans="2:2" ht="13.8" x14ac:dyDescent="0.3">
      <c r="B711" s="3"/>
    </row>
    <row r="712" spans="2:2" ht="13.8" x14ac:dyDescent="0.3">
      <c r="B712" s="3"/>
    </row>
    <row r="713" spans="2:2" ht="13.8" x14ac:dyDescent="0.3">
      <c r="B713" s="3"/>
    </row>
    <row r="714" spans="2:2" ht="13.8" x14ac:dyDescent="0.3">
      <c r="B714" s="3"/>
    </row>
    <row r="715" spans="2:2" ht="13.8" x14ac:dyDescent="0.3">
      <c r="B715" s="3"/>
    </row>
    <row r="716" spans="2:2" ht="13.8" x14ac:dyDescent="0.3">
      <c r="B716" s="3"/>
    </row>
    <row r="717" spans="2:2" ht="13.8" x14ac:dyDescent="0.3">
      <c r="B717" s="3"/>
    </row>
    <row r="718" spans="2:2" ht="13.8" x14ac:dyDescent="0.3">
      <c r="B718" s="3"/>
    </row>
    <row r="719" spans="2:2" ht="13.8" x14ac:dyDescent="0.3">
      <c r="B719" s="3"/>
    </row>
    <row r="720" spans="2:2" ht="13.8" x14ac:dyDescent="0.3">
      <c r="B720" s="3"/>
    </row>
    <row r="721" spans="2:2" ht="13.8" x14ac:dyDescent="0.3">
      <c r="B721" s="3"/>
    </row>
    <row r="722" spans="2:2" ht="13.8" x14ac:dyDescent="0.3">
      <c r="B722" s="3"/>
    </row>
    <row r="723" spans="2:2" ht="13.8" x14ac:dyDescent="0.3">
      <c r="B723" s="3"/>
    </row>
    <row r="724" spans="2:2" ht="13.8" x14ac:dyDescent="0.3">
      <c r="B724" s="3"/>
    </row>
    <row r="725" spans="2:2" ht="13.8" x14ac:dyDescent="0.3">
      <c r="B725" s="3"/>
    </row>
    <row r="726" spans="2:2" ht="13.8" x14ac:dyDescent="0.3">
      <c r="B726" s="3"/>
    </row>
    <row r="727" spans="2:2" ht="13.8" x14ac:dyDescent="0.3">
      <c r="B727" s="3"/>
    </row>
    <row r="728" spans="2:2" ht="13.8" x14ac:dyDescent="0.3">
      <c r="B728" s="3"/>
    </row>
    <row r="729" spans="2:2" ht="13.8" x14ac:dyDescent="0.3">
      <c r="B729" s="3"/>
    </row>
    <row r="730" spans="2:2" ht="13.8" x14ac:dyDescent="0.3">
      <c r="B730" s="3"/>
    </row>
    <row r="731" spans="2:2" ht="13.8" x14ac:dyDescent="0.3">
      <c r="B731" s="3"/>
    </row>
    <row r="732" spans="2:2" ht="13.8" x14ac:dyDescent="0.3">
      <c r="B732" s="3"/>
    </row>
    <row r="733" spans="2:2" ht="13.8" x14ac:dyDescent="0.3">
      <c r="B733" s="3"/>
    </row>
    <row r="734" spans="2:2" ht="13.8" x14ac:dyDescent="0.3">
      <c r="B734" s="3"/>
    </row>
    <row r="735" spans="2:2" ht="13.8" x14ac:dyDescent="0.3">
      <c r="B735" s="3"/>
    </row>
    <row r="736" spans="2:2" ht="13.8" x14ac:dyDescent="0.3">
      <c r="B736" s="3"/>
    </row>
    <row r="737" spans="2:2" ht="13.8" x14ac:dyDescent="0.3">
      <c r="B737" s="3"/>
    </row>
    <row r="738" spans="2:2" ht="13.8" x14ac:dyDescent="0.3">
      <c r="B738" s="3"/>
    </row>
    <row r="739" spans="2:2" ht="13.8" x14ac:dyDescent="0.3">
      <c r="B739" s="3"/>
    </row>
    <row r="740" spans="2:2" ht="13.8" x14ac:dyDescent="0.3">
      <c r="B740" s="3"/>
    </row>
    <row r="741" spans="2:2" ht="13.8" x14ac:dyDescent="0.3">
      <c r="B741" s="3"/>
    </row>
    <row r="742" spans="2:2" ht="13.8" x14ac:dyDescent="0.3">
      <c r="B742" s="3"/>
    </row>
    <row r="743" spans="2:2" ht="13.8" x14ac:dyDescent="0.3">
      <c r="B743" s="3"/>
    </row>
    <row r="744" spans="2:2" ht="13.8" x14ac:dyDescent="0.3">
      <c r="B744" s="3"/>
    </row>
    <row r="745" spans="2:2" ht="13.8" x14ac:dyDescent="0.3">
      <c r="B745" s="3"/>
    </row>
    <row r="746" spans="2:2" ht="13.8" x14ac:dyDescent="0.3">
      <c r="B746" s="3"/>
    </row>
    <row r="747" spans="2:2" ht="13.8" x14ac:dyDescent="0.3">
      <c r="B747" s="3"/>
    </row>
    <row r="748" spans="2:2" ht="13.8" x14ac:dyDescent="0.3">
      <c r="B748" s="3"/>
    </row>
    <row r="749" spans="2:2" ht="13.8" x14ac:dyDescent="0.3">
      <c r="B749" s="3"/>
    </row>
    <row r="750" spans="2:2" ht="13.8" x14ac:dyDescent="0.3">
      <c r="B750" s="3"/>
    </row>
    <row r="751" spans="2:2" ht="13.8" x14ac:dyDescent="0.3">
      <c r="B751" s="3"/>
    </row>
    <row r="752" spans="2:2" ht="13.8" x14ac:dyDescent="0.3">
      <c r="B752" s="3"/>
    </row>
    <row r="753" spans="2:2" ht="13.8" x14ac:dyDescent="0.3">
      <c r="B753" s="3"/>
    </row>
    <row r="754" spans="2:2" ht="13.8" x14ac:dyDescent="0.3">
      <c r="B754" s="3"/>
    </row>
    <row r="755" spans="2:2" ht="13.8" x14ac:dyDescent="0.3">
      <c r="B755" s="3"/>
    </row>
    <row r="756" spans="2:2" ht="13.8" x14ac:dyDescent="0.3">
      <c r="B756" s="3"/>
    </row>
    <row r="757" spans="2:2" ht="13.8" x14ac:dyDescent="0.3">
      <c r="B757" s="3"/>
    </row>
    <row r="758" spans="2:2" ht="13.8" x14ac:dyDescent="0.3">
      <c r="B758" s="3"/>
    </row>
    <row r="759" spans="2:2" ht="13.8" x14ac:dyDescent="0.3">
      <c r="B759" s="3"/>
    </row>
    <row r="760" spans="2:2" ht="13.8" x14ac:dyDescent="0.3">
      <c r="B760" s="3"/>
    </row>
    <row r="761" spans="2:2" ht="13.8" x14ac:dyDescent="0.3">
      <c r="B761" s="3"/>
    </row>
    <row r="762" spans="2:2" ht="13.8" x14ac:dyDescent="0.3">
      <c r="B762" s="3"/>
    </row>
    <row r="763" spans="2:2" ht="13.8" x14ac:dyDescent="0.3">
      <c r="B763" s="3"/>
    </row>
    <row r="764" spans="2:2" ht="13.8" x14ac:dyDescent="0.3">
      <c r="B764" s="3"/>
    </row>
    <row r="765" spans="2:2" ht="13.8" x14ac:dyDescent="0.3">
      <c r="B765" s="3"/>
    </row>
    <row r="766" spans="2:2" ht="13.8" x14ac:dyDescent="0.3">
      <c r="B766" s="3"/>
    </row>
    <row r="767" spans="2:2" ht="13.8" x14ac:dyDescent="0.3">
      <c r="B767" s="3"/>
    </row>
    <row r="768" spans="2:2" ht="13.8" x14ac:dyDescent="0.3">
      <c r="B768" s="3"/>
    </row>
    <row r="769" spans="2:2" ht="13.8" x14ac:dyDescent="0.3">
      <c r="B769" s="3"/>
    </row>
    <row r="770" spans="2:2" ht="13.8" x14ac:dyDescent="0.3">
      <c r="B770" s="3"/>
    </row>
    <row r="771" spans="2:2" ht="13.8" x14ac:dyDescent="0.3">
      <c r="B771" s="3"/>
    </row>
    <row r="772" spans="2:2" ht="13.8" x14ac:dyDescent="0.3">
      <c r="B772" s="3"/>
    </row>
    <row r="773" spans="2:2" ht="13.8" x14ac:dyDescent="0.3">
      <c r="B773" s="3"/>
    </row>
    <row r="774" spans="2:2" ht="13.8" x14ac:dyDescent="0.3">
      <c r="B774" s="3"/>
    </row>
    <row r="775" spans="2:2" ht="13.8" x14ac:dyDescent="0.3">
      <c r="B775" s="3"/>
    </row>
    <row r="776" spans="2:2" ht="13.8" x14ac:dyDescent="0.3">
      <c r="B776" s="3"/>
    </row>
    <row r="777" spans="2:2" ht="13.8" x14ac:dyDescent="0.3">
      <c r="B777" s="3"/>
    </row>
    <row r="778" spans="2:2" ht="13.8" x14ac:dyDescent="0.3">
      <c r="B778" s="3"/>
    </row>
    <row r="779" spans="2:2" ht="13.8" x14ac:dyDescent="0.3">
      <c r="B779" s="3"/>
    </row>
    <row r="780" spans="2:2" ht="13.8" x14ac:dyDescent="0.3">
      <c r="B780" s="3"/>
    </row>
    <row r="781" spans="2:2" ht="13.8" x14ac:dyDescent="0.3">
      <c r="B781" s="3"/>
    </row>
    <row r="782" spans="2:2" ht="13.8" x14ac:dyDescent="0.3">
      <c r="B782" s="3"/>
    </row>
    <row r="783" spans="2:2" ht="13.8" x14ac:dyDescent="0.3">
      <c r="B783" s="3"/>
    </row>
    <row r="784" spans="2:2" ht="13.8" x14ac:dyDescent="0.3">
      <c r="B784" s="3"/>
    </row>
    <row r="785" spans="2:2" ht="13.8" x14ac:dyDescent="0.3">
      <c r="B785" s="3"/>
    </row>
    <row r="786" spans="2:2" ht="13.8" x14ac:dyDescent="0.3">
      <c r="B786" s="3"/>
    </row>
    <row r="787" spans="2:2" ht="13.8" x14ac:dyDescent="0.3">
      <c r="B787" s="3"/>
    </row>
    <row r="788" spans="2:2" ht="13.8" x14ac:dyDescent="0.3">
      <c r="B788" s="3"/>
    </row>
    <row r="789" spans="2:2" ht="13.8" x14ac:dyDescent="0.3">
      <c r="B789" s="3"/>
    </row>
    <row r="790" spans="2:2" ht="13.8" x14ac:dyDescent="0.3">
      <c r="B790" s="3"/>
    </row>
    <row r="791" spans="2:2" ht="13.8" x14ac:dyDescent="0.3">
      <c r="B791" s="3"/>
    </row>
    <row r="792" spans="2:2" ht="13.8" x14ac:dyDescent="0.3">
      <c r="B792" s="3"/>
    </row>
    <row r="793" spans="2:2" ht="13.8" x14ac:dyDescent="0.3">
      <c r="B793" s="3"/>
    </row>
    <row r="794" spans="2:2" ht="13.8" x14ac:dyDescent="0.3">
      <c r="B794" s="3"/>
    </row>
    <row r="795" spans="2:2" ht="13.8" x14ac:dyDescent="0.3">
      <c r="B795" s="3"/>
    </row>
    <row r="796" spans="2:2" ht="13.8" x14ac:dyDescent="0.3">
      <c r="B796" s="3"/>
    </row>
    <row r="797" spans="2:2" ht="13.8" x14ac:dyDescent="0.3">
      <c r="B797" s="3"/>
    </row>
    <row r="798" spans="2:2" ht="13.8" x14ac:dyDescent="0.3">
      <c r="B798" s="3"/>
    </row>
    <row r="799" spans="2:2" ht="13.8" x14ac:dyDescent="0.3">
      <c r="B799" s="3"/>
    </row>
    <row r="800" spans="2:2" ht="13.8" x14ac:dyDescent="0.3">
      <c r="B800" s="3"/>
    </row>
    <row r="801" spans="2:2" ht="13.8" x14ac:dyDescent="0.3">
      <c r="B801" s="3"/>
    </row>
    <row r="802" spans="2:2" ht="13.8" x14ac:dyDescent="0.3">
      <c r="B802" s="3"/>
    </row>
    <row r="803" spans="2:2" ht="13.8" x14ac:dyDescent="0.3">
      <c r="B803" s="3"/>
    </row>
    <row r="804" spans="2:2" ht="13.8" x14ac:dyDescent="0.3">
      <c r="B804" s="3"/>
    </row>
    <row r="805" spans="2:2" ht="13.8" x14ac:dyDescent="0.3">
      <c r="B805" s="3"/>
    </row>
    <row r="806" spans="2:2" ht="13.8" x14ac:dyDescent="0.3">
      <c r="B806" s="3"/>
    </row>
    <row r="807" spans="2:2" ht="13.8" x14ac:dyDescent="0.3">
      <c r="B807" s="3"/>
    </row>
    <row r="808" spans="2:2" ht="13.8" x14ac:dyDescent="0.3">
      <c r="B808" s="3"/>
    </row>
    <row r="809" spans="2:2" ht="13.8" x14ac:dyDescent="0.3">
      <c r="B809" s="3"/>
    </row>
    <row r="810" spans="2:2" ht="13.8" x14ac:dyDescent="0.3">
      <c r="B810" s="3"/>
    </row>
    <row r="811" spans="2:2" ht="13.8" x14ac:dyDescent="0.3">
      <c r="B811" s="3"/>
    </row>
    <row r="812" spans="2:2" ht="13.8" x14ac:dyDescent="0.3">
      <c r="B812" s="3"/>
    </row>
    <row r="813" spans="2:2" ht="13.8" x14ac:dyDescent="0.3">
      <c r="B813" s="3"/>
    </row>
    <row r="814" spans="2:2" ht="13.8" x14ac:dyDescent="0.3">
      <c r="B814" s="3"/>
    </row>
    <row r="815" spans="2:2" ht="13.8" x14ac:dyDescent="0.3">
      <c r="B815" s="3"/>
    </row>
    <row r="816" spans="2:2" ht="13.8" x14ac:dyDescent="0.3">
      <c r="B816" s="3"/>
    </row>
    <row r="817" spans="2:2" ht="13.8" x14ac:dyDescent="0.3">
      <c r="B817" s="3"/>
    </row>
    <row r="818" spans="2:2" ht="13.8" x14ac:dyDescent="0.3">
      <c r="B818" s="3"/>
    </row>
    <row r="819" spans="2:2" ht="13.8" x14ac:dyDescent="0.3">
      <c r="B819" s="3"/>
    </row>
    <row r="820" spans="2:2" ht="13.8" x14ac:dyDescent="0.3">
      <c r="B820" s="3"/>
    </row>
    <row r="821" spans="2:2" ht="13.8" x14ac:dyDescent="0.3">
      <c r="B821" s="3"/>
    </row>
    <row r="822" spans="2:2" ht="13.8" x14ac:dyDescent="0.3">
      <c r="B822" s="3"/>
    </row>
    <row r="823" spans="2:2" ht="13.8" x14ac:dyDescent="0.3">
      <c r="B823" s="3"/>
    </row>
    <row r="824" spans="2:2" ht="13.8" x14ac:dyDescent="0.3">
      <c r="B824" s="3"/>
    </row>
    <row r="825" spans="2:2" ht="13.8" x14ac:dyDescent="0.3">
      <c r="B825" s="3"/>
    </row>
    <row r="826" spans="2:2" ht="13.8" x14ac:dyDescent="0.3">
      <c r="B826" s="3"/>
    </row>
    <row r="827" spans="2:2" ht="13.8" x14ac:dyDescent="0.3">
      <c r="B827" s="3"/>
    </row>
    <row r="828" spans="2:2" ht="13.8" x14ac:dyDescent="0.3">
      <c r="B828" s="3"/>
    </row>
    <row r="829" spans="2:2" ht="13.8" x14ac:dyDescent="0.3">
      <c r="B829" s="3"/>
    </row>
    <row r="830" spans="2:2" ht="13.8" x14ac:dyDescent="0.3">
      <c r="B830" s="3"/>
    </row>
    <row r="831" spans="2:2" ht="13.8" x14ac:dyDescent="0.3">
      <c r="B831" s="3"/>
    </row>
    <row r="832" spans="2:2" ht="13.8" x14ac:dyDescent="0.3">
      <c r="B832" s="3"/>
    </row>
    <row r="833" spans="2:2" ht="13.8" x14ac:dyDescent="0.3">
      <c r="B833" s="3"/>
    </row>
    <row r="834" spans="2:2" ht="13.8" x14ac:dyDescent="0.3">
      <c r="B834" s="3"/>
    </row>
    <row r="835" spans="2:2" ht="13.8" x14ac:dyDescent="0.3">
      <c r="B835" s="3"/>
    </row>
    <row r="836" spans="2:2" ht="13.8" x14ac:dyDescent="0.3">
      <c r="B836" s="3"/>
    </row>
    <row r="837" spans="2:2" ht="13.8" x14ac:dyDescent="0.3">
      <c r="B837" s="3"/>
    </row>
    <row r="838" spans="2:2" ht="13.8" x14ac:dyDescent="0.3">
      <c r="B838" s="3"/>
    </row>
    <row r="839" spans="2:2" ht="13.8" x14ac:dyDescent="0.3">
      <c r="B839" s="3"/>
    </row>
    <row r="840" spans="2:2" ht="13.8" x14ac:dyDescent="0.3">
      <c r="B840" s="3"/>
    </row>
    <row r="841" spans="2:2" ht="13.8" x14ac:dyDescent="0.3">
      <c r="B841" s="3"/>
    </row>
    <row r="842" spans="2:2" ht="13.8" x14ac:dyDescent="0.3">
      <c r="B842" s="3"/>
    </row>
    <row r="843" spans="2:2" ht="13.8" x14ac:dyDescent="0.3">
      <c r="B843" s="3"/>
    </row>
    <row r="844" spans="2:2" ht="13.8" x14ac:dyDescent="0.3">
      <c r="B844" s="3"/>
    </row>
    <row r="845" spans="2:2" ht="13.8" x14ac:dyDescent="0.3">
      <c r="B845" s="3"/>
    </row>
    <row r="846" spans="2:2" ht="13.8" x14ac:dyDescent="0.3">
      <c r="B846" s="3"/>
    </row>
    <row r="847" spans="2:2" ht="13.8" x14ac:dyDescent="0.3">
      <c r="B847" s="3"/>
    </row>
    <row r="848" spans="2:2" ht="13.8" x14ac:dyDescent="0.3">
      <c r="B848" s="3"/>
    </row>
    <row r="849" spans="2:2" ht="13.8" x14ac:dyDescent="0.3">
      <c r="B849" s="3"/>
    </row>
    <row r="850" spans="2:2" ht="13.8" x14ac:dyDescent="0.3">
      <c r="B850" s="3"/>
    </row>
    <row r="851" spans="2:2" ht="13.8" x14ac:dyDescent="0.3">
      <c r="B851" s="3"/>
    </row>
    <row r="852" spans="2:2" ht="13.8" x14ac:dyDescent="0.3">
      <c r="B852" s="3"/>
    </row>
    <row r="853" spans="2:2" ht="13.8" x14ac:dyDescent="0.3">
      <c r="B853" s="3"/>
    </row>
    <row r="854" spans="2:2" ht="13.8" x14ac:dyDescent="0.3">
      <c r="B854" s="3"/>
    </row>
    <row r="855" spans="2:2" ht="13.8" x14ac:dyDescent="0.3">
      <c r="B855" s="3"/>
    </row>
    <row r="856" spans="2:2" ht="13.8" x14ac:dyDescent="0.3">
      <c r="B856" s="3"/>
    </row>
    <row r="857" spans="2:2" ht="13.8" x14ac:dyDescent="0.3">
      <c r="B857" s="3"/>
    </row>
    <row r="858" spans="2:2" ht="13.8" x14ac:dyDescent="0.3">
      <c r="B858" s="3"/>
    </row>
    <row r="859" spans="2:2" ht="13.8" x14ac:dyDescent="0.3">
      <c r="B859" s="3"/>
    </row>
    <row r="860" spans="2:2" ht="13.8" x14ac:dyDescent="0.3">
      <c r="B860" s="3"/>
    </row>
    <row r="861" spans="2:2" ht="13.8" x14ac:dyDescent="0.3">
      <c r="B861" s="3"/>
    </row>
    <row r="862" spans="2:2" ht="13.8" x14ac:dyDescent="0.3">
      <c r="B862" s="3"/>
    </row>
    <row r="863" spans="2:2" ht="13.8" x14ac:dyDescent="0.3">
      <c r="B863" s="3"/>
    </row>
    <row r="864" spans="2:2" ht="13.8" x14ac:dyDescent="0.3">
      <c r="B864" s="3"/>
    </row>
    <row r="865" spans="2:2" ht="13.8" x14ac:dyDescent="0.3">
      <c r="B865" s="3"/>
    </row>
    <row r="866" spans="2:2" ht="13.8" x14ac:dyDescent="0.3">
      <c r="B866" s="3"/>
    </row>
    <row r="867" spans="2:2" ht="13.8" x14ac:dyDescent="0.3">
      <c r="B867" s="3"/>
    </row>
    <row r="868" spans="2:2" ht="13.8" x14ac:dyDescent="0.3">
      <c r="B868" s="3"/>
    </row>
    <row r="869" spans="2:2" ht="13.8" x14ac:dyDescent="0.3">
      <c r="B869" s="3"/>
    </row>
    <row r="870" spans="2:2" ht="13.8" x14ac:dyDescent="0.3">
      <c r="B870" s="3"/>
    </row>
    <row r="871" spans="2:2" ht="13.8" x14ac:dyDescent="0.3">
      <c r="B871" s="3"/>
    </row>
    <row r="872" spans="2:2" ht="13.8" x14ac:dyDescent="0.3">
      <c r="B872" s="3"/>
    </row>
    <row r="873" spans="2:2" ht="13.8" x14ac:dyDescent="0.3">
      <c r="B873" s="3"/>
    </row>
    <row r="874" spans="2:2" ht="13.8" x14ac:dyDescent="0.3">
      <c r="B874" s="3"/>
    </row>
    <row r="875" spans="2:2" ht="13.8" x14ac:dyDescent="0.3">
      <c r="B875" s="3"/>
    </row>
    <row r="876" spans="2:2" ht="13.8" x14ac:dyDescent="0.3">
      <c r="B876" s="3"/>
    </row>
    <row r="877" spans="2:2" ht="13.8" x14ac:dyDescent="0.3">
      <c r="B877" s="3"/>
    </row>
    <row r="878" spans="2:2" ht="13.8" x14ac:dyDescent="0.3">
      <c r="B878" s="3"/>
    </row>
    <row r="879" spans="2:2" ht="13.8" x14ac:dyDescent="0.3">
      <c r="B879" s="3"/>
    </row>
    <row r="880" spans="2:2" ht="13.8" x14ac:dyDescent="0.3">
      <c r="B880" s="3"/>
    </row>
    <row r="881" spans="2:2" ht="13.8" x14ac:dyDescent="0.3">
      <c r="B881" s="3"/>
    </row>
    <row r="882" spans="2:2" ht="13.8" x14ac:dyDescent="0.3">
      <c r="B882" s="3"/>
    </row>
    <row r="883" spans="2:2" ht="13.8" x14ac:dyDescent="0.3">
      <c r="B883" s="3"/>
    </row>
    <row r="884" spans="2:2" ht="13.8" x14ac:dyDescent="0.3">
      <c r="B884" s="3"/>
    </row>
    <row r="885" spans="2:2" ht="13.8" x14ac:dyDescent="0.3">
      <c r="B885" s="3"/>
    </row>
    <row r="886" spans="2:2" ht="13.8" x14ac:dyDescent="0.3">
      <c r="B886" s="3"/>
    </row>
    <row r="887" spans="2:2" ht="13.8" x14ac:dyDescent="0.3">
      <c r="B887" s="3"/>
    </row>
    <row r="888" spans="2:2" ht="13.8" x14ac:dyDescent="0.3">
      <c r="B888" s="3"/>
    </row>
    <row r="889" spans="2:2" ht="13.8" x14ac:dyDescent="0.3">
      <c r="B889" s="3"/>
    </row>
    <row r="890" spans="2:2" ht="13.8" x14ac:dyDescent="0.3">
      <c r="B890" s="3"/>
    </row>
    <row r="891" spans="2:2" ht="13.8" x14ac:dyDescent="0.3">
      <c r="B891" s="3"/>
    </row>
    <row r="892" spans="2:2" ht="13.8" x14ac:dyDescent="0.3">
      <c r="B892" s="3"/>
    </row>
    <row r="893" spans="2:2" ht="13.8" x14ac:dyDescent="0.3">
      <c r="B893" s="3"/>
    </row>
    <row r="894" spans="2:2" ht="13.8" x14ac:dyDescent="0.3">
      <c r="B894" s="3"/>
    </row>
    <row r="895" spans="2:2" ht="13.8" x14ac:dyDescent="0.3">
      <c r="B895" s="3"/>
    </row>
    <row r="896" spans="2:2" ht="13.8" x14ac:dyDescent="0.3">
      <c r="B896" s="3"/>
    </row>
    <row r="897" spans="2:2" ht="13.8" x14ac:dyDescent="0.3">
      <c r="B897" s="3"/>
    </row>
    <row r="898" spans="2:2" ht="13.8" x14ac:dyDescent="0.3">
      <c r="B898" s="3"/>
    </row>
    <row r="899" spans="2:2" ht="13.8" x14ac:dyDescent="0.3">
      <c r="B899" s="3"/>
    </row>
    <row r="900" spans="2:2" ht="13.8" x14ac:dyDescent="0.3">
      <c r="B900" s="3"/>
    </row>
    <row r="901" spans="2:2" ht="13.8" x14ac:dyDescent="0.3">
      <c r="B901" s="3"/>
    </row>
    <row r="902" spans="2:2" ht="13.8" x14ac:dyDescent="0.3">
      <c r="B902" s="3"/>
    </row>
    <row r="903" spans="2:2" ht="13.8" x14ac:dyDescent="0.3">
      <c r="B903" s="3"/>
    </row>
    <row r="904" spans="2:2" ht="13.8" x14ac:dyDescent="0.3">
      <c r="B904" s="3"/>
    </row>
    <row r="905" spans="2:2" ht="13.8" x14ac:dyDescent="0.3">
      <c r="B905" s="3"/>
    </row>
    <row r="906" spans="2:2" ht="13.8" x14ac:dyDescent="0.3">
      <c r="B906" s="3"/>
    </row>
    <row r="907" spans="2:2" ht="13.8" x14ac:dyDescent="0.3">
      <c r="B907" s="3"/>
    </row>
    <row r="908" spans="2:2" ht="13.8" x14ac:dyDescent="0.3">
      <c r="B908" s="3"/>
    </row>
    <row r="909" spans="2:2" ht="13.8" x14ac:dyDescent="0.3">
      <c r="B909" s="3"/>
    </row>
    <row r="910" spans="2:2" ht="13.8" x14ac:dyDescent="0.3">
      <c r="B910" s="3"/>
    </row>
    <row r="911" spans="2:2" ht="13.8" x14ac:dyDescent="0.3">
      <c r="B911" s="3"/>
    </row>
    <row r="912" spans="2:2" ht="13.8" x14ac:dyDescent="0.3">
      <c r="B912" s="3"/>
    </row>
    <row r="913" spans="2:2" ht="13.8" x14ac:dyDescent="0.3">
      <c r="B913" s="3"/>
    </row>
    <row r="914" spans="2:2" ht="13.8" x14ac:dyDescent="0.3">
      <c r="B914" s="3"/>
    </row>
    <row r="915" spans="2:2" ht="13.8" x14ac:dyDescent="0.3">
      <c r="B915" s="3"/>
    </row>
    <row r="916" spans="2:2" ht="13.8" x14ac:dyDescent="0.3">
      <c r="B916" s="3"/>
    </row>
    <row r="917" spans="2:2" ht="13.8" x14ac:dyDescent="0.3">
      <c r="B917" s="3"/>
    </row>
    <row r="918" spans="2:2" ht="13.8" x14ac:dyDescent="0.3">
      <c r="B918" s="3"/>
    </row>
    <row r="919" spans="2:2" ht="13.8" x14ac:dyDescent="0.3">
      <c r="B919" s="3"/>
    </row>
    <row r="920" spans="2:2" ht="13.8" x14ac:dyDescent="0.3">
      <c r="B920" s="3"/>
    </row>
    <row r="921" spans="2:2" ht="13.8" x14ac:dyDescent="0.3">
      <c r="B921" s="3"/>
    </row>
    <row r="922" spans="2:2" ht="13.8" x14ac:dyDescent="0.3">
      <c r="B922" s="3"/>
    </row>
    <row r="923" spans="2:2" ht="13.8" x14ac:dyDescent="0.3">
      <c r="B923" s="3"/>
    </row>
    <row r="924" spans="2:2" ht="13.8" x14ac:dyDescent="0.3">
      <c r="B924" s="3"/>
    </row>
    <row r="925" spans="2:2" ht="13.8" x14ac:dyDescent="0.3">
      <c r="B925" s="3"/>
    </row>
    <row r="926" spans="2:2" ht="13.8" x14ac:dyDescent="0.3">
      <c r="B926" s="3"/>
    </row>
    <row r="927" spans="2:2" ht="13.8" x14ac:dyDescent="0.3">
      <c r="B927" s="3"/>
    </row>
    <row r="928" spans="2:2" ht="13.8" x14ac:dyDescent="0.3">
      <c r="B928" s="3"/>
    </row>
    <row r="929" spans="2:2" ht="13.8" x14ac:dyDescent="0.3">
      <c r="B929" s="3"/>
    </row>
    <row r="930" spans="2:2" ht="13.8" x14ac:dyDescent="0.3">
      <c r="B930" s="3"/>
    </row>
    <row r="931" spans="2:2" ht="13.8" x14ac:dyDescent="0.3">
      <c r="B931" s="3"/>
    </row>
    <row r="932" spans="2:2" ht="13.8" x14ac:dyDescent="0.3">
      <c r="B932" s="3"/>
    </row>
    <row r="933" spans="2:2" ht="13.8" x14ac:dyDescent="0.3">
      <c r="B933" s="3"/>
    </row>
    <row r="934" spans="2:2" ht="13.8" x14ac:dyDescent="0.3">
      <c r="B934" s="3"/>
    </row>
    <row r="935" spans="2:2" ht="13.8" x14ac:dyDescent="0.3">
      <c r="B935" s="3"/>
    </row>
    <row r="936" spans="2:2" ht="13.8" x14ac:dyDescent="0.3">
      <c r="B936" s="3"/>
    </row>
    <row r="937" spans="2:2" ht="13.8" x14ac:dyDescent="0.3">
      <c r="B937" s="3"/>
    </row>
    <row r="938" spans="2:2" ht="13.8" x14ac:dyDescent="0.3">
      <c r="B938" s="3"/>
    </row>
    <row r="939" spans="2:2" ht="13.8" x14ac:dyDescent="0.3">
      <c r="B939" s="3"/>
    </row>
    <row r="940" spans="2:2" ht="13.8" x14ac:dyDescent="0.3">
      <c r="B940" s="3"/>
    </row>
    <row r="941" spans="2:2" ht="13.8" x14ac:dyDescent="0.3">
      <c r="B941" s="3"/>
    </row>
    <row r="942" spans="2:2" ht="13.8" x14ac:dyDescent="0.3">
      <c r="B942" s="3"/>
    </row>
    <row r="943" spans="2:2" ht="13.8" x14ac:dyDescent="0.3">
      <c r="B943" s="3"/>
    </row>
    <row r="944" spans="2:2" ht="13.8" x14ac:dyDescent="0.3">
      <c r="B944" s="3"/>
    </row>
    <row r="945" spans="2:2" ht="13.8" x14ac:dyDescent="0.3">
      <c r="B945" s="3"/>
    </row>
    <row r="946" spans="2:2" ht="13.8" x14ac:dyDescent="0.3">
      <c r="B946" s="3"/>
    </row>
    <row r="947" spans="2:2" ht="13.8" x14ac:dyDescent="0.3">
      <c r="B947" s="3"/>
    </row>
    <row r="948" spans="2:2" ht="13.8" x14ac:dyDescent="0.3">
      <c r="B948" s="3"/>
    </row>
    <row r="949" spans="2:2" ht="13.8" x14ac:dyDescent="0.3">
      <c r="B949" s="3"/>
    </row>
    <row r="950" spans="2:2" ht="13.8" x14ac:dyDescent="0.3">
      <c r="B950" s="3"/>
    </row>
    <row r="951" spans="2:2" ht="13.8" x14ac:dyDescent="0.3">
      <c r="B951" s="3"/>
    </row>
    <row r="952" spans="2:2" ht="13.8" x14ac:dyDescent="0.3">
      <c r="B952" s="3"/>
    </row>
    <row r="953" spans="2:2" ht="13.8" x14ac:dyDescent="0.3">
      <c r="B953" s="3"/>
    </row>
    <row r="954" spans="2:2" ht="13.8" x14ac:dyDescent="0.3">
      <c r="B954" s="3"/>
    </row>
    <row r="955" spans="2:2" ht="13.8" x14ac:dyDescent="0.3">
      <c r="B955" s="3"/>
    </row>
    <row r="956" spans="2:2" ht="13.8" x14ac:dyDescent="0.3">
      <c r="B956" s="3"/>
    </row>
    <row r="957" spans="2:2" ht="13.8" x14ac:dyDescent="0.3">
      <c r="B957" s="3"/>
    </row>
    <row r="958" spans="2:2" ht="13.8" x14ac:dyDescent="0.3">
      <c r="B958" s="3"/>
    </row>
    <row r="959" spans="2:2" ht="13.8" x14ac:dyDescent="0.3">
      <c r="B959" s="3"/>
    </row>
    <row r="960" spans="2:2" ht="13.8" x14ac:dyDescent="0.3">
      <c r="B960" s="3"/>
    </row>
    <row r="961" spans="2:2" ht="13.8" x14ac:dyDescent="0.3">
      <c r="B961" s="3"/>
    </row>
    <row r="962" spans="2:2" ht="13.8" x14ac:dyDescent="0.3">
      <c r="B962" s="3"/>
    </row>
    <row r="963" spans="2:2" ht="13.8" x14ac:dyDescent="0.3">
      <c r="B963" s="3"/>
    </row>
    <row r="964" spans="2:2" ht="13.8" x14ac:dyDescent="0.3">
      <c r="B964" s="3"/>
    </row>
    <row r="965" spans="2:2" ht="13.8" x14ac:dyDescent="0.3">
      <c r="B965" s="3"/>
    </row>
    <row r="966" spans="2:2" ht="13.8" x14ac:dyDescent="0.3">
      <c r="B966" s="3"/>
    </row>
    <row r="967" spans="2:2" ht="13.8" x14ac:dyDescent="0.3">
      <c r="B967" s="3"/>
    </row>
    <row r="968" spans="2:2" ht="13.8" x14ac:dyDescent="0.3">
      <c r="B968" s="3"/>
    </row>
    <row r="969" spans="2:2" ht="13.8" x14ac:dyDescent="0.3">
      <c r="B969" s="3"/>
    </row>
    <row r="970" spans="2:2" ht="13.8" x14ac:dyDescent="0.3">
      <c r="B970" s="3"/>
    </row>
    <row r="971" spans="2:2" ht="13.8" x14ac:dyDescent="0.3">
      <c r="B971" s="3"/>
    </row>
    <row r="972" spans="2:2" ht="13.8" x14ac:dyDescent="0.3">
      <c r="B972" s="3"/>
    </row>
    <row r="973" spans="2:2" ht="13.8" x14ac:dyDescent="0.3">
      <c r="B973" s="3"/>
    </row>
    <row r="974" spans="2:2" ht="13.8" x14ac:dyDescent="0.3">
      <c r="B974" s="3"/>
    </row>
    <row r="975" spans="2:2" ht="13.8" x14ac:dyDescent="0.3">
      <c r="B975" s="3"/>
    </row>
    <row r="976" spans="2:2" ht="13.8" x14ac:dyDescent="0.3">
      <c r="B976" s="3"/>
    </row>
    <row r="977" spans="2:2" ht="13.8" x14ac:dyDescent="0.3">
      <c r="B977" s="3"/>
    </row>
    <row r="978" spans="2:2" ht="13.8" x14ac:dyDescent="0.3">
      <c r="B978" s="3"/>
    </row>
    <row r="979" spans="2:2" ht="13.8" x14ac:dyDescent="0.3">
      <c r="B979" s="3"/>
    </row>
    <row r="980" spans="2:2" ht="13.8" x14ac:dyDescent="0.3">
      <c r="B980" s="3"/>
    </row>
    <row r="981" spans="2:2" ht="13.8" x14ac:dyDescent="0.3">
      <c r="B981" s="3"/>
    </row>
    <row r="982" spans="2:2" ht="13.8" x14ac:dyDescent="0.3">
      <c r="B982" s="3"/>
    </row>
    <row r="983" spans="2:2" ht="13.8" x14ac:dyDescent="0.3">
      <c r="B983" s="3"/>
    </row>
    <row r="984" spans="2:2" ht="13.8" x14ac:dyDescent="0.3">
      <c r="B984" s="3"/>
    </row>
    <row r="985" spans="2:2" ht="13.8" x14ac:dyDescent="0.3">
      <c r="B985" s="3"/>
    </row>
    <row r="986" spans="2:2" ht="13.8" x14ac:dyDescent="0.3">
      <c r="B986" s="3"/>
    </row>
    <row r="987" spans="2:2" ht="13.8" x14ac:dyDescent="0.3">
      <c r="B987" s="3"/>
    </row>
    <row r="988" spans="2:2" ht="13.8" x14ac:dyDescent="0.3">
      <c r="B988" s="3"/>
    </row>
    <row r="989" spans="2:2" ht="13.8" x14ac:dyDescent="0.3">
      <c r="B989" s="3"/>
    </row>
    <row r="990" spans="2:2" ht="13.8" x14ac:dyDescent="0.3">
      <c r="B990" s="3"/>
    </row>
    <row r="991" spans="2:2" ht="13.8" x14ac:dyDescent="0.3">
      <c r="B991" s="3"/>
    </row>
    <row r="992" spans="2:2" ht="13.8" x14ac:dyDescent="0.3">
      <c r="B992" s="3"/>
    </row>
    <row r="993" spans="2:2" ht="13.8" x14ac:dyDescent="0.3">
      <c r="B993" s="3"/>
    </row>
    <row r="994" spans="2:2" ht="13.8" x14ac:dyDescent="0.3">
      <c r="B994" s="3"/>
    </row>
    <row r="995" spans="2:2" ht="13.8" x14ac:dyDescent="0.3">
      <c r="B995" s="3"/>
    </row>
    <row r="996" spans="2:2" ht="13.8" x14ac:dyDescent="0.3">
      <c r="B996" s="3"/>
    </row>
    <row r="997" spans="2:2" ht="13.8" x14ac:dyDescent="0.3">
      <c r="B997" s="3"/>
    </row>
    <row r="998" spans="2:2" ht="13.8" x14ac:dyDescent="0.3">
      <c r="B998" s="3"/>
    </row>
    <row r="999" spans="2:2" ht="13.8" x14ac:dyDescent="0.3">
      <c r="B999" s="3"/>
    </row>
    <row r="1000" spans="2:2" ht="13.8" x14ac:dyDescent="0.3">
      <c r="B1000" s="3"/>
    </row>
    <row r="1001" spans="2:2" ht="13.8" x14ac:dyDescent="0.3">
      <c r="B1001" s="3"/>
    </row>
    <row r="1002" spans="2:2" ht="13.8" x14ac:dyDescent="0.3">
      <c r="B1002" s="3"/>
    </row>
    <row r="1003" spans="2:2" ht="13.8" x14ac:dyDescent="0.3">
      <c r="B1003" s="3"/>
    </row>
    <row r="1004" spans="2:2" ht="13.8" x14ac:dyDescent="0.3">
      <c r="B1004" s="3"/>
    </row>
    <row r="1005" spans="2:2" ht="13.8" x14ac:dyDescent="0.3">
      <c r="B1005" s="3"/>
    </row>
    <row r="1006" spans="2:2" ht="13.8" x14ac:dyDescent="0.3">
      <c r="B1006" s="3"/>
    </row>
    <row r="1007" spans="2:2" ht="13.8" x14ac:dyDescent="0.3">
      <c r="B1007" s="3"/>
    </row>
    <row r="1008" spans="2:2" ht="13.8" x14ac:dyDescent="0.3">
      <c r="B1008" s="3"/>
    </row>
    <row r="1009" spans="2:2" ht="13.8" x14ac:dyDescent="0.3">
      <c r="B1009" s="3"/>
    </row>
    <row r="1010" spans="2:2" ht="13.8" x14ac:dyDescent="0.3">
      <c r="B1010" s="3"/>
    </row>
  </sheetData>
  <autoFilter ref="P30:T35" xr:uid="{00000000-0009-0000-0000-000003000000}">
    <sortState xmlns:xlrd2="http://schemas.microsoft.com/office/spreadsheetml/2017/richdata2" ref="P30:T35">
      <sortCondition descending="1" ref="S30:S35"/>
    </sortState>
  </autoFilter>
  <mergeCells count="2">
    <mergeCell ref="B1:M1"/>
    <mergeCell ref="B64:M64"/>
  </mergeCells>
  <conditionalFormatting sqref="C27:C37">
    <cfRule type="colorScale" priority="7">
      <colorScale>
        <cfvo type="min"/>
        <cfvo type="max"/>
        <color rgb="FFFFFFFF"/>
        <color rgb="FF57BB8A"/>
      </colorScale>
    </cfRule>
  </conditionalFormatting>
  <conditionalFormatting sqref="C22:F23 H22:I23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7:D37">
    <cfRule type="colorScale" priority="8">
      <colorScale>
        <cfvo type="min"/>
        <cfvo type="max"/>
        <color rgb="FFFFFFFF"/>
        <color rgb="FF57BB8A"/>
      </colorScale>
    </cfRule>
  </conditionalFormatting>
  <conditionalFormatting sqref="F27:F37">
    <cfRule type="colorScale" priority="17">
      <colorScale>
        <cfvo type="min"/>
        <cfvo type="max"/>
        <color rgb="FFFFFFFF"/>
        <color rgb="FF57BB8A"/>
      </colorScale>
    </cfRule>
  </conditionalFormatting>
  <conditionalFormatting sqref="G22:G23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G37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7:H35">
    <cfRule type="colorScale" priority="10">
      <colorScale>
        <cfvo type="min"/>
        <cfvo type="max"/>
        <color rgb="FFFFFFFF"/>
        <color rgb="FF57BB8A"/>
      </colorScale>
    </cfRule>
  </conditionalFormatting>
  <conditionalFormatting sqref="H14:K1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7:I35">
    <cfRule type="colorScale" priority="11">
      <colorScale>
        <cfvo type="min"/>
        <cfvo type="max"/>
        <color rgb="FFFFFFFF"/>
        <color rgb="FF57BB8A"/>
      </colorScale>
    </cfRule>
  </conditionalFormatting>
  <conditionalFormatting sqref="I17:L18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9:L19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7:L35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27:M35">
    <cfRule type="colorScale" priority="18">
      <colorScale>
        <cfvo type="min"/>
        <cfvo type="max"/>
        <color rgb="FFFFFFFF"/>
        <color rgb="FF57BB8A"/>
      </colorScale>
    </cfRule>
  </conditionalFormatting>
  <conditionalFormatting sqref="N27:N35">
    <cfRule type="colorScale" priority="19">
      <colorScale>
        <cfvo type="min"/>
        <cfvo type="max"/>
        <color rgb="FFFFFFFF"/>
        <color rgb="FF57BB8A"/>
      </colorScale>
    </cfRule>
  </conditionalFormatting>
  <conditionalFormatting sqref="P13:R13 O1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5:R15 O14">
    <cfRule type="colorScale" priority="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S21:S27 X21:X27 AC21:AC27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30:S37 Y36 Q40:Q46 S47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1:T34 R41:R45">
    <cfRule type="colorScale" priority="6">
      <colorScale>
        <cfvo type="min"/>
        <cfvo type="max"/>
        <color rgb="FFFFFFFF"/>
        <color rgb="FF57BB8A"/>
      </colorScale>
    </cfRule>
  </conditionalFormatting>
  <conditionalFormatting sqref="X21:X27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31:Y34">
    <cfRule type="colorScale" priority="4">
      <colorScale>
        <cfvo type="min"/>
        <cfvo type="max"/>
        <color rgb="FFFFFFFF"/>
        <color rgb="FF57BB8A"/>
      </colorScale>
    </cfRule>
  </conditionalFormatting>
  <conditionalFormatting sqref="Z31:AC34">
    <cfRule type="colorScale" priority="5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F6045-5B8E-4CBA-BA15-FEB6F7FBCF6D}">
  <sheetPr>
    <outlinePr summaryBelow="0" summaryRight="0"/>
  </sheetPr>
  <dimension ref="A2:AP219"/>
  <sheetViews>
    <sheetView workbookViewId="0"/>
  </sheetViews>
  <sheetFormatPr defaultColWidth="12.6640625" defaultRowHeight="15.75" customHeight="1" x14ac:dyDescent="0.3"/>
  <cols>
    <col min="26" max="26" width="13.6640625" customWidth="1"/>
  </cols>
  <sheetData>
    <row r="2" spans="1:13" ht="13.8" x14ac:dyDescent="0.3">
      <c r="A2" s="80" t="s">
        <v>136</v>
      </c>
      <c r="B2" s="81" t="s">
        <v>137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3" ht="13.8" x14ac:dyDescent="0.3">
      <c r="B3" s="84"/>
      <c r="C3" s="2"/>
      <c r="D3" s="2"/>
      <c r="E3" s="2"/>
      <c r="F3" s="2"/>
      <c r="G3" s="2"/>
      <c r="H3" s="2"/>
      <c r="I3" s="2"/>
      <c r="J3" s="2"/>
      <c r="K3" s="2"/>
      <c r="L3" s="2"/>
      <c r="M3" s="85"/>
    </row>
    <row r="4" spans="1:13" ht="13.8" x14ac:dyDescent="0.3"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</row>
    <row r="6" spans="1:13" ht="13.8" x14ac:dyDescent="0.3">
      <c r="B6" s="89" t="s">
        <v>138</v>
      </c>
      <c r="C6" s="89" t="s">
        <v>139</v>
      </c>
      <c r="F6" s="89" t="s">
        <v>138</v>
      </c>
      <c r="G6" s="89" t="s">
        <v>140</v>
      </c>
      <c r="J6" s="89" t="s">
        <v>138</v>
      </c>
      <c r="K6" s="89" t="s">
        <v>141</v>
      </c>
    </row>
    <row r="7" spans="1:13" ht="15.75" customHeight="1" x14ac:dyDescent="0.3">
      <c r="B7" s="18" t="s">
        <v>0</v>
      </c>
      <c r="C7" s="90">
        <v>55524.091480000003</v>
      </c>
      <c r="F7" s="18" t="s">
        <v>0</v>
      </c>
      <c r="G7" s="91">
        <v>8013</v>
      </c>
      <c r="J7" s="18" t="s">
        <v>142</v>
      </c>
      <c r="K7" s="91">
        <v>1371</v>
      </c>
    </row>
    <row r="8" spans="1:13" ht="15.75" customHeight="1" x14ac:dyDescent="0.3">
      <c r="B8" s="18" t="s">
        <v>143</v>
      </c>
      <c r="C8" s="90">
        <v>43997.080337500003</v>
      </c>
      <c r="F8" s="18" t="s">
        <v>142</v>
      </c>
      <c r="G8" s="91">
        <v>7397</v>
      </c>
      <c r="J8" s="18" t="s">
        <v>0</v>
      </c>
      <c r="K8" s="91">
        <v>1174</v>
      </c>
    </row>
    <row r="9" spans="1:13" ht="15.75" customHeight="1" x14ac:dyDescent="0.3">
      <c r="B9" s="18" t="s">
        <v>144</v>
      </c>
      <c r="C9" s="90">
        <v>21406.078621500001</v>
      </c>
      <c r="F9" s="18" t="s">
        <v>145</v>
      </c>
      <c r="G9" s="91">
        <v>6287</v>
      </c>
      <c r="J9" s="18" t="s">
        <v>143</v>
      </c>
      <c r="K9" s="91">
        <v>624</v>
      </c>
    </row>
    <row r="10" spans="1:13" ht="15.75" customHeight="1" x14ac:dyDescent="0.3">
      <c r="B10" s="18" t="s">
        <v>146</v>
      </c>
      <c r="C10" s="90">
        <v>14882.1777</v>
      </c>
      <c r="F10" s="18" t="s">
        <v>144</v>
      </c>
      <c r="G10" s="91">
        <v>6015</v>
      </c>
      <c r="J10" s="18" t="s">
        <v>144</v>
      </c>
      <c r="K10" s="91">
        <v>514</v>
      </c>
    </row>
    <row r="11" spans="1:13" ht="15.75" customHeight="1" x14ac:dyDescent="0.3">
      <c r="B11" s="18" t="s">
        <v>147</v>
      </c>
      <c r="C11" s="90">
        <v>5347.3136800000002</v>
      </c>
      <c r="F11" s="18" t="s">
        <v>143</v>
      </c>
      <c r="G11" s="91">
        <v>4414</v>
      </c>
      <c r="J11" s="18" t="s">
        <v>146</v>
      </c>
      <c r="K11" s="91">
        <v>245</v>
      </c>
    </row>
    <row r="12" spans="1:13" ht="15.75" customHeight="1" x14ac:dyDescent="0.3">
      <c r="B12" s="18" t="s">
        <v>148</v>
      </c>
      <c r="C12" s="90">
        <v>4993.1315525</v>
      </c>
      <c r="F12" s="18" t="s">
        <v>149</v>
      </c>
      <c r="G12" s="91">
        <v>1647</v>
      </c>
      <c r="J12" s="18" t="s">
        <v>150</v>
      </c>
      <c r="K12" s="91">
        <v>185</v>
      </c>
    </row>
    <row r="13" spans="1:13" ht="15.75" customHeight="1" x14ac:dyDescent="0.3">
      <c r="B13" s="18" t="s">
        <v>151</v>
      </c>
      <c r="C13" s="90">
        <v>4320.1140643999997</v>
      </c>
      <c r="F13" s="18" t="s">
        <v>147</v>
      </c>
      <c r="G13" s="91">
        <v>1515</v>
      </c>
      <c r="J13" s="18" t="s">
        <v>149</v>
      </c>
      <c r="K13" s="91">
        <v>168</v>
      </c>
    </row>
    <row r="14" spans="1:13" ht="15.75" customHeight="1" x14ac:dyDescent="0.3">
      <c r="B14" s="18" t="s">
        <v>152</v>
      </c>
      <c r="C14" s="90">
        <v>3957.5825399999999</v>
      </c>
      <c r="F14" s="18" t="s">
        <v>150</v>
      </c>
      <c r="G14" s="91">
        <v>1459</v>
      </c>
      <c r="J14" s="18" t="s">
        <v>147</v>
      </c>
      <c r="K14" s="91">
        <v>140</v>
      </c>
    </row>
    <row r="15" spans="1:13" ht="15.75" customHeight="1" x14ac:dyDescent="0.3">
      <c r="B15" s="18" t="s">
        <v>145</v>
      </c>
      <c r="C15" s="90">
        <v>3898.1916000000001</v>
      </c>
      <c r="F15" s="18" t="s">
        <v>146</v>
      </c>
      <c r="G15" s="91">
        <v>1434</v>
      </c>
      <c r="J15" s="18" t="s">
        <v>151</v>
      </c>
      <c r="K15" s="91">
        <v>107</v>
      </c>
    </row>
    <row r="16" spans="1:13" ht="15.75" customHeight="1" x14ac:dyDescent="0.3">
      <c r="B16" s="18" t="s">
        <v>142</v>
      </c>
      <c r="C16" s="90">
        <v>3590.8906124999999</v>
      </c>
      <c r="F16" s="18" t="s">
        <v>153</v>
      </c>
      <c r="G16" s="91">
        <v>813</v>
      </c>
      <c r="J16" s="18" t="s">
        <v>154</v>
      </c>
      <c r="K16" s="91">
        <v>97</v>
      </c>
    </row>
    <row r="17" spans="2:11" ht="15.75" customHeight="1" x14ac:dyDescent="0.3">
      <c r="B17" s="18" t="s">
        <v>150</v>
      </c>
      <c r="C17" s="90">
        <v>3276.2188729</v>
      </c>
      <c r="F17" s="18" t="s">
        <v>151</v>
      </c>
      <c r="G17" s="91">
        <v>741</v>
      </c>
      <c r="J17" s="18" t="s">
        <v>148</v>
      </c>
      <c r="K17" s="91">
        <v>61</v>
      </c>
    </row>
    <row r="18" spans="2:11" ht="15.75" customHeight="1" x14ac:dyDescent="0.3">
      <c r="B18" s="18" t="s">
        <v>149</v>
      </c>
      <c r="C18" s="90">
        <v>3210.4894079999999</v>
      </c>
      <c r="F18" s="18" t="s">
        <v>152</v>
      </c>
      <c r="G18" s="91">
        <v>553</v>
      </c>
      <c r="J18" s="18" t="s">
        <v>145</v>
      </c>
      <c r="K18" s="91">
        <v>23.7</v>
      </c>
    </row>
    <row r="19" spans="2:11" ht="15.75" customHeight="1" x14ac:dyDescent="0.3">
      <c r="B19" s="18" t="s">
        <v>153</v>
      </c>
      <c r="C19" s="90">
        <v>2454.6441355000002</v>
      </c>
      <c r="F19" s="18" t="s">
        <v>154</v>
      </c>
      <c r="G19" s="91">
        <v>446</v>
      </c>
      <c r="J19" s="18" t="s">
        <v>152</v>
      </c>
      <c r="K19" s="91">
        <v>23</v>
      </c>
    </row>
    <row r="20" spans="2:11" ht="15.75" customHeight="1" x14ac:dyDescent="0.3">
      <c r="B20" s="18" t="s">
        <v>154</v>
      </c>
      <c r="C20" s="90">
        <v>2354.5203929999998</v>
      </c>
      <c r="F20" s="18" t="s">
        <v>148</v>
      </c>
      <c r="G20" s="91">
        <v>248</v>
      </c>
      <c r="J20" s="18" t="s">
        <v>155</v>
      </c>
      <c r="K20" s="91">
        <v>1</v>
      </c>
    </row>
    <row r="21" spans="2:11" ht="15.75" customHeight="1" thickBot="1" x14ac:dyDescent="0.35">
      <c r="B21" s="18" t="s">
        <v>155</v>
      </c>
      <c r="C21" s="90">
        <v>2338.4562520999998</v>
      </c>
      <c r="F21" s="92" t="s">
        <v>155</v>
      </c>
      <c r="G21" s="93">
        <v>197</v>
      </c>
      <c r="J21" s="92" t="s">
        <v>153</v>
      </c>
      <c r="K21" s="93">
        <v>-5</v>
      </c>
    </row>
    <row r="22" spans="2:11" ht="15" thickTop="1" thickBot="1" x14ac:dyDescent="0.35">
      <c r="B22" s="94" t="s">
        <v>156</v>
      </c>
      <c r="C22" s="94">
        <v>7230</v>
      </c>
    </row>
    <row r="24" spans="2:11" ht="14.4" thickTop="1" x14ac:dyDescent="0.3">
      <c r="B24" s="95" t="s">
        <v>136</v>
      </c>
      <c r="C24" s="96">
        <f>SUM(C7:C22)</f>
        <v>182780.98124990001</v>
      </c>
      <c r="F24" s="95" t="s">
        <v>136</v>
      </c>
      <c r="G24" s="95">
        <f>SUM(G7:G22)</f>
        <v>41179</v>
      </c>
      <c r="J24" s="95" t="s">
        <v>136</v>
      </c>
      <c r="K24" s="95">
        <f>SUM(K7:K22)</f>
        <v>4728.7</v>
      </c>
    </row>
    <row r="41" spans="1:7" ht="13.8" x14ac:dyDescent="0.3">
      <c r="A41" s="80" t="s">
        <v>26</v>
      </c>
    </row>
    <row r="42" spans="1:7" ht="13.8" x14ac:dyDescent="0.3">
      <c r="B42" s="89" t="s">
        <v>138</v>
      </c>
      <c r="C42" s="89" t="s">
        <v>157</v>
      </c>
      <c r="F42" s="89" t="s">
        <v>138</v>
      </c>
      <c r="G42" s="89" t="s">
        <v>158</v>
      </c>
    </row>
    <row r="43" spans="1:7" ht="14.4" x14ac:dyDescent="0.3">
      <c r="B43" s="18" t="s">
        <v>0</v>
      </c>
      <c r="C43" s="97">
        <v>0.15255002420547359</v>
      </c>
      <c r="F43" s="18" t="s">
        <v>0</v>
      </c>
      <c r="G43" s="97">
        <v>0.1031967721911855</v>
      </c>
    </row>
    <row r="44" spans="1:7" ht="14.4" x14ac:dyDescent="0.3">
      <c r="B44" s="18" t="s">
        <v>143</v>
      </c>
      <c r="C44" s="97">
        <v>8.7644244894549139E-2</v>
      </c>
      <c r="F44" s="18" t="s">
        <v>143</v>
      </c>
      <c r="G44" s="97">
        <v>0.26693227091633465</v>
      </c>
    </row>
    <row r="45" spans="1:7" ht="14.4" x14ac:dyDescent="0.3">
      <c r="B45" s="18" t="s">
        <v>144</v>
      </c>
      <c r="C45" s="97">
        <v>8.9573198932278109E-2</v>
      </c>
      <c r="F45" s="18" t="s">
        <v>144</v>
      </c>
      <c r="G45" s="97">
        <v>0.23968105065666045</v>
      </c>
    </row>
    <row r="46" spans="1:7" ht="14.4" x14ac:dyDescent="0.3">
      <c r="B46" s="18" t="s">
        <v>146</v>
      </c>
      <c r="C46" s="97">
        <v>0.53732799573642298</v>
      </c>
      <c r="F46" s="18" t="s">
        <v>146</v>
      </c>
      <c r="G46" s="97">
        <v>0.23933209647495368</v>
      </c>
    </row>
    <row r="47" spans="1:7" ht="14.4" x14ac:dyDescent="0.3">
      <c r="B47" s="18" t="s">
        <v>147</v>
      </c>
      <c r="C47" s="97">
        <v>0.36732159869815861</v>
      </c>
      <c r="F47" s="18" t="s">
        <v>147</v>
      </c>
      <c r="G47" s="97">
        <v>9.2161929371231688E-2</v>
      </c>
    </row>
    <row r="48" spans="1:7" ht="14.4" x14ac:dyDescent="0.3">
      <c r="B48" s="18" t="s">
        <v>148</v>
      </c>
      <c r="C48" s="97">
        <v>0.1991964554448078</v>
      </c>
      <c r="F48" s="18" t="s">
        <v>148</v>
      </c>
      <c r="G48" s="97">
        <v>0.58720930232558133</v>
      </c>
    </row>
    <row r="49" spans="2:7" ht="14.4" x14ac:dyDescent="0.3">
      <c r="B49" s="18" t="s">
        <v>151</v>
      </c>
      <c r="C49" s="97">
        <v>-3.7704678673366465E-2</v>
      </c>
      <c r="F49" s="18" t="s">
        <v>151</v>
      </c>
      <c r="G49" s="97">
        <v>0.29215686274509811</v>
      </c>
    </row>
    <row r="50" spans="2:7" ht="14.4" x14ac:dyDescent="0.3">
      <c r="B50" s="18" t="s">
        <v>152</v>
      </c>
      <c r="C50" s="97">
        <v>0.52069894175279519</v>
      </c>
      <c r="F50" s="18" t="s">
        <v>152</v>
      </c>
      <c r="G50" s="97">
        <v>0.31739961759082225</v>
      </c>
    </row>
    <row r="51" spans="2:7" ht="14.4" x14ac:dyDescent="0.3">
      <c r="B51" s="18" t="s">
        <v>145</v>
      </c>
      <c r="C51" s="97">
        <v>0.53697887061095506</v>
      </c>
      <c r="F51" s="18" t="s">
        <v>145</v>
      </c>
      <c r="G51" s="97">
        <v>4.2562432138979478E-2</v>
      </c>
    </row>
    <row r="52" spans="2:7" ht="14.4" x14ac:dyDescent="0.3">
      <c r="B52" s="18" t="s">
        <v>142</v>
      </c>
      <c r="C52" s="97">
        <v>0.25029405410139272</v>
      </c>
      <c r="F52" s="18" t="s">
        <v>142</v>
      </c>
      <c r="G52" s="97">
        <v>2.8254697850479848E-2</v>
      </c>
    </row>
    <row r="53" spans="2:7" ht="14.4" x14ac:dyDescent="0.3">
      <c r="B53" s="18" t="s">
        <v>150</v>
      </c>
      <c r="C53" s="97">
        <v>9.9012874180008481E-2</v>
      </c>
      <c r="F53" s="18" t="s">
        <v>150</v>
      </c>
      <c r="G53" s="97">
        <v>9.0124640460210959E-2</v>
      </c>
    </row>
    <row r="54" spans="2:7" ht="14.4" x14ac:dyDescent="0.3">
      <c r="B54" s="18" t="s">
        <v>149</v>
      </c>
      <c r="C54" s="97">
        <v>0.18902797570241692</v>
      </c>
      <c r="F54" s="18" t="s">
        <v>149</v>
      </c>
      <c r="G54" s="97">
        <v>0.11211129296235689</v>
      </c>
    </row>
    <row r="55" spans="2:7" ht="14.4" x14ac:dyDescent="0.3">
      <c r="B55" s="18" t="s">
        <v>153</v>
      </c>
      <c r="C55" s="97">
        <v>9.3917670054656899E-2</v>
      </c>
      <c r="F55" s="18" t="s">
        <v>153</v>
      </c>
      <c r="G55" s="97">
        <v>0.1796610169491526</v>
      </c>
    </row>
    <row r="56" spans="2:7" ht="14.4" x14ac:dyDescent="0.3">
      <c r="B56" s="18" t="s">
        <v>154</v>
      </c>
      <c r="C56" s="97">
        <v>-2.3767246072902815E-2</v>
      </c>
      <c r="F56" s="18" t="s">
        <v>154</v>
      </c>
      <c r="G56" s="97">
        <v>-0.13662790697674421</v>
      </c>
    </row>
    <row r="57" spans="2:7" ht="15" thickBot="1" x14ac:dyDescent="0.35">
      <c r="B57" s="92" t="s">
        <v>155</v>
      </c>
      <c r="C57" s="98">
        <v>-0.50306771631207348</v>
      </c>
      <c r="F57" s="92" t="s">
        <v>155</v>
      </c>
      <c r="G57" s="98">
        <v>8.2191780821917915E-2</v>
      </c>
    </row>
    <row r="59" spans="2:7" ht="14.4" thickTop="1" x14ac:dyDescent="0.3">
      <c r="B59" s="95" t="s">
        <v>136</v>
      </c>
      <c r="C59" s="99">
        <v>0.109</v>
      </c>
      <c r="F59" s="95" t="s">
        <v>136</v>
      </c>
      <c r="G59" s="99">
        <v>0.16700000000000001</v>
      </c>
    </row>
    <row r="79" spans="1:11" ht="13.8" x14ac:dyDescent="0.3">
      <c r="A79" s="80" t="s">
        <v>28</v>
      </c>
    </row>
    <row r="80" spans="1:11" ht="13.8" x14ac:dyDescent="0.3">
      <c r="B80" s="89" t="s">
        <v>138</v>
      </c>
      <c r="C80" s="89" t="s">
        <v>36</v>
      </c>
      <c r="F80" s="89" t="s">
        <v>138</v>
      </c>
      <c r="G80" s="89" t="s">
        <v>38</v>
      </c>
      <c r="J80" s="89" t="s">
        <v>138</v>
      </c>
      <c r="K80" s="89" t="s">
        <v>37</v>
      </c>
    </row>
    <row r="81" spans="2:11" ht="14.4" x14ac:dyDescent="0.3">
      <c r="B81" s="18" t="s">
        <v>0</v>
      </c>
      <c r="C81" s="100">
        <v>0.11535234899328858</v>
      </c>
      <c r="F81" s="18" t="s">
        <v>0</v>
      </c>
      <c r="G81" s="90">
        <v>16.477272727272727</v>
      </c>
      <c r="J81" s="18" t="s">
        <v>0</v>
      </c>
      <c r="K81" s="100">
        <v>0.37626459143968871</v>
      </c>
    </row>
    <row r="82" spans="2:11" ht="14.4" x14ac:dyDescent="0.3">
      <c r="B82" s="18" t="s">
        <v>143</v>
      </c>
      <c r="C82" s="100">
        <v>9.3434343434343439E-2</v>
      </c>
      <c r="F82" s="18" t="s">
        <v>143</v>
      </c>
      <c r="G82" s="90">
        <v>40.388888888888886</v>
      </c>
      <c r="J82" s="18" t="s">
        <v>143</v>
      </c>
      <c r="K82" s="100">
        <v>0.44515752625437571</v>
      </c>
    </row>
    <row r="83" spans="2:11" ht="14.4" x14ac:dyDescent="0.3">
      <c r="B83" s="18" t="s">
        <v>144</v>
      </c>
      <c r="C83" s="100">
        <v>0.2119537920642893</v>
      </c>
      <c r="F83" s="18" t="s">
        <v>144</v>
      </c>
      <c r="G83" s="90">
        <v>7.46</v>
      </c>
      <c r="J83" s="18" t="s">
        <v>144</v>
      </c>
      <c r="K83" s="100">
        <v>0.38910835214446954</v>
      </c>
    </row>
    <row r="84" spans="2:11" ht="14.4" x14ac:dyDescent="0.3">
      <c r="B84" s="18" t="s">
        <v>146</v>
      </c>
      <c r="C84" s="100">
        <v>0.14495530012771393</v>
      </c>
      <c r="F84" s="18" t="s">
        <v>146</v>
      </c>
      <c r="G84" s="90">
        <v>21.727272727272727</v>
      </c>
      <c r="J84" s="18" t="s">
        <v>146</v>
      </c>
      <c r="K84" s="100">
        <v>0.31923076923076921</v>
      </c>
    </row>
    <row r="85" spans="2:11" ht="14.4" x14ac:dyDescent="0.3">
      <c r="B85" s="18" t="s">
        <v>147</v>
      </c>
      <c r="C85" s="100">
        <v>0.21783876500857632</v>
      </c>
      <c r="F85" s="18" t="s">
        <v>147</v>
      </c>
      <c r="G85" s="90">
        <v>33</v>
      </c>
      <c r="J85" s="18" t="s">
        <v>147</v>
      </c>
      <c r="K85" s="100">
        <v>0.39076923076923076</v>
      </c>
    </row>
    <row r="86" spans="2:11" ht="14.4" x14ac:dyDescent="0.3">
      <c r="B86" s="18" t="s">
        <v>148</v>
      </c>
      <c r="C86" s="100">
        <v>6.5789473684210523E-2</v>
      </c>
      <c r="F86" s="18" t="s">
        <v>148</v>
      </c>
      <c r="G86" s="90">
        <v>17.75</v>
      </c>
      <c r="J86" s="18" t="s">
        <v>148</v>
      </c>
      <c r="K86" s="100">
        <v>0.16829745596868884</v>
      </c>
    </row>
    <row r="87" spans="2:11" ht="14.4" x14ac:dyDescent="0.3">
      <c r="B87" s="18" t="s">
        <v>151</v>
      </c>
      <c r="C87" s="100">
        <v>2.2646007151370679E-2</v>
      </c>
      <c r="F87" s="18" t="s">
        <v>151</v>
      </c>
      <c r="G87" s="90">
        <v>100</v>
      </c>
      <c r="J87" s="18" t="s">
        <v>151</v>
      </c>
      <c r="K87" s="100">
        <v>0.26165803108808289</v>
      </c>
    </row>
    <row r="88" spans="2:11" ht="14.4" x14ac:dyDescent="0.3">
      <c r="B88" s="18" t="s">
        <v>152</v>
      </c>
      <c r="C88" s="100">
        <v>0.14836223506743737</v>
      </c>
      <c r="F88" s="18" t="s">
        <v>152</v>
      </c>
      <c r="G88" s="90">
        <v>3.8181818181818183</v>
      </c>
      <c r="J88" s="18" t="s">
        <v>152</v>
      </c>
      <c r="K88" s="100">
        <v>0.18558282208588958</v>
      </c>
    </row>
    <row r="89" spans="2:11" ht="14.4" x14ac:dyDescent="0.3">
      <c r="B89" s="18" t="s">
        <v>145</v>
      </c>
      <c r="C89" s="100">
        <v>2.0943396226415096</v>
      </c>
      <c r="F89" s="18" t="s">
        <v>145</v>
      </c>
      <c r="G89" s="90">
        <v>1.4864864864864864</v>
      </c>
      <c r="J89" s="18" t="s">
        <v>145</v>
      </c>
      <c r="K89" s="100">
        <v>1.3019145802650958</v>
      </c>
    </row>
    <row r="90" spans="2:11" ht="14.4" x14ac:dyDescent="0.3">
      <c r="B90" s="18" t="s">
        <v>142</v>
      </c>
      <c r="C90" s="101">
        <v>0</v>
      </c>
      <c r="F90" s="18" t="s">
        <v>142</v>
      </c>
      <c r="G90" s="90">
        <v>2174</v>
      </c>
      <c r="J90" s="18" t="s">
        <v>142</v>
      </c>
      <c r="K90" s="100">
        <v>0.85382912978119263</v>
      </c>
    </row>
    <row r="91" spans="2:11" ht="14.4" x14ac:dyDescent="0.3">
      <c r="B91" s="18" t="s">
        <v>150</v>
      </c>
      <c r="C91" s="100">
        <v>1.4598540145985401E-2</v>
      </c>
      <c r="F91" s="18" t="s">
        <v>150</v>
      </c>
      <c r="G91" s="90">
        <v>69.333333333333329</v>
      </c>
      <c r="J91" s="18" t="s">
        <v>150</v>
      </c>
      <c r="K91" s="100">
        <v>0.19044170890658943</v>
      </c>
    </row>
    <row r="92" spans="2:11" ht="14.4" x14ac:dyDescent="0.3">
      <c r="B92" s="18" t="s">
        <v>149</v>
      </c>
      <c r="C92" s="100">
        <v>8.4243369734789394E-2</v>
      </c>
      <c r="F92" s="18" t="s">
        <v>149</v>
      </c>
      <c r="G92" s="90">
        <v>52.75</v>
      </c>
      <c r="J92" s="18" t="s">
        <v>149</v>
      </c>
      <c r="K92" s="100">
        <v>0.58552631578947367</v>
      </c>
    </row>
    <row r="93" spans="2:11" ht="14.4" x14ac:dyDescent="0.3">
      <c r="B93" s="18" t="s">
        <v>153</v>
      </c>
      <c r="C93" s="100">
        <v>1.2551319648093842</v>
      </c>
      <c r="F93" s="18" t="s">
        <v>153</v>
      </c>
      <c r="G93" s="90">
        <v>3.1428571428571428</v>
      </c>
      <c r="J93" s="18" t="s">
        <v>153</v>
      </c>
      <c r="K93" s="100">
        <v>0.64299610894941639</v>
      </c>
    </row>
    <row r="94" spans="2:11" ht="14.4" x14ac:dyDescent="0.3">
      <c r="B94" s="18" t="s">
        <v>154</v>
      </c>
      <c r="C94" s="100">
        <v>2.309782608695652E-2</v>
      </c>
      <c r="F94" s="18" t="s">
        <v>154</v>
      </c>
      <c r="G94" s="90">
        <v>94</v>
      </c>
      <c r="J94" s="18" t="s">
        <v>154</v>
      </c>
      <c r="K94" s="100">
        <v>0.10900473933649289</v>
      </c>
    </row>
    <row r="95" spans="2:11" ht="15" thickBot="1" x14ac:dyDescent="0.35">
      <c r="B95" s="92" t="s">
        <v>155</v>
      </c>
      <c r="C95" s="102">
        <v>4.0769230769230766</v>
      </c>
      <c r="F95" s="92" t="s">
        <v>155</v>
      </c>
      <c r="G95" s="103">
        <v>1.6666666666666667</v>
      </c>
      <c r="J95" s="92" t="s">
        <v>155</v>
      </c>
      <c r="K95" s="102">
        <v>0.60264900662251653</v>
      </c>
    </row>
    <row r="97" spans="2:11" ht="14.4" thickTop="1" x14ac:dyDescent="0.3">
      <c r="B97" s="95" t="s">
        <v>136</v>
      </c>
      <c r="C97" s="95">
        <v>0.18</v>
      </c>
      <c r="F97" s="95" t="s">
        <v>136</v>
      </c>
      <c r="G97" s="95">
        <v>16</v>
      </c>
      <c r="J97" s="95" t="s">
        <v>136</v>
      </c>
      <c r="K97" s="95">
        <v>0.69</v>
      </c>
    </row>
    <row r="117" spans="1:12" ht="13.8" x14ac:dyDescent="0.3">
      <c r="A117" s="80" t="s">
        <v>27</v>
      </c>
      <c r="B117" s="80" t="s">
        <v>138</v>
      </c>
      <c r="C117" s="80" t="s">
        <v>159</v>
      </c>
      <c r="D117" s="80" t="s">
        <v>160</v>
      </c>
      <c r="G117" s="89" t="s">
        <v>138</v>
      </c>
      <c r="H117" s="89" t="s">
        <v>161</v>
      </c>
      <c r="K117" s="89" t="s">
        <v>138</v>
      </c>
      <c r="L117" s="89" t="s">
        <v>162</v>
      </c>
    </row>
    <row r="118" spans="1:12" ht="14.4" x14ac:dyDescent="0.3">
      <c r="B118" s="104" t="s">
        <v>0</v>
      </c>
      <c r="C118" s="105">
        <v>0.13560275706850472</v>
      </c>
      <c r="D118" s="105">
        <v>0.14651191813303382</v>
      </c>
      <c r="G118" s="18" t="s">
        <v>0</v>
      </c>
      <c r="H118" s="106">
        <v>2.3706788837984174</v>
      </c>
      <c r="K118" s="18" t="s">
        <v>0</v>
      </c>
      <c r="L118" s="90">
        <v>124.26307250717585</v>
      </c>
    </row>
    <row r="119" spans="1:12" ht="14.4" x14ac:dyDescent="0.3">
      <c r="B119" s="104" t="s">
        <v>143</v>
      </c>
      <c r="C119" s="105">
        <v>0.13679245283018868</v>
      </c>
      <c r="D119" s="105">
        <v>0.14136837335749886</v>
      </c>
      <c r="G119" s="18" t="s">
        <v>143</v>
      </c>
      <c r="H119" s="106">
        <v>1.781524926686217</v>
      </c>
      <c r="K119" s="18" t="s">
        <v>143</v>
      </c>
      <c r="L119" s="90">
        <v>101.21431807884005</v>
      </c>
    </row>
    <row r="120" spans="1:12" ht="14.4" x14ac:dyDescent="0.3">
      <c r="B120" s="104" t="s">
        <v>144</v>
      </c>
      <c r="C120" s="105">
        <v>2.8944381384790011E-2</v>
      </c>
      <c r="D120" s="105">
        <v>8.5453034081463014E-2</v>
      </c>
      <c r="G120" s="18" t="s">
        <v>144</v>
      </c>
      <c r="H120" s="106">
        <v>1.9639121338912133</v>
      </c>
      <c r="K120" s="18" t="s">
        <v>144</v>
      </c>
      <c r="L120" s="90">
        <v>74.152950955943481</v>
      </c>
    </row>
    <row r="121" spans="1:12" ht="14.4" x14ac:dyDescent="0.3">
      <c r="B121" s="104" t="s">
        <v>146</v>
      </c>
      <c r="C121" s="105">
        <v>0.15643712574850299</v>
      </c>
      <c r="D121" s="105">
        <v>0.17085076708507671</v>
      </c>
      <c r="G121" s="18" t="s">
        <v>146</v>
      </c>
      <c r="H121" s="106">
        <v>1.9134948096885813</v>
      </c>
      <c r="K121" s="18" t="s">
        <v>146</v>
      </c>
      <c r="L121" s="90">
        <v>70.505578800557885</v>
      </c>
    </row>
    <row r="122" spans="1:12" ht="14.4" x14ac:dyDescent="0.3">
      <c r="B122" s="104" t="s">
        <v>147</v>
      </c>
      <c r="C122" s="105">
        <v>7.4132492113564666E-2</v>
      </c>
      <c r="D122" s="105">
        <v>9.2409240924092403E-2</v>
      </c>
      <c r="G122" s="18" t="s">
        <v>147</v>
      </c>
      <c r="H122" s="106">
        <v>2.7079037800687287</v>
      </c>
      <c r="K122" s="18" t="s">
        <v>147</v>
      </c>
      <c r="L122" s="90">
        <v>56.135313531353141</v>
      </c>
    </row>
    <row r="123" spans="1:12" ht="14.4" x14ac:dyDescent="0.3">
      <c r="B123" s="104" t="s">
        <v>148</v>
      </c>
      <c r="C123" s="105">
        <v>0.20146520146520147</v>
      </c>
      <c r="D123" s="105">
        <v>0.24596774193548387</v>
      </c>
      <c r="G123" s="18" t="s">
        <v>148</v>
      </c>
      <c r="H123" s="106">
        <v>3.189189189189189</v>
      </c>
      <c r="K123" s="18" t="s">
        <v>148</v>
      </c>
      <c r="L123" s="90">
        <v>153.06451612903226</v>
      </c>
    </row>
    <row r="124" spans="1:12" ht="14.4" x14ac:dyDescent="0.3">
      <c r="B124" s="104" t="s">
        <v>151</v>
      </c>
      <c r="C124" s="105">
        <v>0.1244309559939302</v>
      </c>
      <c r="D124" s="105">
        <v>0.14439946018893388</v>
      </c>
      <c r="G124" s="18" t="s">
        <v>151</v>
      </c>
      <c r="H124" s="106">
        <v>1.8594377510040161</v>
      </c>
      <c r="K124" s="18" t="s">
        <v>151</v>
      </c>
      <c r="L124" s="90">
        <v>119.20377867746288</v>
      </c>
    </row>
    <row r="125" spans="1:12" ht="14.4" x14ac:dyDescent="0.3">
      <c r="B125" s="104" t="s">
        <v>152</v>
      </c>
      <c r="C125" s="105">
        <v>4.9800796812749001E-2</v>
      </c>
      <c r="D125" s="105">
        <v>4.1591320072332731E-2</v>
      </c>
      <c r="G125" s="18" t="s">
        <v>152</v>
      </c>
      <c r="H125" s="106">
        <v>7.4691358024691361</v>
      </c>
      <c r="K125" s="18" t="s">
        <v>152</v>
      </c>
      <c r="L125" s="90">
        <v>79.86437613019892</v>
      </c>
    </row>
    <row r="126" spans="1:12" ht="14.4" x14ac:dyDescent="0.3">
      <c r="B126" s="104" t="s">
        <v>145</v>
      </c>
      <c r="C126" s="105">
        <v>2.0204124140804001E-2</v>
      </c>
      <c r="D126" s="105">
        <v>3.7696834738348973E-3</v>
      </c>
      <c r="G126" s="18" t="s">
        <v>145</v>
      </c>
      <c r="H126" s="106">
        <v>1.0462012320328542</v>
      </c>
      <c r="K126" s="18" t="s">
        <v>145</v>
      </c>
      <c r="L126" s="90">
        <v>24.906155559090188</v>
      </c>
    </row>
    <row r="127" spans="1:12" ht="14.4" x14ac:dyDescent="0.3">
      <c r="B127" s="104" t="s">
        <v>142</v>
      </c>
      <c r="C127" s="105">
        <v>0.18603733894293978</v>
      </c>
      <c r="D127" s="105">
        <v>0.18534541030147356</v>
      </c>
      <c r="G127" s="18" t="s">
        <v>142</v>
      </c>
      <c r="H127" s="107" t="e">
        <v>#DIV/0!</v>
      </c>
      <c r="K127" s="18" t="s">
        <v>142</v>
      </c>
      <c r="L127" s="90">
        <v>147.63823171556035</v>
      </c>
    </row>
    <row r="128" spans="1:12" ht="14.4" x14ac:dyDescent="0.3">
      <c r="B128" s="104" t="s">
        <v>150</v>
      </c>
      <c r="C128" s="105">
        <v>0.12752858399296393</v>
      </c>
      <c r="D128" s="105">
        <v>0.12679917751884853</v>
      </c>
      <c r="G128" s="18" t="s">
        <v>150</v>
      </c>
      <c r="H128" s="106">
        <v>4.9547738693467336</v>
      </c>
      <c r="K128" s="18" t="s">
        <v>150</v>
      </c>
      <c r="L128" s="90">
        <v>67.296093214530501</v>
      </c>
    </row>
    <row r="129" spans="2:12" ht="14.4" x14ac:dyDescent="0.3">
      <c r="B129" s="104" t="s">
        <v>149</v>
      </c>
      <c r="C129" s="105">
        <v>0.10154525386313466</v>
      </c>
      <c r="D129" s="105">
        <v>0.10200364298724955</v>
      </c>
      <c r="G129" s="18" t="s">
        <v>149</v>
      </c>
      <c r="H129" s="106">
        <v>3.5566037735849059</v>
      </c>
      <c r="K129" s="18" t="s">
        <v>149</v>
      </c>
      <c r="L129" s="90">
        <v>63.160291438979961</v>
      </c>
    </row>
    <row r="130" spans="2:12" ht="14.4" x14ac:dyDescent="0.3">
      <c r="B130" s="104" t="s">
        <v>153</v>
      </c>
      <c r="C130" s="105">
        <v>3.4482758620689655E-2</v>
      </c>
      <c r="D130" s="105">
        <v>-6.1500615006150061E-3</v>
      </c>
      <c r="G130" s="18" t="s">
        <v>153</v>
      </c>
      <c r="H130" s="106">
        <v>1.7623456790123457</v>
      </c>
      <c r="K130" s="18" t="s">
        <v>153</v>
      </c>
      <c r="L130" s="90">
        <v>99.667896678966798</v>
      </c>
    </row>
    <row r="131" spans="2:12" ht="14.4" x14ac:dyDescent="0.3">
      <c r="B131" s="104" t="s">
        <v>154</v>
      </c>
      <c r="C131" s="105">
        <v>0.21885521885521886</v>
      </c>
      <c r="D131" s="105">
        <v>0.21748878923766815</v>
      </c>
      <c r="G131" s="18" t="s">
        <v>154</v>
      </c>
      <c r="H131" s="106">
        <v>2.3855421686746987</v>
      </c>
      <c r="K131" s="18" t="s">
        <v>154</v>
      </c>
      <c r="L131" s="90">
        <v>54.013452914798208</v>
      </c>
    </row>
    <row r="132" spans="2:12" ht="15" thickBot="1" x14ac:dyDescent="0.35">
      <c r="B132" s="104" t="s">
        <v>155</v>
      </c>
      <c r="C132" s="105">
        <v>1.2658227848101266E-2</v>
      </c>
      <c r="D132" s="105">
        <v>5.076142131979695E-3</v>
      </c>
      <c r="G132" s="92" t="s">
        <v>155</v>
      </c>
      <c r="H132" s="108">
        <v>1.0261437908496731</v>
      </c>
      <c r="K132" s="92" t="s">
        <v>155</v>
      </c>
      <c r="L132" s="103">
        <v>70.406091370558372</v>
      </c>
    </row>
    <row r="134" spans="2:12" ht="14.4" thickTop="1" x14ac:dyDescent="0.3">
      <c r="B134" s="95" t="s">
        <v>136</v>
      </c>
      <c r="C134" s="99">
        <v>0.09</v>
      </c>
      <c r="D134" s="99">
        <v>0.115</v>
      </c>
      <c r="G134" s="95" t="s">
        <v>136</v>
      </c>
      <c r="H134" s="95">
        <v>2</v>
      </c>
      <c r="K134" s="95" t="s">
        <v>136</v>
      </c>
      <c r="L134" s="95">
        <v>93</v>
      </c>
    </row>
    <row r="154" spans="1:42" ht="13.8" x14ac:dyDescent="0.3">
      <c r="A154" s="80" t="s">
        <v>163</v>
      </c>
    </row>
    <row r="157" spans="1:42" ht="13.8" x14ac:dyDescent="0.3">
      <c r="A157" s="80" t="s">
        <v>164</v>
      </c>
      <c r="B157" s="80" t="s">
        <v>138</v>
      </c>
      <c r="C157" s="80" t="s">
        <v>165</v>
      </c>
      <c r="D157" s="80" t="s">
        <v>139</v>
      </c>
      <c r="E157" s="80" t="s">
        <v>166</v>
      </c>
      <c r="F157" s="80" t="s">
        <v>167</v>
      </c>
      <c r="G157" s="80" t="s">
        <v>168</v>
      </c>
      <c r="H157" s="80" t="s">
        <v>169</v>
      </c>
      <c r="I157" s="80" t="s">
        <v>170</v>
      </c>
      <c r="J157" s="80" t="s">
        <v>171</v>
      </c>
      <c r="K157" s="80" t="s">
        <v>172</v>
      </c>
      <c r="L157" s="80" t="s">
        <v>173</v>
      </c>
      <c r="M157" s="80" t="s">
        <v>10</v>
      </c>
      <c r="N157" s="80" t="s">
        <v>174</v>
      </c>
      <c r="O157" s="80" t="s">
        <v>59</v>
      </c>
      <c r="P157" s="80" t="s">
        <v>175</v>
      </c>
      <c r="Q157" s="80" t="s">
        <v>176</v>
      </c>
      <c r="R157" s="80" t="s">
        <v>140</v>
      </c>
      <c r="S157" s="80" t="s">
        <v>141</v>
      </c>
      <c r="T157" s="80" t="s">
        <v>177</v>
      </c>
      <c r="U157" s="80" t="s">
        <v>178</v>
      </c>
      <c r="V157" s="80" t="s">
        <v>179</v>
      </c>
      <c r="W157" s="80" t="s">
        <v>180</v>
      </c>
      <c r="X157" s="80" t="s">
        <v>100</v>
      </c>
      <c r="Y157" s="80" t="s">
        <v>181</v>
      </c>
      <c r="Z157" s="109" t="s">
        <v>158</v>
      </c>
      <c r="AA157" s="109" t="s">
        <v>182</v>
      </c>
      <c r="AB157" s="109" t="s">
        <v>157</v>
      </c>
      <c r="AC157" s="109" t="s">
        <v>159</v>
      </c>
      <c r="AD157" s="109" t="s">
        <v>160</v>
      </c>
      <c r="AE157" s="109" t="s">
        <v>38</v>
      </c>
      <c r="AF157" s="109" t="s">
        <v>161</v>
      </c>
      <c r="AG157" s="109" t="s">
        <v>162</v>
      </c>
      <c r="AH157" s="109" t="s">
        <v>36</v>
      </c>
      <c r="AI157" s="109" t="s">
        <v>37</v>
      </c>
      <c r="AJ157" s="109" t="s">
        <v>39</v>
      </c>
      <c r="AK157" s="109" t="s">
        <v>40</v>
      </c>
      <c r="AL157" s="109" t="s">
        <v>41</v>
      </c>
      <c r="AM157" s="109" t="s">
        <v>68</v>
      </c>
      <c r="AN157" s="109" t="s">
        <v>183</v>
      </c>
      <c r="AO157" s="109" t="s">
        <v>44</v>
      </c>
      <c r="AP157" s="109" t="s">
        <v>45</v>
      </c>
    </row>
    <row r="158" spans="1:42" ht="14.4" x14ac:dyDescent="0.3">
      <c r="A158" s="110">
        <v>540115</v>
      </c>
      <c r="B158" s="111" t="s">
        <v>0</v>
      </c>
      <c r="C158" s="44">
        <f ca="1">IFERROR(__xludf.DUMMYFUNCTION("GOOGLEFINANCE(""bom:""&amp;A158,""price"")"),5115)</f>
        <v>5115</v>
      </c>
      <c r="D158" s="59">
        <f ca="1">IFERROR(__xludf.DUMMYFUNCTION("GOOGLEFINANCE(""bom:""&amp;A158,""marketcap"")/10000000"),53808.2655)</f>
        <v>53808.265500000001</v>
      </c>
      <c r="E158" s="44">
        <v>5692</v>
      </c>
      <c r="F158" s="44">
        <v>2401</v>
      </c>
      <c r="G158" s="44">
        <v>7710</v>
      </c>
      <c r="H158" s="44">
        <v>2901</v>
      </c>
      <c r="I158" s="44">
        <v>21</v>
      </c>
      <c r="J158" s="44">
        <v>4768</v>
      </c>
      <c r="K158" s="44">
        <v>550</v>
      </c>
      <c r="L158" s="44">
        <v>2728</v>
      </c>
      <c r="M158" s="44">
        <v>2</v>
      </c>
      <c r="N158" s="44"/>
      <c r="O158" s="59">
        <f ca="1">IFERROR(__xludf.DUMMYFUNCTION("GOOGLEFINANCE(""bom:""&amp;A158,""EPS"")"),123.19)</f>
        <v>123.19</v>
      </c>
      <c r="P158" s="33">
        <f t="shared" ref="P158:P217" ca="1" si="0">D158/$D$219</f>
        <v>0.2645410996790491</v>
      </c>
      <c r="Q158" s="44">
        <v>3940</v>
      </c>
      <c r="R158" s="44">
        <v>8013</v>
      </c>
      <c r="S158" s="44">
        <v>1174</v>
      </c>
      <c r="T158" s="44">
        <v>7109</v>
      </c>
      <c r="U158" s="44">
        <v>6444</v>
      </c>
      <c r="V158" s="44">
        <v>964</v>
      </c>
      <c r="W158" s="44">
        <v>875</v>
      </c>
      <c r="X158" s="44">
        <v>44</v>
      </c>
      <c r="Y158" s="44">
        <v>7332</v>
      </c>
      <c r="Z158" s="58">
        <f t="shared" ref="Z158:Z164" si="1">(T158/U158)-1</f>
        <v>0.1031967721911855</v>
      </c>
      <c r="AA158" s="58">
        <f t="shared" ref="AA158:AA164" si="2">(V158/W158)-1</f>
        <v>0.10171428571428565</v>
      </c>
      <c r="AB158" s="58">
        <f t="shared" ref="AB158:AB172" si="3">(R158/Q158)^(1/5)-1</f>
        <v>0.15255002420547359</v>
      </c>
      <c r="AC158" s="58">
        <f t="shared" ref="AC158:AC166" si="4">V158/T158</f>
        <v>0.13560275706850472</v>
      </c>
      <c r="AD158" s="58">
        <f t="shared" ref="AD158:AD172" si="5">S158/R158</f>
        <v>0.14651191813303382</v>
      </c>
      <c r="AE158" s="59">
        <f t="shared" ref="AE158:AE172" si="6">(R158-Y158+X158)/X158</f>
        <v>16.477272727272727</v>
      </c>
      <c r="AF158" s="45">
        <f t="shared" ref="AF158:AF172" si="7">E158/F158</f>
        <v>2.3706788837984174</v>
      </c>
      <c r="AG158" s="59">
        <f t="shared" ref="AG158:AG172" si="8">(L158/R158)*365</f>
        <v>124.26307250717585</v>
      </c>
      <c r="AH158" s="112">
        <f t="shared" ref="AH158:AH172" si="9">K158/J158</f>
        <v>0.11535234899328858</v>
      </c>
      <c r="AI158" s="112">
        <f t="shared" ref="AI158:AI172" si="10">H158/G158</f>
        <v>0.37626459143968871</v>
      </c>
      <c r="AJ158" s="33">
        <f t="shared" ref="AJ158:AJ172" si="11">S158/J158</f>
        <v>0.2462248322147651</v>
      </c>
      <c r="AK158" s="44"/>
      <c r="AL158" s="58">
        <f t="shared" ref="AL158:AL172" si="12">S158/G158</f>
        <v>0.15226977950713358</v>
      </c>
      <c r="AM158" s="59">
        <f ca="1">IFERROR(__xludf.DUMMYFUNCTION("GOOGLEFINANCE(""bom:""&amp;A158,""PE"")"),41.52)</f>
        <v>41.52</v>
      </c>
      <c r="AN158" s="44"/>
      <c r="AO158" s="44"/>
      <c r="AP158" s="44"/>
    </row>
    <row r="159" spans="1:42" ht="14.4" x14ac:dyDescent="0.3">
      <c r="A159" s="110">
        <v>544028</v>
      </c>
      <c r="B159" s="111" t="s">
        <v>143</v>
      </c>
      <c r="C159" s="44">
        <f ca="1">IFERROR(__xludf.DUMMYFUNCTION("GOOGLEFINANCE(""bom:""&amp;A159,""price"")"),997.15)</f>
        <v>997.15</v>
      </c>
      <c r="D159" s="59">
        <f ca="1">IFERROR(__xludf.DUMMYFUNCTION("GOOGLEFINANCE(""bom:""&amp;A159,""marketcap"")/10000000"),40905.1902742)</f>
        <v>40905.190274200002</v>
      </c>
      <c r="E159" s="44">
        <v>3645</v>
      </c>
      <c r="F159" s="44">
        <v>2046</v>
      </c>
      <c r="G159" s="44">
        <v>5142</v>
      </c>
      <c r="H159" s="44">
        <v>2289</v>
      </c>
      <c r="I159" s="44">
        <v>81</v>
      </c>
      <c r="J159" s="44">
        <v>2772</v>
      </c>
      <c r="K159" s="44">
        <v>259</v>
      </c>
      <c r="L159" s="44">
        <v>1224</v>
      </c>
      <c r="M159" s="44">
        <v>2</v>
      </c>
      <c r="N159" s="44"/>
      <c r="O159" s="59">
        <v>15.38</v>
      </c>
      <c r="P159" s="33">
        <f t="shared" ca="1" si="0"/>
        <v>0.20110486590052995</v>
      </c>
      <c r="Q159" s="44">
        <v>2900</v>
      </c>
      <c r="R159" s="44">
        <v>4414</v>
      </c>
      <c r="S159" s="44">
        <v>624</v>
      </c>
      <c r="T159" s="44">
        <v>3816</v>
      </c>
      <c r="U159" s="44">
        <v>3012</v>
      </c>
      <c r="V159" s="44">
        <v>522</v>
      </c>
      <c r="W159" s="44">
        <v>407</v>
      </c>
      <c r="X159" s="44">
        <v>18</v>
      </c>
      <c r="Y159" s="44">
        <v>3705</v>
      </c>
      <c r="Z159" s="58">
        <f t="shared" si="1"/>
        <v>0.26693227091633465</v>
      </c>
      <c r="AA159" s="58">
        <f t="shared" si="2"/>
        <v>0.28255528255528262</v>
      </c>
      <c r="AB159" s="58">
        <f t="shared" si="3"/>
        <v>8.7644244894549139E-2</v>
      </c>
      <c r="AC159" s="58">
        <f t="shared" si="4"/>
        <v>0.13679245283018868</v>
      </c>
      <c r="AD159" s="58">
        <f t="shared" si="5"/>
        <v>0.14136837335749886</v>
      </c>
      <c r="AE159" s="59">
        <f t="shared" si="6"/>
        <v>40.388888888888886</v>
      </c>
      <c r="AF159" s="45">
        <f t="shared" si="7"/>
        <v>1.781524926686217</v>
      </c>
      <c r="AG159" s="59">
        <f t="shared" si="8"/>
        <v>101.21431807884005</v>
      </c>
      <c r="AH159" s="112">
        <f t="shared" si="9"/>
        <v>9.3434343434343439E-2</v>
      </c>
      <c r="AI159" s="112">
        <f t="shared" si="10"/>
        <v>0.44515752625437571</v>
      </c>
      <c r="AJ159" s="33">
        <f t="shared" si="11"/>
        <v>0.22510822510822512</v>
      </c>
      <c r="AK159" s="44"/>
      <c r="AL159" s="58">
        <f t="shared" si="12"/>
        <v>0.12135355892648775</v>
      </c>
      <c r="AM159" s="59">
        <f ca="1">IFERROR(__xludf.DUMMYFUNCTION("GOOGLEFINANCE(""bom:""&amp;A159,""PE"")"),59.63)</f>
        <v>59.63</v>
      </c>
      <c r="AN159" s="44"/>
      <c r="AO159" s="44"/>
      <c r="AP159" s="44"/>
    </row>
    <row r="160" spans="1:42" ht="14.4" x14ac:dyDescent="0.3">
      <c r="A160" s="110">
        <v>532175</v>
      </c>
      <c r="B160" s="111" t="s">
        <v>144</v>
      </c>
      <c r="C160" s="44">
        <f ca="1">IFERROR(__xludf.DUMMYFUNCTION("GOOGLEFINANCE(""bom:""&amp;A160,""price"")"),1860.25)</f>
        <v>1860.25</v>
      </c>
      <c r="D160" s="59">
        <f ca="1">IFERROR(__xludf.DUMMYFUNCTION("GOOGLEFINANCE(""bom:""&amp;A160,""marketcap"")/10000000"),20649.4632925)</f>
        <v>20649.463292500001</v>
      </c>
      <c r="E160" s="44">
        <v>3755</v>
      </c>
      <c r="F160" s="44">
        <v>1912</v>
      </c>
      <c r="G160" s="44">
        <v>7088</v>
      </c>
      <c r="H160" s="44">
        <v>2758</v>
      </c>
      <c r="I160" s="44">
        <v>55</v>
      </c>
      <c r="J160" s="44">
        <v>3982</v>
      </c>
      <c r="K160" s="44">
        <v>844</v>
      </c>
      <c r="L160" s="44">
        <v>1222</v>
      </c>
      <c r="M160" s="44">
        <v>5</v>
      </c>
      <c r="N160" s="44"/>
      <c r="O160" s="59">
        <f ca="1">IFERROR(__xludf.DUMMYFUNCTION("GOOGLEFINANCE(""bom:""&amp;A160,""EPS"")"),61.71)</f>
        <v>61.71</v>
      </c>
      <c r="P160" s="33">
        <f t="shared" ca="1" si="0"/>
        <v>0.10152030875591238</v>
      </c>
      <c r="Q160" s="44">
        <v>3917</v>
      </c>
      <c r="R160" s="44">
        <v>6015</v>
      </c>
      <c r="S160" s="44">
        <v>514</v>
      </c>
      <c r="T160" s="44">
        <v>5286</v>
      </c>
      <c r="U160" s="44">
        <v>4264</v>
      </c>
      <c r="V160" s="44">
        <v>153</v>
      </c>
      <c r="W160" s="44">
        <v>122</v>
      </c>
      <c r="X160" s="44">
        <v>100</v>
      </c>
      <c r="Y160" s="44">
        <v>5369</v>
      </c>
      <c r="Z160" s="58">
        <f t="shared" si="1"/>
        <v>0.23968105065666045</v>
      </c>
      <c r="AA160" s="58">
        <f t="shared" si="2"/>
        <v>0.25409836065573765</v>
      </c>
      <c r="AB160" s="58">
        <f t="shared" si="3"/>
        <v>8.9573198932278109E-2</v>
      </c>
      <c r="AC160" s="58">
        <f t="shared" si="4"/>
        <v>2.8944381384790011E-2</v>
      </c>
      <c r="AD160" s="58">
        <f t="shared" si="5"/>
        <v>8.5453034081463014E-2</v>
      </c>
      <c r="AE160" s="59">
        <f t="shared" si="6"/>
        <v>7.46</v>
      </c>
      <c r="AF160" s="45">
        <f t="shared" si="7"/>
        <v>1.9639121338912133</v>
      </c>
      <c r="AG160" s="59">
        <f t="shared" si="8"/>
        <v>74.152950955943481</v>
      </c>
      <c r="AH160" s="112">
        <f t="shared" si="9"/>
        <v>0.2119537920642893</v>
      </c>
      <c r="AI160" s="112">
        <f t="shared" si="10"/>
        <v>0.38910835214446954</v>
      </c>
      <c r="AJ160" s="33">
        <f t="shared" si="11"/>
        <v>0.12908086388749374</v>
      </c>
      <c r="AK160" s="44"/>
      <c r="AL160" s="58">
        <f t="shared" si="12"/>
        <v>7.2516930022573367E-2</v>
      </c>
      <c r="AM160" s="59">
        <f ca="1">IFERROR(__xludf.DUMMYFUNCTION("GOOGLEFINANCE(""bom:""&amp;A160,""PE"")"),30.15)</f>
        <v>30.15</v>
      </c>
      <c r="AN160" s="44"/>
      <c r="AO160" s="44"/>
      <c r="AP160" s="44"/>
    </row>
    <row r="161" spans="1:42" ht="14.4" x14ac:dyDescent="0.3">
      <c r="A161" s="110">
        <v>542752</v>
      </c>
      <c r="B161" s="111" t="s">
        <v>146</v>
      </c>
      <c r="C161" s="44">
        <f ca="1">IFERROR(__xludf.DUMMYFUNCTION("GOOGLEFINANCE(""bom:""&amp;A161,""price"")"),1379.05)</f>
        <v>1379.05</v>
      </c>
      <c r="D161" s="59">
        <f ca="1">IFERROR(__xludf.DUMMYFUNCTION("GOOGLEFINANCE(""bom:""&amp;A161,""marketcap"")/10000000"),19666.1592)</f>
        <v>19666.159199999998</v>
      </c>
      <c r="E161" s="44">
        <v>1106</v>
      </c>
      <c r="F161" s="44">
        <v>578</v>
      </c>
      <c r="G161" s="44">
        <v>2340</v>
      </c>
      <c r="H161" s="44">
        <v>747</v>
      </c>
      <c r="I161" s="44">
        <v>26</v>
      </c>
      <c r="J161" s="44">
        <v>1566</v>
      </c>
      <c r="K161" s="44">
        <v>227</v>
      </c>
      <c r="L161" s="44">
        <v>277</v>
      </c>
      <c r="M161" s="44">
        <v>2</v>
      </c>
      <c r="N161" s="44"/>
      <c r="O161" s="59">
        <f ca="1">IFERROR(__xludf.DUMMYFUNCTION("GOOGLEFINANCE(""bom:""&amp;A161,""EPS"")"),21.91)</f>
        <v>21.91</v>
      </c>
      <c r="P161" s="33">
        <f t="shared" ca="1" si="0"/>
        <v>9.6686026447577053E-2</v>
      </c>
      <c r="Q161" s="44">
        <v>167</v>
      </c>
      <c r="R161" s="44">
        <v>1434</v>
      </c>
      <c r="S161" s="44">
        <v>245</v>
      </c>
      <c r="T161" s="44">
        <v>1336</v>
      </c>
      <c r="U161" s="44">
        <v>1078</v>
      </c>
      <c r="V161" s="44">
        <v>209</v>
      </c>
      <c r="W161" s="44">
        <v>183</v>
      </c>
      <c r="X161" s="44">
        <v>11</v>
      </c>
      <c r="Y161" s="44">
        <v>1206</v>
      </c>
      <c r="Z161" s="58">
        <f t="shared" si="1"/>
        <v>0.23933209647495368</v>
      </c>
      <c r="AA161" s="58">
        <f t="shared" si="2"/>
        <v>0.14207650273224037</v>
      </c>
      <c r="AB161" s="58">
        <f t="shared" si="3"/>
        <v>0.53732799573642298</v>
      </c>
      <c r="AC161" s="58">
        <f t="shared" si="4"/>
        <v>0.15643712574850299</v>
      </c>
      <c r="AD161" s="58">
        <f t="shared" si="5"/>
        <v>0.17085076708507671</v>
      </c>
      <c r="AE161" s="59">
        <f t="shared" si="6"/>
        <v>21.727272727272727</v>
      </c>
      <c r="AF161" s="45">
        <f t="shared" si="7"/>
        <v>1.9134948096885813</v>
      </c>
      <c r="AG161" s="59">
        <f t="shared" si="8"/>
        <v>70.505578800557885</v>
      </c>
      <c r="AH161" s="112">
        <f t="shared" si="9"/>
        <v>0.14495530012771393</v>
      </c>
      <c r="AI161" s="112">
        <f t="shared" si="10"/>
        <v>0.31923076923076921</v>
      </c>
      <c r="AJ161" s="33">
        <f t="shared" si="11"/>
        <v>0.15644955300127714</v>
      </c>
      <c r="AK161" s="44"/>
      <c r="AL161" s="58">
        <f t="shared" si="12"/>
        <v>0.1047008547008547</v>
      </c>
      <c r="AM161" s="59">
        <f ca="1">IFERROR(__xludf.DUMMYFUNCTION("GOOGLEFINANCE(""bom:""&amp;A161,""PE"")"),62.94)</f>
        <v>62.94</v>
      </c>
      <c r="AN161" s="44"/>
      <c r="AO161" s="44"/>
      <c r="AP161" s="44"/>
    </row>
    <row r="162" spans="1:42" ht="14.4" x14ac:dyDescent="0.3">
      <c r="A162" s="110">
        <v>532735</v>
      </c>
      <c r="B162" s="111" t="s">
        <v>147</v>
      </c>
      <c r="C162" s="44">
        <f ca="1">IFERROR(__xludf.DUMMYFUNCTION("GOOGLEFINANCE(""bom:""&amp;A162,""price"")"),478.9)</f>
        <v>478.9</v>
      </c>
      <c r="D162" s="59">
        <f ca="1">IFERROR(__xludf.DUMMYFUNCTION("GOOGLEFINANCE(""bom:""&amp;A162,""marketcap"")/10000000"),5992.4522174)</f>
        <v>5992.4522174000003</v>
      </c>
      <c r="E162" s="44">
        <v>788</v>
      </c>
      <c r="F162" s="44">
        <v>291</v>
      </c>
      <c r="G162" s="44">
        <v>975</v>
      </c>
      <c r="H162" s="44">
        <v>381</v>
      </c>
      <c r="I162" s="44">
        <v>12</v>
      </c>
      <c r="J162" s="44">
        <v>583</v>
      </c>
      <c r="K162" s="44">
        <v>127</v>
      </c>
      <c r="L162" s="44">
        <v>233</v>
      </c>
      <c r="M162" s="44">
        <v>1</v>
      </c>
      <c r="N162" s="44"/>
      <c r="O162" s="59">
        <v>14.66</v>
      </c>
      <c r="P162" s="33">
        <f t="shared" ca="1" si="0"/>
        <v>2.9461085293023472E-2</v>
      </c>
      <c r="Q162" s="44">
        <v>317</v>
      </c>
      <c r="R162" s="44">
        <v>1515</v>
      </c>
      <c r="S162" s="44">
        <v>140</v>
      </c>
      <c r="T162" s="44">
        <v>1268</v>
      </c>
      <c r="U162" s="44">
        <v>1161</v>
      </c>
      <c r="V162" s="44">
        <v>94</v>
      </c>
      <c r="W162" s="44">
        <v>98</v>
      </c>
      <c r="X162" s="44">
        <v>5</v>
      </c>
      <c r="Y162" s="44">
        <v>1355</v>
      </c>
      <c r="Z162" s="58">
        <f t="shared" si="1"/>
        <v>9.2161929371231688E-2</v>
      </c>
      <c r="AA162" s="58">
        <f t="shared" si="2"/>
        <v>-4.081632653061229E-2</v>
      </c>
      <c r="AB162" s="58">
        <f t="shared" si="3"/>
        <v>0.36732159869815861</v>
      </c>
      <c r="AC162" s="58">
        <f t="shared" si="4"/>
        <v>7.4132492113564666E-2</v>
      </c>
      <c r="AD162" s="58">
        <f t="shared" si="5"/>
        <v>9.2409240924092403E-2</v>
      </c>
      <c r="AE162" s="59">
        <f t="shared" si="6"/>
        <v>33</v>
      </c>
      <c r="AF162" s="45">
        <f t="shared" si="7"/>
        <v>2.7079037800687287</v>
      </c>
      <c r="AG162" s="59">
        <f t="shared" si="8"/>
        <v>56.135313531353141</v>
      </c>
      <c r="AH162" s="112">
        <f t="shared" si="9"/>
        <v>0.21783876500857632</v>
      </c>
      <c r="AI162" s="112">
        <f t="shared" si="10"/>
        <v>0.39076923076923076</v>
      </c>
      <c r="AJ162" s="33">
        <f t="shared" si="11"/>
        <v>0.24013722126929674</v>
      </c>
      <c r="AK162" s="44"/>
      <c r="AL162" s="58">
        <f t="shared" si="12"/>
        <v>0.14358974358974358</v>
      </c>
      <c r="AM162" s="59" t="str">
        <f ca="1">IFERROR(__xludf.DUMMYFUNCTION("GOOGLEFINANCE(""bom:""&amp;A162,""PE"")"),"#N/A")</f>
        <v>#N/A</v>
      </c>
      <c r="AN162" s="44"/>
      <c r="AO162" s="44"/>
      <c r="AP162" s="44"/>
    </row>
    <row r="163" spans="1:42" ht="14.4" x14ac:dyDescent="0.3">
      <c r="A163" s="110">
        <v>543533</v>
      </c>
      <c r="B163" s="111" t="s">
        <v>148</v>
      </c>
      <c r="C163" s="44">
        <f ca="1">IFERROR(__xludf.DUMMYFUNCTION("GOOGLEFINANCE(""bom:""&amp;A163,""price"")"),871.7)</f>
        <v>871.7</v>
      </c>
      <c r="D163" s="59">
        <f ca="1">IFERROR(__xludf.DUMMYFUNCTION("GOOGLEFINANCE(""bom:""&amp;A163,""marketcap"")/10000000"),7265.040968)</f>
        <v>7265.0409680000002</v>
      </c>
      <c r="E163" s="44">
        <v>236</v>
      </c>
      <c r="F163" s="44">
        <v>74</v>
      </c>
      <c r="G163" s="44">
        <v>511</v>
      </c>
      <c r="H163" s="44">
        <v>86</v>
      </c>
      <c r="I163" s="44">
        <v>38</v>
      </c>
      <c r="J163" s="44">
        <v>380</v>
      </c>
      <c r="K163" s="44">
        <v>25</v>
      </c>
      <c r="L163" s="44">
        <v>104</v>
      </c>
      <c r="M163" s="44">
        <v>5</v>
      </c>
      <c r="N163" s="44"/>
      <c r="O163" s="59">
        <f ca="1">IFERROR(__xludf.DUMMYFUNCTION("GOOGLEFINANCE(""bom:""&amp;A163,""EPS"")"),9.5)</f>
        <v>9.5</v>
      </c>
      <c r="P163" s="33">
        <f t="shared" ca="1" si="0"/>
        <v>3.5717596711755437E-2</v>
      </c>
      <c r="Q163" s="44">
        <v>100</v>
      </c>
      <c r="R163" s="44">
        <v>248</v>
      </c>
      <c r="S163" s="44">
        <v>61</v>
      </c>
      <c r="T163" s="44">
        <v>273</v>
      </c>
      <c r="U163" s="44">
        <v>172</v>
      </c>
      <c r="V163" s="44">
        <v>55</v>
      </c>
      <c r="W163" s="44">
        <v>45</v>
      </c>
      <c r="X163" s="44">
        <v>4</v>
      </c>
      <c r="Y163" s="44">
        <v>181</v>
      </c>
      <c r="Z163" s="58">
        <f t="shared" si="1"/>
        <v>0.58720930232558133</v>
      </c>
      <c r="AA163" s="58">
        <f t="shared" si="2"/>
        <v>0.22222222222222232</v>
      </c>
      <c r="AB163" s="58">
        <f t="shared" si="3"/>
        <v>0.1991964554448078</v>
      </c>
      <c r="AC163" s="58">
        <f t="shared" si="4"/>
        <v>0.20146520146520147</v>
      </c>
      <c r="AD163" s="58">
        <f t="shared" si="5"/>
        <v>0.24596774193548387</v>
      </c>
      <c r="AE163" s="59">
        <f t="shared" si="6"/>
        <v>17.75</v>
      </c>
      <c r="AF163" s="45">
        <f t="shared" si="7"/>
        <v>3.189189189189189</v>
      </c>
      <c r="AG163" s="59">
        <f t="shared" si="8"/>
        <v>153.06451612903226</v>
      </c>
      <c r="AH163" s="112">
        <f t="shared" si="9"/>
        <v>6.5789473684210523E-2</v>
      </c>
      <c r="AI163" s="112">
        <f t="shared" si="10"/>
        <v>0.16829745596868884</v>
      </c>
      <c r="AJ163" s="33">
        <f t="shared" si="11"/>
        <v>0.16052631578947368</v>
      </c>
      <c r="AK163" s="44"/>
      <c r="AL163" s="58">
        <f t="shared" si="12"/>
        <v>0.11937377690802348</v>
      </c>
      <c r="AM163" s="59">
        <f ca="1">IFERROR(__xludf.DUMMYFUNCTION("GOOGLEFINANCE(""bom:""&amp;A163,""PE"")"),91.76)</f>
        <v>91.76</v>
      </c>
      <c r="AN163" s="44"/>
      <c r="AO163" s="44"/>
      <c r="AP163" s="44"/>
    </row>
    <row r="164" spans="1:42" ht="14.4" x14ac:dyDescent="0.3">
      <c r="A164" s="110">
        <v>544021</v>
      </c>
      <c r="B164" s="111" t="s">
        <v>151</v>
      </c>
      <c r="C164" s="44">
        <f ca="1">IFERROR(__xludf.DUMMYFUNCTION("GOOGLEFINANCE(""bom:""&amp;A164,""price"")"),1686.7)</f>
        <v>1686.7</v>
      </c>
      <c r="D164" s="59">
        <f ca="1">IFERROR(__xludf.DUMMYFUNCTION("GOOGLEFINANCE(""bom:""&amp;A164,""marketcap"")/10000000"),6833.4894353)</f>
        <v>6833.4894353</v>
      </c>
      <c r="E164" s="44">
        <v>463</v>
      </c>
      <c r="F164" s="44">
        <v>249</v>
      </c>
      <c r="G164" s="44">
        <v>1158</v>
      </c>
      <c r="H164" s="44">
        <v>303</v>
      </c>
      <c r="I164" s="44">
        <v>40</v>
      </c>
      <c r="J164" s="44">
        <v>839</v>
      </c>
      <c r="K164" s="44">
        <v>19</v>
      </c>
      <c r="L164" s="44">
        <v>242</v>
      </c>
      <c r="M164" s="44">
        <v>10</v>
      </c>
      <c r="N164" s="44"/>
      <c r="O164" s="59">
        <f ca="1">IFERROR(__xludf.DUMMYFUNCTION("GOOGLEFINANCE(""bom:""&amp;A164,""EPS"")"),23.94)</f>
        <v>23.94</v>
      </c>
      <c r="P164" s="33">
        <f t="shared" ca="1" si="0"/>
        <v>3.3595931648445834E-2</v>
      </c>
      <c r="Q164" s="44">
        <v>898</v>
      </c>
      <c r="R164" s="44">
        <v>741</v>
      </c>
      <c r="S164" s="44">
        <v>107</v>
      </c>
      <c r="T164" s="44">
        <v>659</v>
      </c>
      <c r="U164" s="44">
        <v>510</v>
      </c>
      <c r="V164" s="44">
        <v>82</v>
      </c>
      <c r="W164" s="44">
        <v>76</v>
      </c>
      <c r="X164" s="44">
        <v>1</v>
      </c>
      <c r="Y164" s="44">
        <v>642</v>
      </c>
      <c r="Z164" s="58">
        <f t="shared" si="1"/>
        <v>0.29215686274509811</v>
      </c>
      <c r="AA164" s="58">
        <f t="shared" si="2"/>
        <v>7.8947368421052655E-2</v>
      </c>
      <c r="AB164" s="58">
        <f t="shared" si="3"/>
        <v>-3.7704678673366465E-2</v>
      </c>
      <c r="AC164" s="58">
        <f t="shared" si="4"/>
        <v>0.1244309559939302</v>
      </c>
      <c r="AD164" s="58">
        <f t="shared" si="5"/>
        <v>0.14439946018893388</v>
      </c>
      <c r="AE164" s="59">
        <f t="shared" si="6"/>
        <v>100</v>
      </c>
      <c r="AF164" s="45">
        <f t="shared" si="7"/>
        <v>1.8594377510040161</v>
      </c>
      <c r="AG164" s="59">
        <f t="shared" si="8"/>
        <v>119.20377867746288</v>
      </c>
      <c r="AH164" s="112">
        <f t="shared" si="9"/>
        <v>2.2646007151370679E-2</v>
      </c>
      <c r="AI164" s="112">
        <f t="shared" si="10"/>
        <v>0.26165803108808289</v>
      </c>
      <c r="AJ164" s="33">
        <f t="shared" si="11"/>
        <v>0.12753277711561384</v>
      </c>
      <c r="AK164" s="44"/>
      <c r="AL164" s="58">
        <f t="shared" si="12"/>
        <v>9.2400690846286701E-2</v>
      </c>
      <c r="AM164" s="59">
        <f ca="1">IFERROR(__xludf.DUMMYFUNCTION("GOOGLEFINANCE(""bom:""&amp;A164,""PE"")"),70.46)</f>
        <v>70.459999999999994</v>
      </c>
      <c r="AN164" s="44"/>
      <c r="AO164" s="44"/>
      <c r="AP164" s="44"/>
    </row>
    <row r="165" spans="1:42" ht="14.4" x14ac:dyDescent="0.3">
      <c r="A165" s="110">
        <v>543985</v>
      </c>
      <c r="B165" s="111" t="s">
        <v>152</v>
      </c>
      <c r="C165" s="44">
        <f ca="1">IFERROR(__xludf.DUMMYFUNCTION("GOOGLEFINANCE(""bom:""&amp;A165,""price"")"),300)</f>
        <v>300</v>
      </c>
      <c r="D165" s="59">
        <f ca="1">IFERROR(__xludf.DUMMYFUNCTION("GOOGLEFINANCE(""bom:""&amp;A165,""marketcap"")/10000000"),3885.68726)</f>
        <v>3885.6872600000002</v>
      </c>
      <c r="E165" s="44">
        <v>605</v>
      </c>
      <c r="F165" s="44">
        <v>81</v>
      </c>
      <c r="G165" s="44">
        <v>652</v>
      </c>
      <c r="H165" s="44">
        <v>121</v>
      </c>
      <c r="I165" s="44">
        <v>12</v>
      </c>
      <c r="J165" s="44">
        <v>519</v>
      </c>
      <c r="K165" s="44">
        <v>77</v>
      </c>
      <c r="L165" s="44">
        <v>121</v>
      </c>
      <c r="M165" s="44">
        <v>1</v>
      </c>
      <c r="N165" s="44"/>
      <c r="O165" s="59">
        <v>2.5499999999999998</v>
      </c>
      <c r="P165" s="33">
        <f t="shared" ca="1" si="0"/>
        <v>1.9103458757080197E-2</v>
      </c>
      <c r="Q165" s="44">
        <v>68</v>
      </c>
      <c r="R165" s="44">
        <v>553</v>
      </c>
      <c r="S165" s="44">
        <v>23</v>
      </c>
      <c r="T165" s="44">
        <v>502</v>
      </c>
      <c r="U165" s="44"/>
      <c r="V165" s="44">
        <v>25</v>
      </c>
      <c r="W165" s="44"/>
      <c r="X165" s="44">
        <v>11</v>
      </c>
      <c r="Y165" s="44">
        <v>522</v>
      </c>
      <c r="Z165" s="58">
        <f>(689/523)-1</f>
        <v>0.31739961759082225</v>
      </c>
      <c r="AA165" s="58">
        <f>(32/23)-1</f>
        <v>0.39130434782608692</v>
      </c>
      <c r="AB165" s="58">
        <f t="shared" si="3"/>
        <v>0.52069894175279496</v>
      </c>
      <c r="AC165" s="58">
        <f t="shared" si="4"/>
        <v>4.9800796812749001E-2</v>
      </c>
      <c r="AD165" s="58">
        <f t="shared" si="5"/>
        <v>4.1591320072332731E-2</v>
      </c>
      <c r="AE165" s="59">
        <f t="shared" si="6"/>
        <v>3.8181818181818183</v>
      </c>
      <c r="AF165" s="45">
        <f t="shared" si="7"/>
        <v>7.4691358024691361</v>
      </c>
      <c r="AG165" s="59">
        <f t="shared" si="8"/>
        <v>79.86437613019892</v>
      </c>
      <c r="AH165" s="112">
        <f t="shared" si="9"/>
        <v>0.14836223506743737</v>
      </c>
      <c r="AI165" s="112">
        <f t="shared" si="10"/>
        <v>0.18558282208588958</v>
      </c>
      <c r="AJ165" s="33">
        <f t="shared" si="11"/>
        <v>4.4315992292870907E-2</v>
      </c>
      <c r="AK165" s="44"/>
      <c r="AL165" s="58">
        <f t="shared" si="12"/>
        <v>3.5276073619631899E-2</v>
      </c>
      <c r="AM165" s="59">
        <f ca="1">IFERROR(__xludf.DUMMYFUNCTION("GOOGLEFINANCE(""bom:""&amp;A165,""PE"")"),74.44)</f>
        <v>74.44</v>
      </c>
      <c r="AN165" s="44"/>
      <c r="AO165" s="44"/>
      <c r="AP165" s="44"/>
    </row>
    <row r="166" spans="1:42" ht="14.4" x14ac:dyDescent="0.3">
      <c r="A166" s="110">
        <v>500463</v>
      </c>
      <c r="B166" s="111" t="s">
        <v>145</v>
      </c>
      <c r="C166" s="44">
        <f ca="1">IFERROR(__xludf.DUMMYFUNCTION("GOOGLEFINANCE(""bom:""&amp;A166,""price"")"),395)</f>
        <v>395</v>
      </c>
      <c r="D166" s="59">
        <f ca="1">IFERROR(__xludf.DUMMYFUNCTION("GOOGLEFINANCE(""bom:""&amp;A166,""marketcap"")/10000000"),6838.45725)</f>
        <v>6838.4572500000004</v>
      </c>
      <c r="E166" s="44">
        <v>2038</v>
      </c>
      <c r="F166" s="44">
        <v>1948</v>
      </c>
      <c r="G166" s="44">
        <v>2037</v>
      </c>
      <c r="H166" s="44">
        <v>2652</v>
      </c>
      <c r="I166" s="44">
        <v>33</v>
      </c>
      <c r="J166" s="44">
        <v>318</v>
      </c>
      <c r="K166" s="44">
        <v>666</v>
      </c>
      <c r="L166" s="44">
        <v>429</v>
      </c>
      <c r="M166" s="44">
        <v>2</v>
      </c>
      <c r="N166" s="44"/>
      <c r="O166" s="59">
        <v>0.1</v>
      </c>
      <c r="P166" s="33">
        <f t="shared" ca="1" si="0"/>
        <v>3.3620355241206691E-2</v>
      </c>
      <c r="Q166" s="44">
        <v>733</v>
      </c>
      <c r="R166" s="44">
        <v>6287</v>
      </c>
      <c r="S166" s="44">
        <v>23.7</v>
      </c>
      <c r="T166" s="44">
        <v>4801</v>
      </c>
      <c r="U166" s="44">
        <v>4605</v>
      </c>
      <c r="V166" s="44">
        <v>97</v>
      </c>
      <c r="W166" s="44">
        <v>0.6</v>
      </c>
      <c r="X166" s="44">
        <v>111</v>
      </c>
      <c r="Y166" s="44">
        <v>6233</v>
      </c>
      <c r="Z166" s="58">
        <f>(T166/U166)-1</f>
        <v>4.2562432138979478E-2</v>
      </c>
      <c r="AA166" s="58">
        <f>(V166/W166)-1</f>
        <v>160.66666666666669</v>
      </c>
      <c r="AB166" s="58">
        <f t="shared" si="3"/>
        <v>0.53697887061095506</v>
      </c>
      <c r="AC166" s="58">
        <f t="shared" si="4"/>
        <v>2.0204124140804001E-2</v>
      </c>
      <c r="AD166" s="58">
        <f t="shared" si="5"/>
        <v>3.7696834738348973E-3</v>
      </c>
      <c r="AE166" s="59">
        <f t="shared" si="6"/>
        <v>1.4864864864864864</v>
      </c>
      <c r="AF166" s="45">
        <f t="shared" si="7"/>
        <v>1.0462012320328542</v>
      </c>
      <c r="AG166" s="59">
        <f t="shared" si="8"/>
        <v>24.906155559090188</v>
      </c>
      <c r="AH166" s="112">
        <f t="shared" si="9"/>
        <v>2.0943396226415096</v>
      </c>
      <c r="AI166" s="112">
        <f t="shared" si="10"/>
        <v>1.3019145802650958</v>
      </c>
      <c r="AJ166" s="33">
        <f t="shared" si="11"/>
        <v>7.452830188679245E-2</v>
      </c>
      <c r="AK166" s="44"/>
      <c r="AL166" s="58">
        <f t="shared" si="12"/>
        <v>1.1634756995581738E-2</v>
      </c>
      <c r="AM166" s="59" t="str">
        <f ca="1">IFERROR(__xludf.DUMMYFUNCTION("GOOGLEFINANCE(""bom:""&amp;A166,""PE"")"),"#N/A")</f>
        <v>#N/A</v>
      </c>
      <c r="AN166" s="44"/>
      <c r="AO166" s="44"/>
      <c r="AP166" s="44"/>
    </row>
    <row r="167" spans="1:42" ht="14.4" x14ac:dyDescent="0.3">
      <c r="A167" s="110">
        <v>532368</v>
      </c>
      <c r="B167" s="111" t="s">
        <v>142</v>
      </c>
      <c r="C167" s="44">
        <f ca="1">IFERROR(__xludf.DUMMYFUNCTION("GOOGLEFINANCE(""bom:""&amp;A167,""price"")"),7.72)</f>
        <v>7.72</v>
      </c>
      <c r="D167" s="59">
        <f ca="1">IFERROR(__xludf.DUMMYFUNCTION("GOOGLEFINANCE(""bom:""&amp;A167,""marketcap"")/10000000"),1541.0269861)</f>
        <v>1541.0269860999999</v>
      </c>
      <c r="E167" s="44"/>
      <c r="F167" s="44"/>
      <c r="G167" s="44">
        <v>47896</v>
      </c>
      <c r="H167" s="44">
        <f>G167-I167-J167</f>
        <v>40895</v>
      </c>
      <c r="I167" s="44">
        <v>404</v>
      </c>
      <c r="J167" s="44">
        <v>6597</v>
      </c>
      <c r="K167" s="44">
        <v>0</v>
      </c>
      <c r="L167" s="44">
        <v>2992</v>
      </c>
      <c r="M167" s="44">
        <v>2</v>
      </c>
      <c r="N167" s="44"/>
      <c r="O167" s="59" t="str">
        <f ca="1">IFERROR(__xludf.DUMMYFUNCTION("GOOGLEFINANCE(""bom:""&amp;A167,""EPS"")"),"#N/A")</f>
        <v>#N/A</v>
      </c>
      <c r="P167" s="33">
        <f t="shared" ca="1" si="0"/>
        <v>7.5762518964300144E-3</v>
      </c>
      <c r="Q167" s="44">
        <v>2421</v>
      </c>
      <c r="R167" s="44">
        <v>7397</v>
      </c>
      <c r="S167" s="44">
        <v>1371</v>
      </c>
      <c r="T167" s="44"/>
      <c r="U167" s="44"/>
      <c r="V167" s="44"/>
      <c r="W167" s="44"/>
      <c r="X167" s="44">
        <v>1</v>
      </c>
      <c r="Y167" s="44">
        <v>5224</v>
      </c>
      <c r="Z167" s="58">
        <f>(7606/7397)-1</f>
        <v>2.8254697850479848E-2</v>
      </c>
      <c r="AA167" s="58">
        <f>(1415/1371)-1</f>
        <v>3.209336250911754E-2</v>
      </c>
      <c r="AB167" s="58">
        <f t="shared" si="3"/>
        <v>0.25029405410139272</v>
      </c>
      <c r="AC167" s="58">
        <f>1415/7606</f>
        <v>0.18603733894293978</v>
      </c>
      <c r="AD167" s="58">
        <f t="shared" si="5"/>
        <v>0.18534541030147356</v>
      </c>
      <c r="AE167" s="59">
        <f t="shared" si="6"/>
        <v>2174</v>
      </c>
      <c r="AF167" s="45" t="e">
        <f t="shared" si="7"/>
        <v>#DIV/0!</v>
      </c>
      <c r="AG167" s="59">
        <f t="shared" si="8"/>
        <v>147.63823171556035</v>
      </c>
      <c r="AH167" s="112">
        <f t="shared" si="9"/>
        <v>0</v>
      </c>
      <c r="AI167" s="112">
        <f t="shared" si="10"/>
        <v>0.85382912978119263</v>
      </c>
      <c r="AJ167" s="33">
        <f t="shared" si="11"/>
        <v>0.20782173715325147</v>
      </c>
      <c r="AK167" s="44"/>
      <c r="AL167" s="58">
        <f t="shared" si="12"/>
        <v>2.8624519792884582E-2</v>
      </c>
      <c r="AM167" s="59" t="str">
        <f ca="1">IFERROR(__xludf.DUMMYFUNCTION("GOOGLEFINANCE(""bom:""&amp;A167,""PE"")"),"#N/A")</f>
        <v>#N/A</v>
      </c>
      <c r="AN167" s="44"/>
      <c r="AO167" s="44"/>
      <c r="AP167" s="44"/>
    </row>
    <row r="168" spans="1:42" ht="14.4" x14ac:dyDescent="0.3">
      <c r="A168" s="110">
        <v>532528</v>
      </c>
      <c r="B168" s="111" t="s">
        <v>150</v>
      </c>
      <c r="C168" s="44">
        <f ca="1">IFERROR(__xludf.DUMMYFUNCTION("GOOGLEFINANCE(""bom:""&amp;A168,""price"")"),629.9)</f>
        <v>629.9</v>
      </c>
      <c r="D168" s="59">
        <f ca="1">IFERROR(__xludf.DUMMYFUNCTION("GOOGLEFINANCE(""bom:""&amp;A168,""marketcap"")/10000000"),3642.4176778)</f>
        <v>3642.4176778000001</v>
      </c>
      <c r="E168" s="44">
        <v>986</v>
      </c>
      <c r="F168" s="44">
        <v>199</v>
      </c>
      <c r="G168" s="44">
        <v>1381</v>
      </c>
      <c r="H168" s="44">
        <v>263</v>
      </c>
      <c r="I168" s="44">
        <v>29</v>
      </c>
      <c r="J168" s="44">
        <v>1096</v>
      </c>
      <c r="K168" s="44">
        <v>16</v>
      </c>
      <c r="L168" s="44">
        <v>269</v>
      </c>
      <c r="M168" s="44">
        <v>5</v>
      </c>
      <c r="N168" s="44"/>
      <c r="O168" s="59">
        <f ca="1">IFERROR(__xludf.DUMMYFUNCTION("GOOGLEFINANCE(""bom:""&amp;A168,""EPS"")"),33.6)</f>
        <v>33.6</v>
      </c>
      <c r="P168" s="33">
        <f t="shared" ca="1" si="0"/>
        <v>1.7907456577941922E-2</v>
      </c>
      <c r="Q168" s="44">
        <v>910</v>
      </c>
      <c r="R168" s="44">
        <v>1459</v>
      </c>
      <c r="S168" s="44">
        <v>185</v>
      </c>
      <c r="T168" s="44">
        <v>1137</v>
      </c>
      <c r="U168" s="44">
        <v>1043</v>
      </c>
      <c r="V168" s="44">
        <v>145</v>
      </c>
      <c r="W168" s="44">
        <v>127</v>
      </c>
      <c r="X168" s="44">
        <v>3</v>
      </c>
      <c r="Y168" s="44">
        <v>1254</v>
      </c>
      <c r="Z168" s="58">
        <f t="shared" ref="Z168:Z172" si="13">(T168/U168)-1</f>
        <v>9.0124640460210959E-2</v>
      </c>
      <c r="AA168" s="58">
        <f t="shared" ref="AA168:AA172" si="14">(V168/W168)-1</f>
        <v>0.1417322834645669</v>
      </c>
      <c r="AB168" s="58">
        <f t="shared" si="3"/>
        <v>9.9012874180008481E-2</v>
      </c>
      <c r="AC168" s="58">
        <f t="shared" ref="AC168:AC172" si="15">V168/T168</f>
        <v>0.12752858399296393</v>
      </c>
      <c r="AD168" s="58">
        <f t="shared" si="5"/>
        <v>0.12679917751884853</v>
      </c>
      <c r="AE168" s="59">
        <f t="shared" si="6"/>
        <v>69.333333333333329</v>
      </c>
      <c r="AF168" s="45">
        <f t="shared" si="7"/>
        <v>4.9547738693467336</v>
      </c>
      <c r="AG168" s="59">
        <f t="shared" si="8"/>
        <v>67.296093214530501</v>
      </c>
      <c r="AH168" s="112">
        <f t="shared" si="9"/>
        <v>1.4598540145985401E-2</v>
      </c>
      <c r="AI168" s="112">
        <f t="shared" si="10"/>
        <v>0.19044170890658943</v>
      </c>
      <c r="AJ168" s="33">
        <f t="shared" si="11"/>
        <v>0.16879562043795621</v>
      </c>
      <c r="AK168" s="44"/>
      <c r="AL168" s="58">
        <f t="shared" si="12"/>
        <v>0.1339608979000724</v>
      </c>
      <c r="AM168" s="59">
        <f ca="1">IFERROR(__xludf.DUMMYFUNCTION("GOOGLEFINANCE(""bom:""&amp;A168,""PE"")"),18.75)</f>
        <v>18.75</v>
      </c>
      <c r="AN168" s="44"/>
      <c r="AO168" s="44"/>
      <c r="AP168" s="44"/>
    </row>
    <row r="169" spans="1:42" ht="14.4" x14ac:dyDescent="0.3">
      <c r="A169" s="110">
        <v>534758</v>
      </c>
      <c r="B169" s="111" t="s">
        <v>149</v>
      </c>
      <c r="C169" s="44">
        <f ca="1">IFERROR(__xludf.DUMMYFUNCTION("GOOGLEFINANCE(""bom:""&amp;A169,""price"")"),1349.25)</f>
        <v>1349.25</v>
      </c>
      <c r="D169" s="59">
        <f ca="1">IFERROR(__xludf.DUMMYFUNCTION("GOOGLEFINANCE(""bom:""&amp;A169,""marketcap"")/10000000"),3727.775052)</f>
        <v>3727.775052</v>
      </c>
      <c r="E169" s="44">
        <v>754</v>
      </c>
      <c r="F169" s="44">
        <v>212</v>
      </c>
      <c r="G169" s="44">
        <v>912</v>
      </c>
      <c r="H169" s="44">
        <v>534</v>
      </c>
      <c r="I169" s="44">
        <v>27</v>
      </c>
      <c r="J169" s="44">
        <v>641</v>
      </c>
      <c r="K169" s="44">
        <v>54</v>
      </c>
      <c r="L169" s="44">
        <v>285</v>
      </c>
      <c r="M169" s="44">
        <v>10</v>
      </c>
      <c r="N169" s="44"/>
      <c r="O169" s="59">
        <f ca="1">IFERROR(__xludf.DUMMYFUNCTION("GOOGLEFINANCE(""bom:""&amp;A169,""EPS"")"),68.01)</f>
        <v>68.010000000000005</v>
      </c>
      <c r="P169" s="33">
        <f t="shared" ca="1" si="0"/>
        <v>1.8327104626931424E-2</v>
      </c>
      <c r="Q169" s="44">
        <v>693</v>
      </c>
      <c r="R169" s="44">
        <v>1647</v>
      </c>
      <c r="S169" s="44">
        <v>168</v>
      </c>
      <c r="T169" s="44">
        <v>1359</v>
      </c>
      <c r="U169" s="44">
        <v>1222</v>
      </c>
      <c r="V169" s="44">
        <v>138</v>
      </c>
      <c r="W169" s="44">
        <v>119</v>
      </c>
      <c r="X169" s="44">
        <v>4</v>
      </c>
      <c r="Y169" s="44">
        <v>1440</v>
      </c>
      <c r="Z169" s="58">
        <f t="shared" si="13"/>
        <v>0.11211129296235689</v>
      </c>
      <c r="AA169" s="58">
        <f t="shared" si="14"/>
        <v>0.15966386554621859</v>
      </c>
      <c r="AB169" s="58">
        <f t="shared" si="3"/>
        <v>0.18902797570241692</v>
      </c>
      <c r="AC169" s="58">
        <f t="shared" si="15"/>
        <v>0.10154525386313466</v>
      </c>
      <c r="AD169" s="58">
        <f t="shared" si="5"/>
        <v>0.10200364298724955</v>
      </c>
      <c r="AE169" s="59">
        <f t="shared" si="6"/>
        <v>52.75</v>
      </c>
      <c r="AF169" s="45">
        <f t="shared" si="7"/>
        <v>3.5566037735849059</v>
      </c>
      <c r="AG169" s="59">
        <f t="shared" si="8"/>
        <v>63.160291438979961</v>
      </c>
      <c r="AH169" s="112">
        <f t="shared" si="9"/>
        <v>8.4243369734789394E-2</v>
      </c>
      <c r="AI169" s="112">
        <f t="shared" si="10"/>
        <v>0.58552631578947367</v>
      </c>
      <c r="AJ169" s="33">
        <f t="shared" si="11"/>
        <v>0.26209048361934478</v>
      </c>
      <c r="AK169" s="44"/>
      <c r="AL169" s="58">
        <f t="shared" si="12"/>
        <v>0.18421052631578946</v>
      </c>
      <c r="AM169" s="59">
        <f ca="1">IFERROR(__xludf.DUMMYFUNCTION("GOOGLEFINANCE(""bom:""&amp;A169,""PE"")"),15.32)</f>
        <v>15.32</v>
      </c>
      <c r="AN169" s="44"/>
      <c r="AO169" s="44"/>
      <c r="AP169" s="44"/>
    </row>
    <row r="170" spans="1:42" ht="14.4" x14ac:dyDescent="0.3">
      <c r="A170" s="110">
        <v>532395</v>
      </c>
      <c r="B170" s="111" t="s">
        <v>153</v>
      </c>
      <c r="C170" s="44">
        <f ca="1">IFERROR(__xludf.DUMMYFUNCTION("GOOGLEFINANCE(""bom:""&amp;A170,""price"")"),555.15)</f>
        <v>555.15</v>
      </c>
      <c r="D170" s="59">
        <f ca="1">IFERROR(__xludf.DUMMYFUNCTION("GOOGLEFINANCE(""bom:""&amp;A170,""marketcap"")/10000000"),2438.1733849)</f>
        <v>2438.1733849000002</v>
      </c>
      <c r="E170" s="44">
        <v>571</v>
      </c>
      <c r="F170" s="44">
        <v>324</v>
      </c>
      <c r="G170" s="44">
        <v>1028</v>
      </c>
      <c r="H170" s="44">
        <v>661</v>
      </c>
      <c r="I170" s="44">
        <v>19</v>
      </c>
      <c r="J170" s="44">
        <v>341</v>
      </c>
      <c r="K170" s="44">
        <v>428</v>
      </c>
      <c r="L170" s="44">
        <v>222</v>
      </c>
      <c r="M170" s="44">
        <v>5</v>
      </c>
      <c r="N170" s="44"/>
      <c r="O170" s="59">
        <f ca="1">IFERROR(__xludf.DUMMYFUNCTION("GOOGLEFINANCE(""bom:""&amp;A170,""EPS"")"),7.74)</f>
        <v>7.74</v>
      </c>
      <c r="P170" s="33">
        <f t="shared" ca="1" si="0"/>
        <v>1.1986951492603594E-2</v>
      </c>
      <c r="Q170" s="44">
        <v>519</v>
      </c>
      <c r="R170" s="44">
        <v>813</v>
      </c>
      <c r="S170" s="44">
        <v>-5</v>
      </c>
      <c r="T170" s="44">
        <v>696</v>
      </c>
      <c r="U170" s="44">
        <v>590</v>
      </c>
      <c r="V170" s="44">
        <v>24</v>
      </c>
      <c r="W170" s="44">
        <v>-20</v>
      </c>
      <c r="X170" s="44">
        <v>35</v>
      </c>
      <c r="Y170" s="44">
        <v>738</v>
      </c>
      <c r="Z170" s="58">
        <f t="shared" si="13"/>
        <v>0.1796610169491526</v>
      </c>
      <c r="AA170" s="58">
        <f t="shared" si="14"/>
        <v>-2.2000000000000002</v>
      </c>
      <c r="AB170" s="58">
        <f t="shared" si="3"/>
        <v>9.3917670054657121E-2</v>
      </c>
      <c r="AC170" s="58">
        <f t="shared" si="15"/>
        <v>3.4482758620689655E-2</v>
      </c>
      <c r="AD170" s="58">
        <f t="shared" si="5"/>
        <v>-6.1500615006150061E-3</v>
      </c>
      <c r="AE170" s="59">
        <f t="shared" si="6"/>
        <v>3.1428571428571428</v>
      </c>
      <c r="AF170" s="45">
        <f t="shared" si="7"/>
        <v>1.7623456790123457</v>
      </c>
      <c r="AG170" s="59">
        <f t="shared" si="8"/>
        <v>99.667896678966798</v>
      </c>
      <c r="AH170" s="112">
        <f t="shared" si="9"/>
        <v>1.2551319648093842</v>
      </c>
      <c r="AI170" s="112">
        <f t="shared" si="10"/>
        <v>0.64299610894941639</v>
      </c>
      <c r="AJ170" s="33">
        <f t="shared" si="11"/>
        <v>-1.466275659824047E-2</v>
      </c>
      <c r="AK170" s="44"/>
      <c r="AL170" s="58">
        <f t="shared" si="12"/>
        <v>-4.8638132295719845E-3</v>
      </c>
      <c r="AM170" s="59">
        <f ca="1">IFERROR(__xludf.DUMMYFUNCTION("GOOGLEFINANCE(""bom:""&amp;A170,""PE"")"),71.72)</f>
        <v>71.72</v>
      </c>
      <c r="AN170" s="44"/>
      <c r="AO170" s="44"/>
      <c r="AP170" s="44"/>
    </row>
    <row r="171" spans="1:42" ht="14.4" x14ac:dyDescent="0.3">
      <c r="A171" s="110">
        <v>532663</v>
      </c>
      <c r="B171" s="111" t="s">
        <v>154</v>
      </c>
      <c r="C171" s="44">
        <f ca="1">IFERROR(__xludf.DUMMYFUNCTION("GOOGLEFINANCE(""bom:""&amp;A171,""price"")"),1654.65)</f>
        <v>1654.65</v>
      </c>
      <c r="D171" s="59">
        <f ca="1">IFERROR(__xludf.DUMMYFUNCTION("GOOGLEFINANCE(""bom:""&amp;A171,""marketcap"")/10000000"),2580.47625)</f>
        <v>2580.4762500000002</v>
      </c>
      <c r="E171" s="44">
        <v>198</v>
      </c>
      <c r="F171" s="44">
        <v>83</v>
      </c>
      <c r="G171" s="44">
        <v>844</v>
      </c>
      <c r="H171" s="44">
        <v>92</v>
      </c>
      <c r="I171" s="44">
        <v>15</v>
      </c>
      <c r="J171" s="44">
        <v>736</v>
      </c>
      <c r="K171" s="44">
        <v>17</v>
      </c>
      <c r="L171" s="44">
        <v>66</v>
      </c>
      <c r="M171" s="44">
        <v>10</v>
      </c>
      <c r="N171" s="44"/>
      <c r="O171" s="59">
        <f ca="1">IFERROR(__xludf.DUMMYFUNCTION("GOOGLEFINANCE(""bom:""&amp;A171,""EPS"")"),51.59)</f>
        <v>51.59</v>
      </c>
      <c r="P171" s="33">
        <f t="shared" ca="1" si="0"/>
        <v>1.2686564387968776E-2</v>
      </c>
      <c r="Q171" s="44">
        <v>503</v>
      </c>
      <c r="R171" s="44">
        <v>446</v>
      </c>
      <c r="S171" s="44">
        <v>97</v>
      </c>
      <c r="T171" s="44">
        <v>297</v>
      </c>
      <c r="U171" s="44">
        <v>344</v>
      </c>
      <c r="V171" s="44">
        <v>65</v>
      </c>
      <c r="W171" s="44">
        <v>78</v>
      </c>
      <c r="X171" s="44">
        <v>1</v>
      </c>
      <c r="Y171" s="44">
        <v>353</v>
      </c>
      <c r="Z171" s="58">
        <f t="shared" si="13"/>
        <v>-0.13662790697674421</v>
      </c>
      <c r="AA171" s="58">
        <f t="shared" si="14"/>
        <v>-0.16666666666666663</v>
      </c>
      <c r="AB171" s="58">
        <f t="shared" si="3"/>
        <v>-2.3767246072902815E-2</v>
      </c>
      <c r="AC171" s="58">
        <f t="shared" si="15"/>
        <v>0.21885521885521886</v>
      </c>
      <c r="AD171" s="58">
        <f t="shared" si="5"/>
        <v>0.21748878923766815</v>
      </c>
      <c r="AE171" s="59">
        <f t="shared" si="6"/>
        <v>94</v>
      </c>
      <c r="AF171" s="45">
        <f t="shared" si="7"/>
        <v>2.3855421686746987</v>
      </c>
      <c r="AG171" s="59">
        <f t="shared" si="8"/>
        <v>54.013452914798208</v>
      </c>
      <c r="AH171" s="112">
        <f t="shared" si="9"/>
        <v>2.309782608695652E-2</v>
      </c>
      <c r="AI171" s="112">
        <f t="shared" si="10"/>
        <v>0.10900473933649289</v>
      </c>
      <c r="AJ171" s="33">
        <f t="shared" si="11"/>
        <v>0.13179347826086957</v>
      </c>
      <c r="AK171" s="44"/>
      <c r="AL171" s="58">
        <f t="shared" si="12"/>
        <v>0.11492890995260663</v>
      </c>
      <c r="AM171" s="59">
        <f ca="1">IFERROR(__xludf.DUMMYFUNCTION("GOOGLEFINANCE(""bom:""&amp;A171,""PE"")"),32.07)</f>
        <v>32.07</v>
      </c>
      <c r="AN171" s="44"/>
      <c r="AO171" s="44"/>
      <c r="AP171" s="44"/>
    </row>
    <row r="172" spans="1:42" ht="14.4" x14ac:dyDescent="0.3">
      <c r="A172" s="110">
        <v>511431</v>
      </c>
      <c r="B172" s="111" t="s">
        <v>155</v>
      </c>
      <c r="C172" s="44">
        <f ca="1">IFERROR(__xludf.DUMMYFUNCTION("GOOGLEFINANCE(""bom:""&amp;A172,""price"")"),21.94)</f>
        <v>21.94</v>
      </c>
      <c r="D172" s="59">
        <f ca="1">IFERROR(__xludf.DUMMYFUNCTION("GOOGLEFINANCE(""bom:""&amp;A172,""marketcap"")/10000000"),2403.1804064)</f>
        <v>2403.1804063999998</v>
      </c>
      <c r="E172" s="44">
        <v>157</v>
      </c>
      <c r="F172" s="44">
        <v>153</v>
      </c>
      <c r="G172" s="44">
        <v>302</v>
      </c>
      <c r="H172" s="44">
        <v>182</v>
      </c>
      <c r="I172" s="44">
        <v>106</v>
      </c>
      <c r="J172" s="44">
        <v>13</v>
      </c>
      <c r="K172" s="44">
        <v>53</v>
      </c>
      <c r="L172" s="44">
        <v>38</v>
      </c>
      <c r="M172" s="44">
        <v>1</v>
      </c>
      <c r="N172" s="44"/>
      <c r="O172" s="59">
        <f ca="1">IFERROR(__xludf.DUMMYFUNCTION("GOOGLEFINANCE(""bom:""&amp;A172,""EPS"")"),0.04)</f>
        <v>0.04</v>
      </c>
      <c r="P172" s="33">
        <f t="shared" ca="1" si="0"/>
        <v>1.181491322065009E-2</v>
      </c>
      <c r="Q172" s="44">
        <v>6501</v>
      </c>
      <c r="R172" s="44">
        <v>197</v>
      </c>
      <c r="S172" s="44">
        <v>1</v>
      </c>
      <c r="T172" s="44">
        <v>158</v>
      </c>
      <c r="U172" s="44">
        <v>146</v>
      </c>
      <c r="V172" s="44">
        <v>2</v>
      </c>
      <c r="W172" s="44">
        <v>0.3</v>
      </c>
      <c r="X172" s="44">
        <v>1.5</v>
      </c>
      <c r="Y172" s="44">
        <v>196</v>
      </c>
      <c r="Z172" s="58">
        <f t="shared" si="13"/>
        <v>8.2191780821917915E-2</v>
      </c>
      <c r="AA172" s="58">
        <f t="shared" si="14"/>
        <v>5.666666666666667</v>
      </c>
      <c r="AB172" s="58">
        <f t="shared" si="3"/>
        <v>-0.50306771631207337</v>
      </c>
      <c r="AC172" s="58">
        <f t="shared" si="15"/>
        <v>1.2658227848101266E-2</v>
      </c>
      <c r="AD172" s="58">
        <f t="shared" si="5"/>
        <v>5.076142131979695E-3</v>
      </c>
      <c r="AE172" s="59">
        <f t="shared" si="6"/>
        <v>1.6666666666666667</v>
      </c>
      <c r="AF172" s="45">
        <f t="shared" si="7"/>
        <v>1.0261437908496731</v>
      </c>
      <c r="AG172" s="59">
        <f t="shared" si="8"/>
        <v>70.406091370558372</v>
      </c>
      <c r="AH172" s="112">
        <f t="shared" si="9"/>
        <v>4.0769230769230766</v>
      </c>
      <c r="AI172" s="112">
        <f t="shared" si="10"/>
        <v>0.60264900662251653</v>
      </c>
      <c r="AJ172" s="33">
        <f t="shared" si="11"/>
        <v>7.6923076923076927E-2</v>
      </c>
      <c r="AK172" s="44"/>
      <c r="AL172" s="58">
        <f t="shared" si="12"/>
        <v>3.3112582781456954E-3</v>
      </c>
      <c r="AM172" s="59">
        <f ca="1">IFERROR(__xludf.DUMMYFUNCTION("GOOGLEFINANCE(""bom:""&amp;A172,""PE"")"),548.5)</f>
        <v>548.5</v>
      </c>
      <c r="AN172" s="44"/>
      <c r="AO172" s="44"/>
      <c r="AP172" s="44"/>
    </row>
    <row r="173" spans="1:42" ht="14.4" x14ac:dyDescent="0.3">
      <c r="A173" s="110">
        <v>506109</v>
      </c>
      <c r="B173" s="111" t="s">
        <v>184</v>
      </c>
      <c r="C173" s="44">
        <f ca="1">IFERROR(__xludf.DUMMYFUNCTION("GOOGLEFINANCE(""bom:""&amp;A173,""price"")"),707.4)</f>
        <v>707.4</v>
      </c>
      <c r="D173" s="59">
        <f ca="1">IFERROR(__xludf.DUMMYFUNCTION("GOOGLEFINANCE(""bom:""&amp;A173,""marketcap"")/10000000"),2910.8273054)</f>
        <v>2910.8273054000001</v>
      </c>
      <c r="P173" s="33">
        <f t="shared" ca="1" si="0"/>
        <v>1.4310690916924638E-2</v>
      </c>
      <c r="AH173" s="112"/>
    </row>
    <row r="174" spans="1:42" ht="14.4" x14ac:dyDescent="0.3">
      <c r="A174" s="110">
        <v>533121</v>
      </c>
      <c r="B174" s="111" t="s">
        <v>185</v>
      </c>
      <c r="C174" s="44">
        <f ca="1">IFERROR(__xludf.DUMMYFUNCTION("GOOGLEFINANCE(""bom:""&amp;A174,""price"")"),1268.25)</f>
        <v>1268.25</v>
      </c>
      <c r="D174" s="59">
        <f ca="1">IFERROR(__xludf.DUMMYFUNCTION("GOOGLEFINANCE(""bom:""&amp;A174,""marketcap"")/10000000"),1993.4898847)</f>
        <v>1993.4898846999999</v>
      </c>
      <c r="P174" s="33">
        <f t="shared" ca="1" si="0"/>
        <v>9.800724877437255E-3</v>
      </c>
    </row>
    <row r="175" spans="1:42" ht="14.4" x14ac:dyDescent="0.3">
      <c r="A175" s="110">
        <v>517536</v>
      </c>
      <c r="B175" s="111" t="s">
        <v>186</v>
      </c>
      <c r="C175" s="44">
        <f ca="1">IFERROR(__xludf.DUMMYFUNCTION("GOOGLEFINANCE(""bom:""&amp;A175,""price"")"),431)</f>
        <v>431</v>
      </c>
      <c r="D175" s="59">
        <f ca="1">IFERROR(__xludf.DUMMYFUNCTION("GOOGLEFINANCE(""bom:""&amp;A175,""marketcap"")/10000000"),1067.24194)</f>
        <v>1067.2419400000001</v>
      </c>
      <c r="P175" s="33">
        <f t="shared" ca="1" si="0"/>
        <v>5.2469514452422143E-3</v>
      </c>
    </row>
    <row r="176" spans="1:42" ht="14.4" x14ac:dyDescent="0.3">
      <c r="A176" s="110">
        <v>532365</v>
      </c>
      <c r="B176" s="111" t="s">
        <v>187</v>
      </c>
      <c r="C176" s="44">
        <f ca="1">IFERROR(__xludf.DUMMYFUNCTION("GOOGLEFINANCE(""bom:""&amp;A176,""price"")"),1273.05)</f>
        <v>1273.05</v>
      </c>
      <c r="D176" s="59">
        <f ca="1">IFERROR(__xludf.DUMMYFUNCTION("GOOGLEFINANCE(""bom:""&amp;A176,""marketcap"")/10000000"),1625.9891713)</f>
        <v>1625.9891713</v>
      </c>
      <c r="P176" s="33">
        <f t="shared" ca="1" si="0"/>
        <v>7.9939570518571673E-3</v>
      </c>
    </row>
    <row r="177" spans="1:16" ht="14.4" x14ac:dyDescent="0.3">
      <c r="A177" s="110">
        <v>543525</v>
      </c>
      <c r="B177" s="111" t="s">
        <v>188</v>
      </c>
      <c r="C177" s="44">
        <f ca="1">IFERROR(__xludf.DUMMYFUNCTION("GOOGLEFINANCE(""bom:""&amp;A177,""price"")"),749)</f>
        <v>749</v>
      </c>
      <c r="D177" s="59">
        <f ca="1">IFERROR(__xludf.DUMMYFUNCTION("GOOGLEFINANCE(""bom:""&amp;A177,""marketcap"")/10000000"),940.9906353)</f>
        <v>940.99063530000001</v>
      </c>
      <c r="P177" s="33">
        <f t="shared" ca="1" si="0"/>
        <v>4.6262538875175051E-3</v>
      </c>
    </row>
    <row r="178" spans="1:16" ht="14.4" x14ac:dyDescent="0.3">
      <c r="A178" s="110">
        <v>532875</v>
      </c>
      <c r="B178" s="111" t="s">
        <v>189</v>
      </c>
      <c r="C178" s="44">
        <f ca="1">IFERROR(__xludf.DUMMYFUNCTION("GOOGLEFINANCE(""bom:""&amp;A178,""price"")"),222.8)</f>
        <v>222.8</v>
      </c>
      <c r="D178" s="59">
        <f ca="1">IFERROR(__xludf.DUMMYFUNCTION("GOOGLEFINANCE(""bom:""&amp;A178,""marketcap"")/10000000"),1285.5430952)</f>
        <v>1285.5430951999999</v>
      </c>
      <c r="P178" s="33">
        <f t="shared" ca="1" si="0"/>
        <v>6.3201997114925865E-3</v>
      </c>
    </row>
    <row r="179" spans="1:16" ht="14.4" x14ac:dyDescent="0.3">
      <c r="A179" s="110">
        <v>512379</v>
      </c>
      <c r="B179" s="111" t="s">
        <v>190</v>
      </c>
      <c r="C179" s="44">
        <f ca="1">IFERROR(__xludf.DUMMYFUNCTION("GOOGLEFINANCE(""bom:""&amp;A179,""price"")"),11.61)</f>
        <v>11.61</v>
      </c>
      <c r="D179" s="59">
        <f ca="1">IFERROR(__xludf.DUMMYFUNCTION("GOOGLEFINANCE(""bom:""&amp;A179,""marketcap"")/10000000"),499.4939966)</f>
        <v>499.4939966</v>
      </c>
      <c r="P179" s="33">
        <f t="shared" ca="1" si="0"/>
        <v>2.455695048256986E-3</v>
      </c>
    </row>
    <row r="180" spans="1:16" ht="14.4" x14ac:dyDescent="0.3">
      <c r="A180" s="110">
        <v>532666</v>
      </c>
      <c r="B180" s="111" t="s">
        <v>191</v>
      </c>
      <c r="C180" s="44">
        <f ca="1">IFERROR(__xludf.DUMMYFUNCTION("GOOGLEFINANCE(""bom:""&amp;A180,""price"")"),3.82)</f>
        <v>3.82</v>
      </c>
      <c r="D180" s="59">
        <f ca="1">IFERROR(__xludf.DUMMYFUNCTION("GOOGLEFINANCE(""bom:""&amp;A180,""marketcap"")/10000000"),666.6541643)</f>
        <v>666.65416430000005</v>
      </c>
      <c r="P180" s="33">
        <f t="shared" ca="1" si="0"/>
        <v>3.2775155283446089E-3</v>
      </c>
    </row>
    <row r="181" spans="1:16" ht="14.4" x14ac:dyDescent="0.3">
      <c r="A181" s="110">
        <v>539289</v>
      </c>
      <c r="B181" s="111" t="s">
        <v>192</v>
      </c>
      <c r="C181" s="44">
        <f ca="1">IFERROR(__xludf.DUMMYFUNCTION("GOOGLEFINANCE(""bom:""&amp;A181,""price"")"),150.25)</f>
        <v>150.25</v>
      </c>
      <c r="D181" s="59">
        <f ca="1">IFERROR(__xludf.DUMMYFUNCTION("GOOGLEFINANCE(""bom:""&amp;A181,""marketcap"")/10000000"),950.6721672)</f>
        <v>950.67216719999999</v>
      </c>
      <c r="P181" s="33">
        <f t="shared" ca="1" si="0"/>
        <v>4.6738518368586481E-3</v>
      </c>
    </row>
    <row r="182" spans="1:16" ht="14.4" x14ac:dyDescent="0.3">
      <c r="A182" s="110">
        <v>543958</v>
      </c>
      <c r="B182" s="111" t="s">
        <v>193</v>
      </c>
      <c r="C182" s="44">
        <f ca="1">IFERROR(__xludf.DUMMYFUNCTION("GOOGLEFINANCE(""bom:""&amp;A182,""price"")"),89.64)</f>
        <v>89.64</v>
      </c>
      <c r="D182" s="59">
        <f ca="1">IFERROR(__xludf.DUMMYFUNCTION("GOOGLEFINANCE(""bom:""&amp;A182,""marketcap"")/10000000"),908.2943254)</f>
        <v>908.29432540000005</v>
      </c>
      <c r="P182" s="33">
        <f t="shared" ca="1" si="0"/>
        <v>4.4655068778151948E-3</v>
      </c>
    </row>
    <row r="183" spans="1:16" ht="14.4" x14ac:dyDescent="0.3">
      <c r="A183" s="110">
        <v>517214</v>
      </c>
      <c r="B183" s="111" t="s">
        <v>194</v>
      </c>
      <c r="C183" s="44">
        <f ca="1">IFERROR(__xludf.DUMMYFUNCTION("GOOGLEFINANCE(""bom:""&amp;A183,""price"")"),37.75)</f>
        <v>37.75</v>
      </c>
      <c r="D183" s="59">
        <f ca="1">IFERROR(__xludf.DUMMYFUNCTION("GOOGLEFINANCE(""bom:""&amp;A183,""marketcap"")/10000000"),906.4681)</f>
        <v>906.46810000000005</v>
      </c>
      <c r="P183" s="33">
        <f t="shared" ca="1" si="0"/>
        <v>4.4565284862783444E-3</v>
      </c>
    </row>
    <row r="184" spans="1:16" ht="14.4" x14ac:dyDescent="0.3">
      <c r="A184" s="110">
        <v>532694</v>
      </c>
      <c r="B184" s="111" t="s">
        <v>195</v>
      </c>
      <c r="C184" s="44">
        <f ca="1">IFERROR(__xludf.DUMMYFUNCTION("GOOGLEFINANCE(""bom:""&amp;A184,""price"")"),21.43)</f>
        <v>21.43</v>
      </c>
      <c r="D184" s="59">
        <f ca="1">IFERROR(__xludf.DUMMYFUNCTION("GOOGLEFINANCE(""bom:""&amp;A184,""marketcap"")/10000000"),640.3809126)</f>
        <v>640.38091259999999</v>
      </c>
      <c r="P184" s="33">
        <f t="shared" ca="1" si="0"/>
        <v>3.1483466203287491E-3</v>
      </c>
    </row>
    <row r="185" spans="1:16" ht="14.4" x14ac:dyDescent="0.3">
      <c r="A185" s="110">
        <v>543931</v>
      </c>
      <c r="B185" s="111" t="s">
        <v>196</v>
      </c>
      <c r="C185" s="44">
        <f ca="1">IFERROR(__xludf.DUMMYFUNCTION("GOOGLEFINANCE(""bom:""&amp;A185,""price"")"),434.95)</f>
        <v>434.95</v>
      </c>
      <c r="D185" s="59">
        <f ca="1">IFERROR(__xludf.DUMMYFUNCTION("GOOGLEFINANCE(""bom:""&amp;A185,""marketcap"")/10000000"),972.1872187)</f>
        <v>972.18721870000002</v>
      </c>
      <c r="P185" s="33">
        <f t="shared" ca="1" si="0"/>
        <v>4.7796276936080424E-3</v>
      </c>
    </row>
    <row r="186" spans="1:16" ht="14.4" x14ac:dyDescent="0.3">
      <c r="A186" s="110">
        <v>526263</v>
      </c>
      <c r="B186" s="111" t="s">
        <v>197</v>
      </c>
      <c r="C186" s="44">
        <f ca="1">IFERROR(__xludf.DUMMYFUNCTION("GOOGLEFINANCE(""bom:""&amp;A186,""price"")"),255.65)</f>
        <v>255.65</v>
      </c>
      <c r="D186" s="59">
        <f ca="1">IFERROR(__xludf.DUMMYFUNCTION("GOOGLEFINANCE(""bom:""&amp;A186,""marketcap"")/10000000"),746.131785)</f>
        <v>746.13178500000004</v>
      </c>
      <c r="P186" s="33">
        <f t="shared" ca="1" si="0"/>
        <v>3.6682565601262847E-3</v>
      </c>
    </row>
    <row r="187" spans="1:16" ht="14.4" x14ac:dyDescent="0.3">
      <c r="A187" s="110">
        <v>532774</v>
      </c>
      <c r="B187" s="111" t="s">
        <v>198</v>
      </c>
      <c r="C187" s="44">
        <f ca="1">IFERROR(__xludf.DUMMYFUNCTION("GOOGLEFINANCE(""bom:""&amp;A187,""price"")"),141)</f>
        <v>141</v>
      </c>
      <c r="D187" s="59">
        <f ca="1">IFERROR(__xludf.DUMMYFUNCTION("GOOGLEFINANCE(""bom:""&amp;A187,""marketcap"")/10000000"),587.942646)</f>
        <v>587.94264599999997</v>
      </c>
      <c r="P187" s="33">
        <f t="shared" ca="1" si="0"/>
        <v>2.8905409359654952E-3</v>
      </c>
    </row>
    <row r="188" spans="1:16" ht="14.4" x14ac:dyDescent="0.3">
      <c r="A188" s="110">
        <v>543917</v>
      </c>
      <c r="B188" s="111" t="s">
        <v>199</v>
      </c>
      <c r="C188" s="44">
        <f ca="1">IFERROR(__xludf.DUMMYFUNCTION("GOOGLEFINANCE(""bom:""&amp;A188,""price"")"),407.55)</f>
        <v>407.55</v>
      </c>
      <c r="D188" s="59">
        <f ca="1">IFERROR(__xludf.DUMMYFUNCTION("GOOGLEFINANCE(""bom:""&amp;A188,""marketcap"")/10000000"),422.9244035)</f>
        <v>422.92440349999998</v>
      </c>
      <c r="P188" s="33">
        <f t="shared" ca="1" si="0"/>
        <v>2.0792509430172189E-3</v>
      </c>
    </row>
    <row r="189" spans="1:16" ht="14.4" x14ac:dyDescent="0.3">
      <c r="A189" s="110">
        <v>532951</v>
      </c>
      <c r="B189" s="111" t="s">
        <v>200</v>
      </c>
      <c r="C189" s="44">
        <f ca="1">IFERROR(__xludf.DUMMYFUNCTION("GOOGLEFINANCE(""bom:""&amp;A189,""price"")"),93.4)</f>
        <v>93.4</v>
      </c>
      <c r="D189" s="59">
        <f ca="1">IFERROR(__xludf.DUMMYFUNCTION("GOOGLEFINANCE(""bom:""&amp;A189,""marketcap"")/10000000"),239.394672)</f>
        <v>239.39467200000001</v>
      </c>
      <c r="P189" s="33">
        <f t="shared" ca="1" si="0"/>
        <v>1.1769517043470816E-3</v>
      </c>
    </row>
    <row r="190" spans="1:16" ht="14.4" x14ac:dyDescent="0.3">
      <c r="A190" s="110">
        <v>532341</v>
      </c>
      <c r="B190" s="111" t="s">
        <v>201</v>
      </c>
      <c r="C190" s="44">
        <f ca="1">IFERROR(__xludf.DUMMYFUNCTION("GOOGLEFINANCE(""bom:""&amp;A190,""price"")"),472.2)</f>
        <v>472.2</v>
      </c>
      <c r="D190" s="59">
        <f ca="1">IFERROR(__xludf.DUMMYFUNCTION("GOOGLEFINANCE(""bom:""&amp;A190,""marketcap"")/10000000"),697.1900964)</f>
        <v>697.19009640000002</v>
      </c>
      <c r="P190" s="33">
        <f t="shared" ca="1" si="0"/>
        <v>3.4276413311816983E-3</v>
      </c>
    </row>
    <row r="191" spans="1:16" ht="14.4" x14ac:dyDescent="0.3">
      <c r="A191" s="110">
        <v>543811</v>
      </c>
      <c r="B191" s="111" t="s">
        <v>202</v>
      </c>
      <c r="C191" s="44">
        <f ca="1">IFERROR(__xludf.DUMMYFUNCTION("GOOGLEFINANCE(""bom:""&amp;A191,""price"")"),28.98)</f>
        <v>28.98</v>
      </c>
      <c r="D191" s="59">
        <f ca="1">IFERROR(__xludf.DUMMYFUNCTION("GOOGLEFINANCE(""bom:""&amp;A191,""marketcap"")/10000000"),371.4612871)</f>
        <v>371.46128709999999</v>
      </c>
      <c r="P191" s="33">
        <f t="shared" ca="1" si="0"/>
        <v>1.8262394534465894E-3</v>
      </c>
    </row>
    <row r="192" spans="1:16" ht="14.4" x14ac:dyDescent="0.3">
      <c r="A192" s="110">
        <v>543462</v>
      </c>
      <c r="B192" s="111" t="s">
        <v>203</v>
      </c>
      <c r="C192" s="44">
        <f ca="1">IFERROR(__xludf.DUMMYFUNCTION("GOOGLEFINANCE(""bom:""&amp;A192,""price"")"),138)</f>
        <v>138</v>
      </c>
      <c r="D192" s="59">
        <f ca="1">IFERROR(__xludf.DUMMYFUNCTION("GOOGLEFINANCE(""bom:""&amp;A192,""marketcap"")/10000000"),325.8465375)</f>
        <v>325.84653750000001</v>
      </c>
      <c r="P192" s="33">
        <f t="shared" ca="1" si="0"/>
        <v>1.6019806725950034E-3</v>
      </c>
    </row>
    <row r="193" spans="1:16" ht="14.4" x14ac:dyDescent="0.3">
      <c r="A193" s="110">
        <v>540735</v>
      </c>
      <c r="B193" s="111" t="s">
        <v>204</v>
      </c>
      <c r="C193" s="44">
        <f ca="1">IFERROR(__xludf.DUMMYFUNCTION("GOOGLEFINANCE(""bom:""&amp;A193,""price"")"),269.7)</f>
        <v>269.7</v>
      </c>
      <c r="D193" s="59">
        <f ca="1">IFERROR(__xludf.DUMMYFUNCTION("GOOGLEFINANCE(""bom:""&amp;A193,""marketcap"")/10000000"),533.339924)</f>
        <v>533.339924</v>
      </c>
      <c r="P193" s="33">
        <f t="shared" ca="1" si="0"/>
        <v>2.6220939977650922E-3</v>
      </c>
    </row>
    <row r="194" spans="1:16" ht="14.4" x14ac:dyDescent="0.3">
      <c r="A194" s="110">
        <v>532411</v>
      </c>
      <c r="B194" s="111" t="s">
        <v>205</v>
      </c>
      <c r="C194" s="44">
        <f ca="1">IFERROR(__xludf.DUMMYFUNCTION("GOOGLEFINANCE(""bom:""&amp;A194,""price"")"),0.41)</f>
        <v>0.41</v>
      </c>
      <c r="D194" s="59">
        <f ca="1">IFERROR(__xludf.DUMMYFUNCTION("GOOGLEFINANCE(""bom:""&amp;A194,""marketcap"")/10000000"),154.7518746)</f>
        <v>154.75187460000001</v>
      </c>
      <c r="P194" s="33">
        <f t="shared" ca="1" si="0"/>
        <v>7.6081677607835749E-4</v>
      </c>
    </row>
    <row r="195" spans="1:16" ht="14.4" x14ac:dyDescent="0.3">
      <c r="A195" s="110">
        <v>512161</v>
      </c>
      <c r="B195" s="111" t="s">
        <v>206</v>
      </c>
      <c r="C195" s="44">
        <f ca="1">IFERROR(__xludf.DUMMYFUNCTION("GOOGLEFINANCE(""bom:""&amp;A195,""price"")"),37.15)</f>
        <v>37.15</v>
      </c>
      <c r="D195" s="59">
        <f ca="1">IFERROR(__xludf.DUMMYFUNCTION("GOOGLEFINANCE(""bom:""&amp;A195,""marketcap"")/10000000"),127.0605)</f>
        <v>127.0605</v>
      </c>
      <c r="P195" s="33">
        <f t="shared" ca="1" si="0"/>
        <v>6.2467585757377403E-4</v>
      </c>
    </row>
    <row r="196" spans="1:16" ht="14.4" x14ac:dyDescent="0.3">
      <c r="A196" s="110">
        <v>532521</v>
      </c>
      <c r="B196" s="111" t="s">
        <v>207</v>
      </c>
      <c r="C196" s="44">
        <f ca="1">IFERROR(__xludf.DUMMYFUNCTION("GOOGLEFINANCE(""bom:""&amp;A196,""price"")"),93.45)</f>
        <v>93.45</v>
      </c>
      <c r="D196" s="59">
        <f ca="1">IFERROR(__xludf.DUMMYFUNCTION("GOOGLEFINANCE(""bom:""&amp;A196,""marketcap"")/10000000"),118.4800471)</f>
        <v>118.48004709999999</v>
      </c>
      <c r="P196" s="33">
        <f t="shared" ca="1" si="0"/>
        <v>5.8249121503200151E-4</v>
      </c>
    </row>
    <row r="197" spans="1:16" ht="14.4" x14ac:dyDescent="0.3">
      <c r="A197" s="110">
        <v>502820</v>
      </c>
      <c r="B197" s="111" t="s">
        <v>208</v>
      </c>
      <c r="C197" s="44">
        <f ca="1">IFERROR(__xludf.DUMMYFUNCTION("GOOGLEFINANCE(""bom:""&amp;A197,""price"")"),98.56)</f>
        <v>98.56</v>
      </c>
      <c r="D197" s="59">
        <f ca="1">IFERROR(__xludf.DUMMYFUNCTION("GOOGLEFINANCE(""bom:""&amp;A197,""marketcap"")/10000000"),189.0447773)</f>
        <v>189.04477729999999</v>
      </c>
      <c r="P197" s="33">
        <f t="shared" ca="1" si="0"/>
        <v>9.2941321952708057E-4</v>
      </c>
    </row>
    <row r="198" spans="1:16" ht="14.4" x14ac:dyDescent="0.3">
      <c r="A198" s="110">
        <v>540590</v>
      </c>
      <c r="B198" s="111" t="s">
        <v>209</v>
      </c>
      <c r="C198" s="44">
        <f ca="1">IFERROR(__xludf.DUMMYFUNCTION("GOOGLEFINANCE(""bom:""&amp;A198,""price"")"),78.64)</f>
        <v>78.64</v>
      </c>
      <c r="D198" s="59">
        <f ca="1">IFERROR(__xludf.DUMMYFUNCTION("GOOGLEFINANCE(""bom:""&amp;A198,""marketcap"")/10000000"),95.944338)</f>
        <v>95.944338000000002</v>
      </c>
      <c r="P198" s="33">
        <f t="shared" ca="1" si="0"/>
        <v>4.7169743247900045E-4</v>
      </c>
    </row>
    <row r="199" spans="1:16" ht="14.4" x14ac:dyDescent="0.3">
      <c r="A199" s="110">
        <v>532373</v>
      </c>
      <c r="B199" s="111" t="s">
        <v>210</v>
      </c>
      <c r="C199" s="44">
        <f ca="1">IFERROR(__xludf.DUMMYFUNCTION("GOOGLEFINANCE(""bom:""&amp;A199,""price"")"),44)</f>
        <v>44</v>
      </c>
      <c r="D199" s="59">
        <f ca="1">IFERROR(__xludf.DUMMYFUNCTION("GOOGLEFINANCE(""bom:""&amp;A199,""marketcap"")/10000000"),170.239652)</f>
        <v>170.23965200000001</v>
      </c>
      <c r="P199" s="33">
        <f t="shared" ca="1" si="0"/>
        <v>8.3696035043275333E-4</v>
      </c>
    </row>
    <row r="200" spans="1:16" ht="14.4" x14ac:dyDescent="0.3">
      <c r="A200" s="110">
        <v>511447</v>
      </c>
      <c r="B200" s="111" t="s">
        <v>211</v>
      </c>
      <c r="C200" s="44">
        <f ca="1">IFERROR(__xludf.DUMMYFUNCTION("GOOGLEFINANCE(""bom:""&amp;A200,""price"")"),1.65)</f>
        <v>1.65</v>
      </c>
      <c r="D200" s="59">
        <f ca="1">IFERROR(__xludf.DUMMYFUNCTION("GOOGLEFINANCE(""bom:""&amp;A200,""marketcap"")/10000000"),60.3179436)</f>
        <v>60.3179436</v>
      </c>
      <c r="P200" s="33">
        <f t="shared" ca="1" si="0"/>
        <v>2.9654505645276488E-4</v>
      </c>
    </row>
    <row r="201" spans="1:16" ht="14.4" x14ac:dyDescent="0.3">
      <c r="A201" s="110">
        <v>533056</v>
      </c>
      <c r="B201" s="111" t="s">
        <v>212</v>
      </c>
      <c r="C201" s="44">
        <f ca="1">IFERROR(__xludf.DUMMYFUNCTION("GOOGLEFINANCE(""bom:""&amp;A201,""price"")"),54)</f>
        <v>54</v>
      </c>
      <c r="D201" s="59">
        <f ca="1">IFERROR(__xludf.DUMMYFUNCTION("GOOGLEFINANCE(""bom:""&amp;A201,""marketcap"")/10000000"),128.976516)</f>
        <v>128.976516</v>
      </c>
      <c r="P201" s="33">
        <f t="shared" ca="1" si="0"/>
        <v>6.3409569251795476E-4</v>
      </c>
    </row>
    <row r="202" spans="1:16" ht="14.4" x14ac:dyDescent="0.3">
      <c r="A202" s="110">
        <v>521005</v>
      </c>
      <c r="B202" s="111" t="s">
        <v>213</v>
      </c>
      <c r="C202" s="44">
        <f ca="1">IFERROR(__xludf.DUMMYFUNCTION("GOOGLEFINANCE(""bom:""&amp;A202,""price"")"),36)</f>
        <v>36</v>
      </c>
      <c r="D202" s="59">
        <f ca="1">IFERROR(__xludf.DUMMYFUNCTION("GOOGLEFINANCE(""bom:""&amp;A202,""marketcap"")/10000000"),91.33204)</f>
        <v>91.332040000000006</v>
      </c>
      <c r="P202" s="33">
        <f t="shared" ca="1" si="0"/>
        <v>4.4902168975379631E-4</v>
      </c>
    </row>
    <row r="203" spans="1:16" ht="14.4" x14ac:dyDescent="0.3">
      <c r="A203" s="110">
        <v>530951</v>
      </c>
      <c r="B203" s="111" t="s">
        <v>214</v>
      </c>
      <c r="C203" s="44">
        <f ca="1">IFERROR(__xludf.DUMMYFUNCTION("GOOGLEFINANCE(""bom:""&amp;A203,""price"")"),125.8)</f>
        <v>125.8</v>
      </c>
      <c r="D203" s="59">
        <f ca="1">IFERROR(__xludf.DUMMYFUNCTION("GOOGLEFINANCE(""bom:""&amp;A203,""marketcap"")/10000000"),94.8090213)</f>
        <v>94.809021299999998</v>
      </c>
      <c r="P203" s="33">
        <f t="shared" ca="1" si="0"/>
        <v>4.6611580063283007E-4</v>
      </c>
    </row>
    <row r="204" spans="1:16" ht="14.4" x14ac:dyDescent="0.3">
      <c r="A204" s="110">
        <v>532172</v>
      </c>
      <c r="B204" s="111" t="s">
        <v>215</v>
      </c>
      <c r="C204" s="44">
        <f ca="1">IFERROR(__xludf.DUMMYFUNCTION("GOOGLEFINANCE(""bom:""&amp;A204,""price"")"),17.99)</f>
        <v>17.989999999999998</v>
      </c>
      <c r="D204" s="59">
        <f ca="1">IFERROR(__xludf.DUMMYFUNCTION("GOOGLEFINANCE(""bom:""&amp;A204,""marketcap"")/10000000"),52.9280971)</f>
        <v>52.928097100000002</v>
      </c>
      <c r="P204" s="33">
        <f t="shared" ca="1" si="0"/>
        <v>2.6021387013029607E-4</v>
      </c>
    </row>
    <row r="205" spans="1:16" ht="14.4" x14ac:dyDescent="0.3">
      <c r="A205" s="110">
        <v>526544</v>
      </c>
      <c r="B205" s="111" t="s">
        <v>216</v>
      </c>
      <c r="C205" s="44">
        <f ca="1">IFERROR(__xludf.DUMMYFUNCTION("GOOGLEFINANCE(""bom:""&amp;A205,""price"")"),8.06)</f>
        <v>8.06</v>
      </c>
      <c r="D205" s="59">
        <f ca="1">IFERROR(__xludf.DUMMYFUNCTION("GOOGLEFINANCE(""bom:""&amp;A205,""marketcap"")/10000000"),138.1478429)</f>
        <v>138.1478429</v>
      </c>
      <c r="P205" s="33">
        <f t="shared" ca="1" si="0"/>
        <v>6.7918528760334263E-4</v>
      </c>
    </row>
    <row r="206" spans="1:16" ht="14.4" x14ac:dyDescent="0.3">
      <c r="A206" s="110">
        <v>532761</v>
      </c>
      <c r="B206" s="111" t="s">
        <v>217</v>
      </c>
      <c r="C206" s="44">
        <f ca="1">IFERROR(__xludf.DUMMYFUNCTION("GOOGLEFINANCE(""bom:""&amp;A206,""price"")"),64.7)</f>
        <v>64.7</v>
      </c>
      <c r="D206" s="59">
        <f ca="1">IFERROR(__xludf.DUMMYFUNCTION("GOOGLEFINANCE(""bom:""&amp;A206,""marketcap"")/10000000"),85.049185)</f>
        <v>85.049184999999994</v>
      </c>
      <c r="P206" s="33">
        <f t="shared" ca="1" si="0"/>
        <v>4.1813287824166878E-4</v>
      </c>
    </row>
    <row r="207" spans="1:16" ht="14.4" x14ac:dyDescent="0.3">
      <c r="A207" s="110">
        <v>533982</v>
      </c>
      <c r="B207" s="111" t="s">
        <v>218</v>
      </c>
      <c r="C207" s="44">
        <f ca="1">IFERROR(__xludf.DUMMYFUNCTION("GOOGLEFINANCE(""bom:""&amp;A207,""price"")"),68)</f>
        <v>68</v>
      </c>
      <c r="D207" s="59">
        <f ca="1">IFERROR(__xludf.DUMMYFUNCTION("GOOGLEFINANCE(""bom:""&amp;A207,""marketcap"")/10000000"),90.9307369)</f>
        <v>90.930736899999999</v>
      </c>
      <c r="P207" s="33">
        <f t="shared" ca="1" si="0"/>
        <v>4.470487370411947E-4</v>
      </c>
    </row>
    <row r="208" spans="1:16" ht="14.4" x14ac:dyDescent="0.3">
      <c r="A208" s="110">
        <v>517415</v>
      </c>
      <c r="B208" s="111" t="s">
        <v>219</v>
      </c>
      <c r="C208" s="44">
        <f ca="1">IFERROR(__xludf.DUMMYFUNCTION("GOOGLEFINANCE(""bom:""&amp;A208,""price"")"),11.08)</f>
        <v>11.08</v>
      </c>
      <c r="D208" s="59">
        <f ca="1">IFERROR(__xludf.DUMMYFUNCTION("GOOGLEFINANCE(""bom:""&amp;A208,""marketcap"")/10000000"),61.2593074)</f>
        <v>61.259307399999997</v>
      </c>
      <c r="P208" s="33">
        <f t="shared" ca="1" si="0"/>
        <v>3.0117314495433625E-4</v>
      </c>
    </row>
    <row r="209" spans="1:42" ht="14.4" x14ac:dyDescent="0.3">
      <c r="A209" s="110">
        <v>532404</v>
      </c>
      <c r="B209" s="111" t="s">
        <v>220</v>
      </c>
      <c r="C209" s="44">
        <f ca="1">IFERROR(__xludf.DUMMYFUNCTION("GOOGLEFINANCE(""bom:""&amp;A209,""price"")"),55.84)</f>
        <v>55.84</v>
      </c>
      <c r="D209" s="59">
        <f ca="1">IFERROR(__xludf.DUMMYFUNCTION("GOOGLEFINANCE(""bom:""&amp;A209,""marketcap"")/10000000"),62.934528)</f>
        <v>62.934528</v>
      </c>
      <c r="P209" s="33">
        <f t="shared" ca="1" si="0"/>
        <v>3.0940914170336727E-4</v>
      </c>
    </row>
    <row r="210" spans="1:42" ht="14.4" x14ac:dyDescent="0.3">
      <c r="A210" s="110">
        <v>517119</v>
      </c>
      <c r="B210" s="111" t="s">
        <v>221</v>
      </c>
      <c r="C210" s="44">
        <f ca="1">IFERROR(__xludf.DUMMYFUNCTION("GOOGLEFINANCE(""bom:""&amp;A210,""price"")"),27.4)</f>
        <v>27.4</v>
      </c>
      <c r="D210" s="59">
        <f ca="1">IFERROR(__xludf.DUMMYFUNCTION("GOOGLEFINANCE(""bom:""&amp;A210,""marketcap"")/10000000"),56.9161012)</f>
        <v>56.9161012</v>
      </c>
      <c r="P210" s="33">
        <f t="shared" ca="1" si="0"/>
        <v>2.7982035586878465E-4</v>
      </c>
    </row>
    <row r="211" spans="1:42" ht="14.4" x14ac:dyDescent="0.3">
      <c r="A211" s="110">
        <v>544052</v>
      </c>
      <c r="B211" s="111" t="s">
        <v>222</v>
      </c>
      <c r="C211" s="44">
        <f ca="1">IFERROR(__xludf.DUMMYFUNCTION("GOOGLEFINANCE(""bom:""&amp;A211,""price"")"),58.9)</f>
        <v>58.9</v>
      </c>
      <c r="D211" s="59">
        <f ca="1">IFERROR(__xludf.DUMMYFUNCTION("GOOGLEFINANCE(""bom:""&amp;A211,""marketcap"")/10000000"),42.1192791)</f>
        <v>42.1192791</v>
      </c>
      <c r="P211" s="33">
        <f t="shared" ca="1" si="0"/>
        <v>2.0707377030770095E-4</v>
      </c>
    </row>
    <row r="212" spans="1:42" ht="14.4" x14ac:dyDescent="0.3">
      <c r="A212" s="110">
        <v>532402</v>
      </c>
      <c r="B212" s="111" t="s">
        <v>223</v>
      </c>
      <c r="C212" s="44">
        <f ca="1">IFERROR(__xludf.DUMMYFUNCTION("GOOGLEFINANCE(""bom:""&amp;A212,""price"")"),9.36)</f>
        <v>9.36</v>
      </c>
      <c r="D212" s="59">
        <f ca="1">IFERROR(__xludf.DUMMYFUNCTION("GOOGLEFINANCE(""bom:""&amp;A212,""marketcap"")/10000000"),37.5567646)</f>
        <v>37.556764600000001</v>
      </c>
      <c r="P212" s="33">
        <f t="shared" ca="1" si="0"/>
        <v>1.8464278146395897E-4</v>
      </c>
    </row>
    <row r="213" spans="1:42" ht="14.4" x14ac:dyDescent="0.3">
      <c r="A213" s="110">
        <v>543897</v>
      </c>
      <c r="B213" s="111" t="s">
        <v>224</v>
      </c>
      <c r="C213" s="44">
        <f ca="1">IFERROR(__xludf.DUMMYFUNCTION("GOOGLEFINANCE(""bom:""&amp;A213,""price"")"),64.44)</f>
        <v>64.44</v>
      </c>
      <c r="D213" s="59">
        <f ca="1">IFERROR(__xludf.DUMMYFUNCTION("GOOGLEFINANCE(""bom:""&amp;A213,""marketcap"")/10000000"),24.9712226)</f>
        <v>24.971222600000001</v>
      </c>
      <c r="P213" s="33">
        <f t="shared" ca="1" si="0"/>
        <v>1.2276765707927017E-4</v>
      </c>
    </row>
    <row r="214" spans="1:42" ht="14.4" x14ac:dyDescent="0.3">
      <c r="A214" s="110">
        <v>540416</v>
      </c>
      <c r="B214" s="111" t="s">
        <v>225</v>
      </c>
      <c r="C214" s="44">
        <f ca="1">IFERROR(__xludf.DUMMYFUNCTION("GOOGLEFINANCE(""bom:""&amp;A214,""price"")"),59.75)</f>
        <v>59.75</v>
      </c>
      <c r="D214" s="59">
        <f ca="1">IFERROR(__xludf.DUMMYFUNCTION("GOOGLEFINANCE(""bom:""&amp;A214,""marketcap"")/10000000"),21.4536497)</f>
        <v>21.4536497</v>
      </c>
      <c r="P214" s="33">
        <f t="shared" ca="1" si="0"/>
        <v>1.0547398305873847E-4</v>
      </c>
    </row>
    <row r="215" spans="1:42" ht="14.4" x14ac:dyDescent="0.3">
      <c r="A215" s="110">
        <v>543475</v>
      </c>
      <c r="B215" s="111" t="s">
        <v>226</v>
      </c>
      <c r="C215" s="44">
        <f ca="1">IFERROR(__xludf.DUMMYFUNCTION("GOOGLEFINANCE(""bom:""&amp;A215,""price"")"),105)</f>
        <v>105</v>
      </c>
      <c r="D215" s="59">
        <f ca="1">IFERROR(__xludf.DUMMYFUNCTION("GOOGLEFINANCE(""bom:""&amp;A215,""marketcap"")/10000000"),14.7)</f>
        <v>14.7</v>
      </c>
      <c r="P215" s="33">
        <f t="shared" ca="1" si="0"/>
        <v>7.227057272979783E-5</v>
      </c>
    </row>
    <row r="216" spans="1:42" ht="14.4" x14ac:dyDescent="0.3">
      <c r="A216" s="110">
        <v>536868</v>
      </c>
      <c r="B216" s="111" t="s">
        <v>227</v>
      </c>
      <c r="C216" s="44">
        <f ca="1">IFERROR(__xludf.DUMMYFUNCTION("GOOGLEFINANCE(""bom:""&amp;A216,""price"")"),5.89)</f>
        <v>5.89</v>
      </c>
      <c r="D216" s="59">
        <f ca="1">IFERROR(__xludf.DUMMYFUNCTION("GOOGLEFINANCE(""bom:""&amp;A216,""marketcap"")/10000000"),6.2198398)</f>
        <v>6.2198397999999999</v>
      </c>
      <c r="P216" s="33">
        <f t="shared" ca="1" si="0"/>
        <v>3.0579005757387161E-5</v>
      </c>
    </row>
    <row r="217" spans="1:42" ht="14.4" x14ac:dyDescent="0.3">
      <c r="A217" s="110">
        <v>532307</v>
      </c>
      <c r="B217" s="111" t="s">
        <v>228</v>
      </c>
      <c r="C217" s="44">
        <f ca="1">IFERROR(__xludf.DUMMYFUNCTION("GOOGLEFINANCE(""bom:""&amp;A217,""price"")"),4.36)</f>
        <v>4.3600000000000003</v>
      </c>
      <c r="D217" s="59">
        <f ca="1">IFERROR(__xludf.DUMMYFUNCTION("GOOGLEFINANCE(""bom:""&amp;A217,""marketcap"")/10000000"),6.4274119)</f>
        <v>6.4274119000000001</v>
      </c>
      <c r="P217" s="33">
        <f t="shared" ca="1" si="0"/>
        <v>3.1599506066892392E-5</v>
      </c>
    </row>
    <row r="218" spans="1:42" ht="13.8" x14ac:dyDescent="0.3">
      <c r="A218" s="44"/>
      <c r="B218" s="44"/>
      <c r="C218" s="44"/>
      <c r="D218" s="44"/>
    </row>
    <row r="219" spans="1:42" ht="13.8" x14ac:dyDescent="0.3">
      <c r="A219" s="40"/>
      <c r="B219" s="40" t="s">
        <v>136</v>
      </c>
      <c r="C219" s="40"/>
      <c r="D219" s="113">
        <f t="shared" ref="D219:Y219" ca="1" si="16">SUM(D158:D217)</f>
        <v>203402.29009890012</v>
      </c>
      <c r="E219" s="40">
        <f t="shared" si="16"/>
        <v>20994</v>
      </c>
      <c r="F219" s="40">
        <f t="shared" si="16"/>
        <v>10551</v>
      </c>
      <c r="G219" s="40">
        <f t="shared" si="16"/>
        <v>79976</v>
      </c>
      <c r="H219" s="40">
        <f t="shared" si="16"/>
        <v>54865</v>
      </c>
      <c r="I219" s="40">
        <f t="shared" si="16"/>
        <v>918</v>
      </c>
      <c r="J219" s="40">
        <f t="shared" si="16"/>
        <v>25151</v>
      </c>
      <c r="K219" s="40">
        <f t="shared" si="16"/>
        <v>3362</v>
      </c>
      <c r="L219" s="40">
        <f t="shared" si="16"/>
        <v>10452</v>
      </c>
      <c r="M219" s="40">
        <f t="shared" si="16"/>
        <v>63</v>
      </c>
      <c r="N219" s="40">
        <f t="shared" si="16"/>
        <v>0</v>
      </c>
      <c r="O219" s="40">
        <f t="shared" ca="1" si="16"/>
        <v>433.92000000000013</v>
      </c>
      <c r="P219" s="114">
        <f t="shared" ca="1" si="16"/>
        <v>0.99999999999999922</v>
      </c>
      <c r="Q219" s="40">
        <f t="shared" si="16"/>
        <v>24587</v>
      </c>
      <c r="R219" s="40">
        <f t="shared" si="16"/>
        <v>41179</v>
      </c>
      <c r="S219" s="40">
        <f t="shared" si="16"/>
        <v>4728.7</v>
      </c>
      <c r="T219" s="40">
        <f t="shared" si="16"/>
        <v>28697</v>
      </c>
      <c r="U219" s="40">
        <f t="shared" si="16"/>
        <v>24591</v>
      </c>
      <c r="V219" s="40">
        <f t="shared" si="16"/>
        <v>2575</v>
      </c>
      <c r="W219" s="40">
        <f t="shared" si="16"/>
        <v>2110.9</v>
      </c>
      <c r="X219" s="40">
        <f t="shared" si="16"/>
        <v>350.5</v>
      </c>
      <c r="Y219" s="40">
        <f t="shared" si="16"/>
        <v>35750</v>
      </c>
      <c r="Z219" s="58">
        <f>(T219/U219)-1</f>
        <v>0.16697165629701916</v>
      </c>
      <c r="AA219" s="58">
        <f>(V219/W219)-1</f>
        <v>0.219858827988062</v>
      </c>
      <c r="AB219" s="58">
        <f>(R219/Q219)^(1/5)-1</f>
        <v>0.10864895235186811</v>
      </c>
      <c r="AC219" s="58">
        <f>V219/T219</f>
        <v>8.9730633864166992E-2</v>
      </c>
      <c r="AD219" s="58">
        <f>S219/R219</f>
        <v>0.11483280312780786</v>
      </c>
      <c r="AE219" s="59">
        <f>(R219-Y219+X219)/X219</f>
        <v>16.489300998573466</v>
      </c>
      <c r="AF219" s="45">
        <f>E219/F219</f>
        <v>1.9897640034119988</v>
      </c>
      <c r="AG219" s="59">
        <f>(L219/R219)*365</f>
        <v>92.643823307996797</v>
      </c>
      <c r="AH219" s="112">
        <f>K219/J219</f>
        <v>0.13367261739095862</v>
      </c>
      <c r="AI219" s="112">
        <f>H219/G219</f>
        <v>0.68601830549164744</v>
      </c>
      <c r="AJ219" s="33">
        <f>S219/J219</f>
        <v>0.18801240507335693</v>
      </c>
      <c r="AK219" s="40"/>
      <c r="AL219" s="58">
        <f>S219/G219</f>
        <v>5.9126487946383914E-2</v>
      </c>
      <c r="AM219" s="40">
        <f ca="1">MEDIAN(AM158:AM172)</f>
        <v>61.284999999999997</v>
      </c>
      <c r="AN219" s="40"/>
      <c r="AO219" s="40"/>
      <c r="AP219" s="40"/>
    </row>
  </sheetData>
  <mergeCells count="1">
    <mergeCell ref="B2:M4"/>
  </mergeCells>
  <conditionalFormatting sqref="C7:C2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3:C5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1:C95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18:D13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:G21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3:G57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1:G9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8:H13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:K2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1:K95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18:L132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LTTS</vt:lpstr>
      <vt:lpstr>IT Enabled Services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2024-07-23T10:26:38Z</dcterms:created>
  <dcterms:modified xsi:type="dcterms:W3CDTF">2024-07-23T10:27:02Z</dcterms:modified>
</cp:coreProperties>
</file>