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952744E6-E207-4D79-A6B5-6E46F7A54DB8}" xr6:coauthVersionLast="47" xr6:coauthVersionMax="47" xr10:uidLastSave="{00000000-0000-0000-0000-000000000000}"/>
  <bookViews>
    <workbookView xWindow="-108" yWindow="-108" windowWidth="23256" windowHeight="12456" xr2:uid="{AA016E08-BC8E-41BE-B4D5-E0AF2693BA94}"/>
  </bookViews>
  <sheets>
    <sheet name="AFF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S55" i="1"/>
  <c r="F54" i="1"/>
  <c r="J54" i="1" s="1"/>
  <c r="C54" i="1"/>
  <c r="C55" i="1" s="1"/>
  <c r="C56" i="1" s="1"/>
  <c r="S51" i="1"/>
  <c r="R51" i="1"/>
  <c r="R55" i="1" s="1"/>
  <c r="N46" i="1"/>
  <c r="M46" i="1"/>
  <c r="O46" i="1" s="1"/>
  <c r="D46" i="1"/>
  <c r="C46" i="1"/>
  <c r="E46" i="1" s="1"/>
  <c r="N45" i="1"/>
  <c r="M45" i="1"/>
  <c r="O45" i="1" s="1"/>
  <c r="E45" i="1"/>
  <c r="D45" i="1"/>
  <c r="C45" i="1"/>
  <c r="O44" i="1"/>
  <c r="E44" i="1"/>
  <c r="O43" i="1"/>
  <c r="I43" i="1"/>
  <c r="H43" i="1"/>
  <c r="J43" i="1" s="1"/>
  <c r="E43" i="1"/>
  <c r="M42" i="1"/>
  <c r="O42" i="1" s="1"/>
  <c r="I42" i="1"/>
  <c r="H42" i="1"/>
  <c r="J42" i="1" s="1"/>
  <c r="X41" i="1"/>
  <c r="W41" i="1"/>
  <c r="V41" i="1"/>
  <c r="Y41" i="1" s="1"/>
  <c r="N41" i="1"/>
  <c r="N42" i="1" s="1"/>
  <c r="M41" i="1"/>
  <c r="O41" i="1" s="1"/>
  <c r="J41" i="1"/>
  <c r="O40" i="1"/>
  <c r="J40" i="1"/>
  <c r="E40" i="1"/>
  <c r="Y39" i="1"/>
  <c r="X39" i="1"/>
  <c r="N39" i="1"/>
  <c r="M39" i="1"/>
  <c r="O39" i="1" s="1"/>
  <c r="J39" i="1"/>
  <c r="D39" i="1"/>
  <c r="D41" i="1" s="1"/>
  <c r="D42" i="1" s="1"/>
  <c r="C39" i="1"/>
  <c r="C41" i="1" s="1"/>
  <c r="Y38" i="1"/>
  <c r="O38" i="1"/>
  <c r="J38" i="1"/>
  <c r="E38" i="1"/>
  <c r="Y37" i="1"/>
  <c r="X37" i="1"/>
  <c r="O37" i="1"/>
  <c r="J37" i="1"/>
  <c r="E37" i="1"/>
  <c r="Y36" i="1"/>
  <c r="X36" i="1"/>
  <c r="O36" i="1"/>
  <c r="J36" i="1"/>
  <c r="E36" i="1"/>
  <c r="Y35" i="1"/>
  <c r="X35" i="1"/>
  <c r="O35" i="1"/>
  <c r="J35" i="1"/>
  <c r="E35" i="1"/>
  <c r="O32" i="1"/>
  <c r="Q30" i="1"/>
  <c r="M30" i="1"/>
  <c r="P30" i="1" s="1"/>
  <c r="M27" i="1"/>
  <c r="L27" i="1"/>
  <c r="K27" i="1"/>
  <c r="J27" i="1"/>
  <c r="H27" i="1"/>
  <c r="G27" i="1"/>
  <c r="F27" i="1"/>
  <c r="C27" i="1"/>
  <c r="K26" i="1"/>
  <c r="J26" i="1"/>
  <c r="H26" i="1"/>
  <c r="G26" i="1"/>
  <c r="F26" i="1"/>
  <c r="D26" i="1"/>
  <c r="C26" i="1"/>
  <c r="P22" i="1"/>
  <c r="O22" i="1"/>
  <c r="N22" i="1"/>
  <c r="N21" i="1"/>
  <c r="P21" i="1" s="1"/>
  <c r="P27" i="1" s="1"/>
  <c r="M21" i="1"/>
  <c r="L21" i="1"/>
  <c r="E21" i="1"/>
  <c r="E27" i="1" s="1"/>
  <c r="D21" i="1"/>
  <c r="D54" i="1" s="1"/>
  <c r="N20" i="1"/>
  <c r="P20" i="1" s="1"/>
  <c r="M20" i="1"/>
  <c r="L20" i="1"/>
  <c r="I20" i="1"/>
  <c r="P19" i="1"/>
  <c r="N19" i="1"/>
  <c r="O19" i="1" s="1"/>
  <c r="M19" i="1"/>
  <c r="L19" i="1"/>
  <c r="I19" i="1"/>
  <c r="N18" i="1"/>
  <c r="P18" i="1" s="1"/>
  <c r="M18" i="1"/>
  <c r="L18" i="1"/>
  <c r="I18" i="1"/>
  <c r="P17" i="1"/>
  <c r="N17" i="1"/>
  <c r="M17" i="1"/>
  <c r="L17" i="1"/>
  <c r="K17" i="1"/>
  <c r="J17" i="1"/>
  <c r="O17" i="1" s="1"/>
  <c r="I17" i="1"/>
  <c r="P16" i="1"/>
  <c r="N16" i="1"/>
  <c r="O16" i="1" s="1"/>
  <c r="M16" i="1"/>
  <c r="M26" i="1" s="1"/>
  <c r="L16" i="1"/>
  <c r="L26" i="1" s="1"/>
  <c r="I16" i="1"/>
  <c r="I15" i="1"/>
  <c r="I14" i="1"/>
  <c r="I13" i="1"/>
  <c r="I12" i="1"/>
  <c r="S9" i="1"/>
  <c r="R9" i="1"/>
  <c r="Q9" i="1"/>
  <c r="O9" i="1"/>
  <c r="N9" i="1"/>
  <c r="J9" i="1"/>
  <c r="G9" i="1"/>
  <c r="F9" i="1"/>
  <c r="D9" i="1"/>
  <c r="C9" i="1"/>
  <c r="B9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V4" i="1"/>
  <c r="D4" i="1"/>
  <c r="V3" i="1"/>
  <c r="D3" i="1"/>
  <c r="D5" i="1" s="1"/>
  <c r="C3" i="1"/>
  <c r="C5" i="1" s="1"/>
  <c r="C42" i="1" l="1"/>
  <c r="E42" i="1" s="1"/>
  <c r="E41" i="1"/>
  <c r="E54" i="1"/>
  <c r="E51" i="1" s="1"/>
  <c r="D55" i="1"/>
  <c r="P26" i="1"/>
  <c r="H9" i="1"/>
  <c r="D22" i="1"/>
  <c r="E3" i="1" s="1"/>
  <c r="D27" i="1"/>
  <c r="O18" i="1"/>
  <c r="O26" i="1" s="1"/>
  <c r="I21" i="1"/>
  <c r="F22" i="1"/>
  <c r="N27" i="1"/>
  <c r="P32" i="1"/>
  <c r="E39" i="1"/>
  <c r="E22" i="1"/>
  <c r="E26" i="1"/>
  <c r="Q32" i="1"/>
  <c r="R30" i="1" s="1"/>
  <c r="P9" i="1" s="1"/>
  <c r="G54" i="1"/>
  <c r="N26" i="1"/>
  <c r="H54" i="1"/>
  <c r="I54" i="1" s="1"/>
  <c r="O20" i="1"/>
  <c r="O21" i="1"/>
  <c r="O27" i="1" s="1"/>
  <c r="X38" i="1"/>
  <c r="M22" i="1" l="1"/>
  <c r="L22" i="1"/>
  <c r="G3" i="1"/>
  <c r="E9" i="1"/>
  <c r="E5" i="1"/>
  <c r="G55" i="1"/>
  <c r="K54" i="1"/>
  <c r="M54" i="1"/>
  <c r="I26" i="1"/>
  <c r="I27" i="1"/>
  <c r="E55" i="1"/>
  <c r="D56" i="1"/>
  <c r="F3" i="1"/>
  <c r="I22" i="1"/>
  <c r="L54" i="1" l="1"/>
  <c r="N54" i="1" s="1"/>
  <c r="E59" i="1" s="1"/>
  <c r="F59" i="1" s="1"/>
  <c r="K9" i="1"/>
  <c r="I9" i="1"/>
  <c r="F5" i="1"/>
  <c r="G56" i="1"/>
  <c r="M55" i="1"/>
  <c r="K55" i="1"/>
  <c r="L55" i="1" s="1"/>
  <c r="F55" i="1"/>
  <c r="E56" i="1"/>
  <c r="M9" i="1"/>
  <c r="G5" i="1"/>
  <c r="L9" i="1"/>
  <c r="G49" i="1"/>
  <c r="M56" i="1" l="1"/>
  <c r="K56" i="1"/>
  <c r="L56" i="1" s="1"/>
  <c r="F56" i="1"/>
  <c r="J55" i="1"/>
  <c r="H55" i="1"/>
  <c r="I55" i="1" s="1"/>
  <c r="N55" i="1" s="1"/>
  <c r="H56" i="1" l="1"/>
  <c r="I56" i="1" s="1"/>
  <c r="N56" i="1" s="1"/>
  <c r="J56" i="1"/>
</calcChain>
</file>

<file path=xl/sharedStrings.xml><?xml version="1.0" encoding="utf-8"?>
<sst xmlns="http://schemas.openxmlformats.org/spreadsheetml/2006/main" count="226" uniqueCount="159">
  <si>
    <t>MARKET</t>
  </si>
  <si>
    <t>INC. STATEMEN</t>
  </si>
  <si>
    <t>BAL. SHEET</t>
  </si>
  <si>
    <t>CASHFLOW</t>
  </si>
  <si>
    <t>Company</t>
  </si>
  <si>
    <t>Price</t>
  </si>
  <si>
    <t>Marketcap in Cr</t>
  </si>
  <si>
    <t>Sales in Cr</t>
  </si>
  <si>
    <t>Profit in Cr</t>
  </si>
  <si>
    <t>EPS</t>
  </si>
  <si>
    <t>FV</t>
  </si>
  <si>
    <t>Equity</t>
  </si>
  <si>
    <t>Total Equity</t>
  </si>
  <si>
    <t>Debt</t>
  </si>
  <si>
    <t>Lease Cr</t>
  </si>
  <si>
    <t>CUR.ASSETS</t>
  </si>
  <si>
    <t>CUR.LIABILITIES</t>
  </si>
  <si>
    <t>ASSETS</t>
  </si>
  <si>
    <t>LIABILITIES</t>
  </si>
  <si>
    <t>TRADE REC</t>
  </si>
  <si>
    <t>PPE_CF</t>
  </si>
  <si>
    <t>CFO</t>
  </si>
  <si>
    <t>CFI</t>
  </si>
  <si>
    <t>CFF</t>
  </si>
  <si>
    <t>NET</t>
  </si>
  <si>
    <t>AFFLE</t>
  </si>
  <si>
    <t>PREVIOUS YEAR</t>
  </si>
  <si>
    <t>GROWTH</t>
  </si>
  <si>
    <t>LIQUIDITY</t>
  </si>
  <si>
    <t>SOLVENCY</t>
  </si>
  <si>
    <t>PROFITABILITY</t>
  </si>
  <si>
    <t>VALUATIONS</t>
  </si>
  <si>
    <t>CFR</t>
  </si>
  <si>
    <t>SALES GROWTH</t>
  </si>
  <si>
    <t>P-MARGIN</t>
  </si>
  <si>
    <t>CUR.RATIO</t>
  </si>
  <si>
    <t>TRADE CYC DAYS</t>
  </si>
  <si>
    <t>DEBT2EQUITY</t>
  </si>
  <si>
    <t>DEBTRATIO</t>
  </si>
  <si>
    <t>ICR</t>
  </si>
  <si>
    <t>ROE</t>
  </si>
  <si>
    <t>ROCE</t>
  </si>
  <si>
    <t>ROA</t>
  </si>
  <si>
    <t>PE</t>
  </si>
  <si>
    <t>YIELD_23</t>
  </si>
  <si>
    <t>BOOKVALUE</t>
  </si>
  <si>
    <t>PBV</t>
  </si>
  <si>
    <t>PEG</t>
  </si>
  <si>
    <t>OCFR</t>
  </si>
  <si>
    <t>CFD</t>
  </si>
  <si>
    <t>FCF IN CR</t>
  </si>
  <si>
    <t>ActualData</t>
  </si>
  <si>
    <t>Years in cr</t>
  </si>
  <si>
    <t>USERS in CR</t>
  </si>
  <si>
    <t>Sales</t>
  </si>
  <si>
    <t>Profit</t>
  </si>
  <si>
    <t>Reserve</t>
  </si>
  <si>
    <t>Margin</t>
  </si>
  <si>
    <t>Low Price</t>
  </si>
  <si>
    <t>High</t>
  </si>
  <si>
    <t>LPE</t>
  </si>
  <si>
    <t>HPE</t>
  </si>
  <si>
    <t>BookValue</t>
  </si>
  <si>
    <t>LBV</t>
  </si>
  <si>
    <t>HBV</t>
  </si>
  <si>
    <t>fy_2016</t>
  </si>
  <si>
    <t>fy_2017</t>
  </si>
  <si>
    <t>fy_2018</t>
  </si>
  <si>
    <t>fy_2019</t>
  </si>
  <si>
    <t>IPO</t>
  </si>
  <si>
    <t>fy_2020</t>
  </si>
  <si>
    <t>fy_2021</t>
  </si>
  <si>
    <t>SPLIT 10TO2</t>
  </si>
  <si>
    <t>fy_2022</t>
  </si>
  <si>
    <t>fy_2023</t>
  </si>
  <si>
    <t>fy_2024</t>
  </si>
  <si>
    <t>fy_2025</t>
  </si>
  <si>
    <t>Tr.fy_2026</t>
  </si>
  <si>
    <t>Growth</t>
  </si>
  <si>
    <t>5 YEARS</t>
  </si>
  <si>
    <t>LAST YEAR</t>
  </si>
  <si>
    <t>TREND</t>
  </si>
  <si>
    <t>H1_FY_2025</t>
  </si>
  <si>
    <t>9M_FY_2025</t>
  </si>
  <si>
    <t>FY_2025</t>
  </si>
  <si>
    <t>Q1_FY_26</t>
  </si>
  <si>
    <t>EST-2026</t>
  </si>
  <si>
    <t>Q2_2025</t>
  </si>
  <si>
    <t>Q3_2025</t>
  </si>
  <si>
    <t>Q4_2025</t>
  </si>
  <si>
    <t>Q1_2026</t>
  </si>
  <si>
    <t>Trail_EPS</t>
  </si>
  <si>
    <t>EPS_24</t>
  </si>
  <si>
    <t>T_EPS_2025</t>
  </si>
  <si>
    <t>F_EPS_26</t>
  </si>
  <si>
    <t>SALES</t>
  </si>
  <si>
    <t>PROFIT</t>
  </si>
  <si>
    <t>PE_24</t>
  </si>
  <si>
    <t>T_PE_25</t>
  </si>
  <si>
    <t>F_PE_2026</t>
  </si>
  <si>
    <t>MARGIN</t>
  </si>
  <si>
    <t>RESULTS</t>
  </si>
  <si>
    <t>Q1_FY_25</t>
  </si>
  <si>
    <t>Q4_FY_25</t>
  </si>
  <si>
    <t>Q4_FY_24</t>
  </si>
  <si>
    <t>FY_25</t>
  </si>
  <si>
    <t>FY_24</t>
  </si>
  <si>
    <t>REGIONAL</t>
  </si>
  <si>
    <t>FY_24_Share</t>
  </si>
  <si>
    <t>MARJOR COST</t>
  </si>
  <si>
    <t>SHARE</t>
  </si>
  <si>
    <t>CONVERSION</t>
  </si>
  <si>
    <t>India &amp; Emerging Markets</t>
  </si>
  <si>
    <t>INVENTORY</t>
  </si>
  <si>
    <t>ARPU</t>
  </si>
  <si>
    <t>Developed Markets</t>
  </si>
  <si>
    <t>EMPLOYEE</t>
  </si>
  <si>
    <t>Revenue</t>
  </si>
  <si>
    <t>finance</t>
  </si>
  <si>
    <t>cost</t>
  </si>
  <si>
    <t>D&amp;A</t>
  </si>
  <si>
    <t>EBITDA</t>
  </si>
  <si>
    <t>OTHER EXP</t>
  </si>
  <si>
    <t>Net Profit</t>
  </si>
  <si>
    <t>EBTDA</t>
  </si>
  <si>
    <t>TOTAL</t>
  </si>
  <si>
    <t>PBT</t>
  </si>
  <si>
    <t>Profit Margin</t>
  </si>
  <si>
    <t>EST_GR</t>
  </si>
  <si>
    <t>Exp Growth</t>
  </si>
  <si>
    <t>USERS</t>
  </si>
  <si>
    <t>SHP</t>
  </si>
  <si>
    <t>2019 IN %</t>
  </si>
  <si>
    <t>2023 IN %</t>
  </si>
  <si>
    <t>LONG TERM</t>
  </si>
  <si>
    <t>PROMOTERS</t>
  </si>
  <si>
    <t>Mid Term</t>
  </si>
  <si>
    <t>MF, INSURANCE</t>
  </si>
  <si>
    <t>CYEAR</t>
  </si>
  <si>
    <t>FPI</t>
  </si>
  <si>
    <t>Base on EPS</t>
  </si>
  <si>
    <t>Base on BV</t>
  </si>
  <si>
    <t>Blended EPS(60%)+PBV(40%)</t>
  </si>
  <si>
    <t>RETAIL</t>
  </si>
  <si>
    <t>ESTIAMTES</t>
  </si>
  <si>
    <t>Estimates</t>
  </si>
  <si>
    <t>BV</t>
  </si>
  <si>
    <t>LOW PRICE RANGE</t>
  </si>
  <si>
    <t>FAIRVALUE@EPS</t>
  </si>
  <si>
    <t>HIGH PRICE RANGE</t>
  </si>
  <si>
    <t>FAIRVALUE@BV</t>
  </si>
  <si>
    <t>Blended Farivalue</t>
  </si>
  <si>
    <t>OTHERS</t>
  </si>
  <si>
    <t>fy_2026</t>
  </si>
  <si>
    <t>fy_2030</t>
  </si>
  <si>
    <t>fy_2035</t>
  </si>
  <si>
    <t>STRATEGIC WT %</t>
  </si>
  <si>
    <t>TAF</t>
  </si>
  <si>
    <t>Tactical Wt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</si>
</sst>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₹&quot;\ #,##0;[Red]&quot;₹&quot;\ \-#,##0"/>
    <numFmt numFmtId="164" formatCode="0.0%"/>
    <numFmt numFmtId="165" formatCode="0.0"/>
    <numFmt numFmtId="166" formatCode="#,##0.0"/>
    <numFmt numFmtId="167" formatCode="#,##0;\(#,##0\)"/>
  </numFmts>
  <fonts count="16" x14ac:knownFonts="1">
    <font>
      <sz val="10"/>
      <color rgb="FF000000"/>
      <name val="Arial"/>
      <scheme val="minor"/>
    </font>
    <font>
      <b/>
      <sz val="14"/>
      <color rgb="FFFFFFFF"/>
      <name val="Calibri"/>
    </font>
    <font>
      <sz val="11"/>
      <color theme="1"/>
      <name val="Calibri"/>
    </font>
    <font>
      <sz val="10"/>
      <color theme="1"/>
      <name val="Arial"/>
      <scheme val="minor"/>
    </font>
    <font>
      <b/>
      <sz val="11"/>
      <color rgb="FFFFFFFF"/>
      <name val="Arial"/>
      <scheme val="minor"/>
    </font>
    <font>
      <b/>
      <sz val="11"/>
      <color rgb="FFFFFFFF"/>
      <name val="Calibri"/>
    </font>
    <font>
      <sz val="11"/>
      <color theme="1"/>
      <name val="Times New Roman"/>
    </font>
    <font>
      <sz val="11"/>
      <color theme="1"/>
      <name val="Arial"/>
    </font>
    <font>
      <b/>
      <i/>
      <sz val="11"/>
      <color theme="1"/>
      <name val="Calibri"/>
    </font>
    <font>
      <sz val="18"/>
      <color theme="1"/>
      <name val="Arial"/>
      <scheme val="minor"/>
    </font>
    <font>
      <sz val="10"/>
      <color theme="1"/>
      <name val="Arial"/>
    </font>
    <font>
      <sz val="10"/>
      <color theme="1"/>
      <name val="Calibri"/>
    </font>
    <font>
      <i/>
      <sz val="11"/>
      <color theme="1"/>
      <name val="Arial"/>
    </font>
    <font>
      <b/>
      <i/>
      <sz val="10"/>
      <color theme="1"/>
      <name val="Arial"/>
      <scheme val="minor"/>
    </font>
    <font>
      <b/>
      <sz val="9"/>
      <color rgb="FFFFFFFF"/>
      <name val="Times New Roman"/>
    </font>
    <font>
      <sz val="11"/>
      <color theme="1"/>
      <name val="Source Code Pro"/>
    </font>
  </fonts>
  <fills count="17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FAFDFC"/>
        <bgColor rgb="FFFAFDFC"/>
      </patternFill>
    </fill>
    <fill>
      <patternFill patternType="solid">
        <fgColor rgb="FF68C296"/>
        <bgColor rgb="FF68C296"/>
      </patternFill>
    </fill>
    <fill>
      <patternFill patternType="solid">
        <fgColor rgb="FFFEFFFF"/>
        <bgColor rgb="FFFEFFFF"/>
      </patternFill>
    </fill>
    <fill>
      <patternFill patternType="solid">
        <fgColor rgb="FFFEFDFD"/>
        <bgColor rgb="FFFEFDFD"/>
      </patternFill>
    </fill>
    <fill>
      <patternFill patternType="solid">
        <fgColor rgb="FFF3C0BC"/>
        <bgColor rgb="FFF3C0BC"/>
      </patternFill>
    </fill>
    <fill>
      <patternFill patternType="solid">
        <fgColor rgb="FFE67C73"/>
        <bgColor rgb="FFE67C73"/>
      </patternFill>
    </fill>
    <fill>
      <patternFill patternType="solid">
        <fgColor rgb="FFDBE5F1"/>
        <bgColor rgb="FFDBE5F1"/>
      </patternFill>
    </fill>
    <fill>
      <patternFill patternType="solid">
        <fgColor rgb="FFD9D9D9"/>
        <bgColor rgb="FFD9D9D9"/>
      </patternFill>
    </fill>
    <fill>
      <patternFill patternType="solid">
        <fgColor rgb="FF0C343D"/>
        <bgColor rgb="FF0C343D"/>
      </patternFill>
    </fill>
    <fill>
      <patternFill patternType="solid">
        <fgColor rgb="FF57BB8A"/>
        <bgColor rgb="FF57BB8A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1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2" fillId="3" borderId="1" xfId="0" applyFont="1" applyFill="1" applyBorder="1"/>
    <xf numFmtId="9" fontId="2" fillId="0" borderId="1" xfId="0" applyNumberFormat="1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left"/>
    </xf>
    <xf numFmtId="9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4" borderId="1" xfId="0" applyFont="1" applyFill="1" applyBorder="1" applyAlignment="1">
      <alignment horizontal="left"/>
    </xf>
    <xf numFmtId="1" fontId="2" fillId="5" borderId="1" xfId="0" applyNumberFormat="1" applyFont="1" applyFill="1" applyBorder="1" applyAlignment="1">
      <alignment horizontal="right"/>
    </xf>
    <xf numFmtId="1" fontId="6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" fontId="7" fillId="5" borderId="1" xfId="0" applyNumberFormat="1" applyFont="1" applyFill="1" applyBorder="1" applyAlignment="1">
      <alignment horizontal="right"/>
    </xf>
    <xf numFmtId="1" fontId="3" fillId="0" borderId="1" xfId="0" applyNumberFormat="1" applyFont="1" applyBorder="1"/>
    <xf numFmtId="165" fontId="3" fillId="0" borderId="1" xfId="0" applyNumberFormat="1" applyFont="1" applyBorder="1"/>
    <xf numFmtId="0" fontId="3" fillId="0" borderId="0" xfId="0" applyFont="1"/>
    <xf numFmtId="0" fontId="5" fillId="2" borderId="0" xfId="0" applyFont="1" applyFill="1" applyAlignment="1">
      <alignment horizontal="right"/>
    </xf>
    <xf numFmtId="9" fontId="3" fillId="0" borderId="0" xfId="0" applyNumberFormat="1" applyFont="1"/>
    <xf numFmtId="9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9" fontId="8" fillId="0" borderId="0" xfId="0" applyNumberFormat="1" applyFont="1" applyAlignment="1">
      <alignment horizontal="right"/>
    </xf>
    <xf numFmtId="9" fontId="2" fillId="0" borderId="0" xfId="0" applyNumberFormat="1" applyFont="1"/>
    <xf numFmtId="3" fontId="8" fillId="0" borderId="0" xfId="0" applyNumberFormat="1" applyFont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7" fillId="0" borderId="1" xfId="0" applyFont="1" applyBorder="1"/>
    <xf numFmtId="9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center"/>
    </xf>
    <xf numFmtId="165" fontId="9" fillId="6" borderId="0" xfId="0" applyNumberFormat="1" applyFont="1" applyFill="1" applyAlignment="1">
      <alignment horizontal="center" vertical="center"/>
    </xf>
    <xf numFmtId="0" fontId="0" fillId="0" borderId="0" xfId="0"/>
    <xf numFmtId="10" fontId="2" fillId="0" borderId="1" xfId="0" applyNumberFormat="1" applyFont="1" applyBorder="1"/>
    <xf numFmtId="164" fontId="2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10" fontId="3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9" fontId="8" fillId="7" borderId="1" xfId="0" applyNumberFormat="1" applyFont="1" applyFill="1" applyBorder="1" applyAlignment="1">
      <alignment horizontal="right"/>
    </xf>
    <xf numFmtId="9" fontId="8" fillId="8" borderId="1" xfId="0" applyNumberFormat="1" applyFont="1" applyFill="1" applyBorder="1" applyAlignment="1">
      <alignment horizontal="right"/>
    </xf>
    <xf numFmtId="9" fontId="8" fillId="9" borderId="1" xfId="0" applyNumberFormat="1" applyFont="1" applyFill="1" applyBorder="1" applyAlignment="1">
      <alignment horizontal="right"/>
    </xf>
    <xf numFmtId="9" fontId="8" fillId="3" borderId="1" xfId="0" applyNumberFormat="1" applyFont="1" applyFill="1" applyBorder="1" applyAlignment="1">
      <alignment horizontal="right"/>
    </xf>
    <xf numFmtId="9" fontId="8" fillId="10" borderId="1" xfId="0" applyNumberFormat="1" applyFont="1" applyFill="1" applyBorder="1" applyAlignment="1">
      <alignment horizontal="right"/>
    </xf>
    <xf numFmtId="9" fontId="8" fillId="11" borderId="1" xfId="0" applyNumberFormat="1" applyFont="1" applyFill="1" applyBorder="1" applyAlignment="1">
      <alignment horizontal="right"/>
    </xf>
    <xf numFmtId="0" fontId="8" fillId="0" borderId="1" xfId="0" applyFont="1" applyBorder="1"/>
    <xf numFmtId="1" fontId="8" fillId="0" borderId="1" xfId="0" applyNumberFormat="1" applyFont="1" applyBorder="1" applyAlignment="1">
      <alignment horizontal="right"/>
    </xf>
    <xf numFmtId="9" fontId="8" fillId="0" borderId="1" xfId="0" applyNumberFormat="1" applyFont="1" applyBorder="1"/>
    <xf numFmtId="164" fontId="8" fillId="11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6" fontId="8" fillId="1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9" fontId="3" fillId="0" borderId="1" xfId="0" applyNumberFormat="1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13" borderId="1" xfId="0" applyNumberFormat="1" applyFont="1" applyFill="1" applyBorder="1" applyAlignment="1">
      <alignment horizontal="right"/>
    </xf>
    <xf numFmtId="166" fontId="2" fillId="13" borderId="1" xfId="0" applyNumberFormat="1" applyFont="1" applyFill="1" applyBorder="1" applyAlignment="1">
      <alignment horizontal="right"/>
    </xf>
    <xf numFmtId="1" fontId="11" fillId="14" borderId="1" xfId="0" applyNumberFormat="1" applyFont="1" applyFill="1" applyBorder="1" applyAlignment="1">
      <alignment horizontal="right"/>
    </xf>
    <xf numFmtId="167" fontId="7" fillId="14" borderId="1" xfId="0" applyNumberFormat="1" applyFont="1" applyFill="1" applyBorder="1" applyAlignment="1">
      <alignment horizontal="right"/>
    </xf>
    <xf numFmtId="167" fontId="12" fillId="14" borderId="1" xfId="0" applyNumberFormat="1" applyFont="1" applyFill="1" applyBorder="1" applyAlignment="1">
      <alignment horizontal="center"/>
    </xf>
    <xf numFmtId="4" fontId="2" fillId="13" borderId="1" xfId="0" applyNumberFormat="1" applyFont="1" applyFill="1" applyBorder="1" applyAlignment="1">
      <alignment horizontal="right"/>
    </xf>
    <xf numFmtId="6" fontId="2" fillId="14" borderId="1" xfId="0" applyNumberFormat="1" applyFont="1" applyFill="1" applyBorder="1" applyAlignment="1">
      <alignment horizontal="right"/>
    </xf>
    <xf numFmtId="0" fontId="13" fillId="0" borderId="3" xfId="0" applyFont="1" applyBorder="1"/>
    <xf numFmtId="1" fontId="13" fillId="0" borderId="3" xfId="0" applyNumberFormat="1" applyFont="1" applyBorder="1"/>
    <xf numFmtId="0" fontId="14" fillId="15" borderId="1" xfId="0" applyFont="1" applyFill="1" applyBorder="1" applyAlignment="1">
      <alignment wrapText="1"/>
    </xf>
    <xf numFmtId="1" fontId="14" fillId="15" borderId="1" xfId="0" applyNumberFormat="1" applyFont="1" applyFill="1" applyBorder="1" applyAlignment="1">
      <alignment wrapText="1"/>
    </xf>
    <xf numFmtId="1" fontId="15" fillId="0" borderId="1" xfId="0" applyNumberFormat="1" applyFont="1" applyBorder="1" applyAlignment="1">
      <alignment horizontal="right"/>
    </xf>
    <xf numFmtId="10" fontId="7" fillId="16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59</xdr:row>
      <xdr:rowOff>200025</xdr:rowOff>
    </xdr:from>
    <xdr:ext cx="9820275" cy="39338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C4A7C6D9-7E04-45B2-8F62-936F648604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4380" y="11538585"/>
          <a:ext cx="9820275" cy="3933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7A54-3576-45BA-92C9-592F27AA146C}">
  <sheetPr>
    <outlinePr summaryBelow="0" summaryRight="0"/>
  </sheetPr>
  <dimension ref="A1:Y1004"/>
  <sheetViews>
    <sheetView showGridLines="0" tabSelected="1" workbookViewId="0"/>
  </sheetViews>
  <sheetFormatPr defaultColWidth="12.6640625" defaultRowHeight="15.75" customHeight="1" x14ac:dyDescent="0.25"/>
  <cols>
    <col min="1" max="1" width="11" customWidth="1"/>
    <col min="2" max="6" width="12.6640625" customWidth="1"/>
    <col min="17" max="17" width="14.33203125" customWidth="1"/>
  </cols>
  <sheetData>
    <row r="1" spans="1:22" ht="18" x14ac:dyDescent="0.35">
      <c r="D1" s="1" t="s">
        <v>0</v>
      </c>
      <c r="E1" s="1" t="s">
        <v>1</v>
      </c>
      <c r="I1" s="1" t="s">
        <v>2</v>
      </c>
      <c r="R1" s="1" t="s">
        <v>3</v>
      </c>
    </row>
    <row r="2" spans="1:22" ht="18" x14ac:dyDescent="0.35"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2" ht="14.4" x14ac:dyDescent="0.3">
      <c r="B3" s="2" t="s">
        <v>25</v>
      </c>
      <c r="C3" s="3">
        <f ca="1">IFERROR(__xludf.DUMMYFUNCTION("GOOGLEFINANCE(""NSE:""&amp;B3,""price"")"),1949.6)</f>
        <v>1949.6</v>
      </c>
      <c r="D3" s="3">
        <f ca="1">IFERROR(__xludf.DUMMYFUNCTION("GOOGLEFINANCE((""NSE:""&amp;B3),""marketcap"")/10000000"),27355.88088)</f>
        <v>27355.880880000001</v>
      </c>
      <c r="E3" s="3">
        <f t="shared" ref="E3:G3" si="0">D22</f>
        <v>2043</v>
      </c>
      <c r="F3" s="3">
        <f t="shared" si="0"/>
        <v>335</v>
      </c>
      <c r="G3" s="4">
        <f t="shared" si="0"/>
        <v>28.580000000000002</v>
      </c>
      <c r="H3" s="5">
        <v>2</v>
      </c>
      <c r="I3" s="5">
        <v>28</v>
      </c>
      <c r="J3" s="3">
        <v>2918</v>
      </c>
      <c r="K3" s="5">
        <v>78</v>
      </c>
      <c r="L3" s="6">
        <v>5</v>
      </c>
      <c r="M3" s="3">
        <v>2176</v>
      </c>
      <c r="N3" s="3">
        <v>629</v>
      </c>
      <c r="O3" s="7">
        <v>3611</v>
      </c>
      <c r="P3" s="3">
        <v>675</v>
      </c>
      <c r="Q3" s="3">
        <v>299</v>
      </c>
      <c r="R3" s="8">
        <v>160</v>
      </c>
      <c r="S3" s="8">
        <v>500</v>
      </c>
      <c r="T3" s="8">
        <v>-114</v>
      </c>
      <c r="U3" s="8">
        <v>-92</v>
      </c>
      <c r="V3" s="8">
        <f t="shared" ref="V3:V4" si="1">SUM(S3:U3)</f>
        <v>294</v>
      </c>
    </row>
    <row r="4" spans="1:22" ht="14.4" x14ac:dyDescent="0.3">
      <c r="B4" s="2" t="s">
        <v>26</v>
      </c>
      <c r="C4" s="3">
        <v>1608</v>
      </c>
      <c r="D4" s="9">
        <f>C4*(I3/H3)</f>
        <v>22512</v>
      </c>
      <c r="E4" s="2">
        <v>1943</v>
      </c>
      <c r="F4" s="2">
        <v>316</v>
      </c>
      <c r="G4" s="2">
        <v>27.23</v>
      </c>
      <c r="H4" s="10">
        <v>2</v>
      </c>
      <c r="I4" s="10">
        <v>26.6</v>
      </c>
      <c r="J4" s="10">
        <v>2470</v>
      </c>
      <c r="K4" s="10">
        <v>178</v>
      </c>
      <c r="L4" s="6">
        <v>14</v>
      </c>
      <c r="M4" s="3">
        <v>1974</v>
      </c>
      <c r="N4" s="3">
        <v>643</v>
      </c>
      <c r="O4" s="7">
        <v>3283</v>
      </c>
      <c r="P4" s="3">
        <v>785</v>
      </c>
      <c r="Q4" s="3">
        <v>318</v>
      </c>
      <c r="R4" s="8">
        <v>116</v>
      </c>
      <c r="S4" s="8">
        <v>297</v>
      </c>
      <c r="T4" s="8">
        <v>577</v>
      </c>
      <c r="U4" s="8">
        <v>783</v>
      </c>
      <c r="V4" s="8">
        <f t="shared" si="1"/>
        <v>1657</v>
      </c>
    </row>
    <row r="5" spans="1:22" ht="14.4" x14ac:dyDescent="0.3">
      <c r="B5" s="2" t="s">
        <v>27</v>
      </c>
      <c r="C5" s="11">
        <f t="shared" ref="C5:V5" ca="1" si="2">(C3/C4)-1</f>
        <v>0.21243781094527359</v>
      </c>
      <c r="D5" s="11">
        <f t="shared" ca="1" si="2"/>
        <v>0.21516883795309161</v>
      </c>
      <c r="E5" s="11">
        <f t="shared" si="2"/>
        <v>5.1466803911477177E-2</v>
      </c>
      <c r="F5" s="11">
        <f t="shared" si="2"/>
        <v>6.0126582278481111E-2</v>
      </c>
      <c r="G5" s="11">
        <f t="shared" si="2"/>
        <v>4.9577671685640867E-2</v>
      </c>
      <c r="H5" s="11">
        <f t="shared" si="2"/>
        <v>0</v>
      </c>
      <c r="I5" s="11">
        <f t="shared" si="2"/>
        <v>5.2631578947368363E-2</v>
      </c>
      <c r="J5" s="11">
        <f t="shared" si="2"/>
        <v>0.18137651821862355</v>
      </c>
      <c r="K5" s="11">
        <f t="shared" si="2"/>
        <v>-0.5617977528089888</v>
      </c>
      <c r="L5" s="11">
        <f t="shared" si="2"/>
        <v>-0.64285714285714279</v>
      </c>
      <c r="M5" s="11">
        <f t="shared" si="2"/>
        <v>0.10233029381965553</v>
      </c>
      <c r="N5" s="11">
        <f t="shared" si="2"/>
        <v>-2.1772939346811793E-2</v>
      </c>
      <c r="O5" s="11">
        <f t="shared" si="2"/>
        <v>9.9908620164483652E-2</v>
      </c>
      <c r="P5" s="11">
        <f t="shared" si="2"/>
        <v>-0.14012738853503182</v>
      </c>
      <c r="Q5" s="11">
        <f t="shared" si="2"/>
        <v>-5.9748427672955962E-2</v>
      </c>
      <c r="R5" s="11">
        <f t="shared" si="2"/>
        <v>0.3793103448275863</v>
      </c>
      <c r="S5" s="11">
        <f t="shared" si="2"/>
        <v>0.68350168350168361</v>
      </c>
      <c r="T5" s="11">
        <f t="shared" si="2"/>
        <v>-1.197573656845754</v>
      </c>
      <c r="U5" s="11">
        <f t="shared" si="2"/>
        <v>-1.1174968071519795</v>
      </c>
      <c r="V5" s="11">
        <f t="shared" si="2"/>
        <v>-0.82257091128545567</v>
      </c>
    </row>
    <row r="6" spans="1:22" ht="14.4" x14ac:dyDescent="0.3"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2" ht="14.4" x14ac:dyDescent="0.3">
      <c r="B7" s="14" t="s">
        <v>27</v>
      </c>
      <c r="C7" s="14" t="s">
        <v>28</v>
      </c>
      <c r="D7" s="12"/>
      <c r="E7" s="12"/>
      <c r="F7" s="14" t="s">
        <v>29</v>
      </c>
      <c r="G7" s="12"/>
      <c r="H7" s="12"/>
      <c r="I7" s="14" t="s">
        <v>30</v>
      </c>
      <c r="J7" s="13"/>
      <c r="K7" s="13"/>
      <c r="L7" s="14" t="s">
        <v>31</v>
      </c>
      <c r="M7" s="13"/>
      <c r="N7" s="13"/>
      <c r="O7" s="13"/>
      <c r="P7" s="13"/>
      <c r="Q7" s="14" t="s">
        <v>32</v>
      </c>
      <c r="R7" s="13"/>
    </row>
    <row r="8" spans="1:22" ht="18" x14ac:dyDescent="0.35">
      <c r="B8" s="1" t="s">
        <v>33</v>
      </c>
      <c r="C8" s="1" t="s">
        <v>34</v>
      </c>
      <c r="D8" s="1" t="s">
        <v>35</v>
      </c>
      <c r="E8" s="1" t="s">
        <v>36</v>
      </c>
      <c r="F8" s="1" t="s">
        <v>37</v>
      </c>
      <c r="G8" s="1" t="s">
        <v>38</v>
      </c>
      <c r="H8" s="1" t="s">
        <v>39</v>
      </c>
      <c r="I8" s="1" t="s">
        <v>40</v>
      </c>
      <c r="J8" s="1" t="s">
        <v>41</v>
      </c>
      <c r="K8" s="1" t="s">
        <v>42</v>
      </c>
      <c r="L8" s="1" t="s">
        <v>43</v>
      </c>
      <c r="M8" s="1" t="s">
        <v>44</v>
      </c>
      <c r="N8" s="1" t="s">
        <v>45</v>
      </c>
      <c r="O8" s="1" t="s">
        <v>46</v>
      </c>
      <c r="P8" s="1" t="s">
        <v>47</v>
      </c>
      <c r="Q8" s="1" t="s">
        <v>48</v>
      </c>
      <c r="R8" s="1" t="s">
        <v>49</v>
      </c>
      <c r="S8" s="1" t="s">
        <v>50</v>
      </c>
    </row>
    <row r="9" spans="1:22" ht="15" customHeight="1" x14ac:dyDescent="0.3">
      <c r="B9" s="15">
        <f>F30</f>
        <v>0.19</v>
      </c>
      <c r="C9" s="15">
        <f>F32</f>
        <v>0.16900000000000001</v>
      </c>
      <c r="D9" s="15">
        <f>M3/N3</f>
        <v>3.4594594594594597</v>
      </c>
      <c r="E9" s="7">
        <f>(Q3/E3)*365</f>
        <v>53.418991678903566</v>
      </c>
      <c r="F9" s="15">
        <f>K3/J3</f>
        <v>2.6730637422892393E-2</v>
      </c>
      <c r="G9" s="15">
        <f>P3/O3</f>
        <v>0.1869288285793409</v>
      </c>
      <c r="H9" s="3">
        <f>C46</f>
        <v>62.666666666666664</v>
      </c>
      <c r="I9" s="15">
        <f>F3/J3</f>
        <v>0.11480466072652502</v>
      </c>
      <c r="J9" s="15">
        <f>293/(O3-M3)</f>
        <v>0.20418118466898955</v>
      </c>
      <c r="K9" s="15">
        <f>F3/O3</f>
        <v>9.2772085294932152E-2</v>
      </c>
      <c r="L9" s="3">
        <f ca="1">C3/G3</f>
        <v>68.215535339398173</v>
      </c>
      <c r="M9" s="16">
        <f ca="1">G3/C3</f>
        <v>1.4659417316372591E-2</v>
      </c>
      <c r="N9" s="3">
        <f>J3/(I3/H3)</f>
        <v>208.42857142857142</v>
      </c>
      <c r="O9" s="3">
        <f ca="1">C3/N9</f>
        <v>9.3538039753255653</v>
      </c>
      <c r="P9" s="17">
        <f ca="1">R30</f>
        <v>2.6245418898209345</v>
      </c>
      <c r="Q9" s="9">
        <f>S3-N3</f>
        <v>-129</v>
      </c>
      <c r="R9" s="2">
        <f>S3-K3</f>
        <v>422</v>
      </c>
      <c r="S9" s="8">
        <f>S3-R3</f>
        <v>340</v>
      </c>
    </row>
    <row r="10" spans="1:22" ht="15" customHeight="1" x14ac:dyDescent="0.3"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22" ht="18" x14ac:dyDescent="0.35">
      <c r="A11" s="1" t="s">
        <v>51</v>
      </c>
      <c r="B11" s="18" t="s">
        <v>52</v>
      </c>
      <c r="C11" s="19" t="s">
        <v>53</v>
      </c>
      <c r="D11" s="19" t="s">
        <v>54</v>
      </c>
      <c r="E11" s="19" t="s">
        <v>55</v>
      </c>
      <c r="F11" s="19" t="s">
        <v>9</v>
      </c>
      <c r="G11" s="19" t="s">
        <v>11</v>
      </c>
      <c r="H11" s="19" t="s">
        <v>56</v>
      </c>
      <c r="I11" s="19" t="s">
        <v>57</v>
      </c>
      <c r="J11" s="19" t="s">
        <v>58</v>
      </c>
      <c r="K11" s="19" t="s">
        <v>59</v>
      </c>
      <c r="L11" s="19" t="s">
        <v>60</v>
      </c>
      <c r="M11" s="19" t="s">
        <v>61</v>
      </c>
      <c r="N11" s="19" t="s">
        <v>62</v>
      </c>
      <c r="O11" s="19" t="s">
        <v>63</v>
      </c>
      <c r="P11" s="19" t="s">
        <v>64</v>
      </c>
    </row>
    <row r="12" spans="1:22" ht="14.4" x14ac:dyDescent="0.3">
      <c r="B12" s="20" t="s">
        <v>65</v>
      </c>
      <c r="C12" s="21"/>
      <c r="D12" s="21">
        <v>72</v>
      </c>
      <c r="E12" s="21">
        <v>5</v>
      </c>
      <c r="F12" s="21">
        <v>3.11</v>
      </c>
      <c r="G12" s="21">
        <v>15.8</v>
      </c>
      <c r="H12" s="22"/>
      <c r="I12" s="23">
        <f t="shared" ref="I12:I22" si="3">E12/D12</f>
        <v>6.9444444444444448E-2</v>
      </c>
      <c r="J12" s="24"/>
      <c r="K12" s="24"/>
      <c r="L12" s="21"/>
      <c r="M12" s="21"/>
      <c r="N12" s="8"/>
      <c r="O12" s="8"/>
      <c r="P12" s="8"/>
    </row>
    <row r="13" spans="1:22" ht="14.4" x14ac:dyDescent="0.3">
      <c r="B13" s="20" t="s">
        <v>66</v>
      </c>
      <c r="C13" s="21"/>
      <c r="D13" s="21">
        <v>66</v>
      </c>
      <c r="E13" s="21">
        <v>0.61</v>
      </c>
      <c r="F13" s="21">
        <v>0.25</v>
      </c>
      <c r="G13" s="24">
        <v>24.3</v>
      </c>
      <c r="H13" s="22"/>
      <c r="I13" s="23">
        <f t="shared" si="3"/>
        <v>9.242424242424243E-3</v>
      </c>
      <c r="J13" s="24"/>
      <c r="K13" s="24"/>
      <c r="L13" s="21"/>
      <c r="M13" s="21"/>
      <c r="N13" s="8"/>
      <c r="O13" s="8"/>
      <c r="P13" s="8"/>
    </row>
    <row r="14" spans="1:22" ht="14.4" x14ac:dyDescent="0.3">
      <c r="B14" s="20" t="s">
        <v>67</v>
      </c>
      <c r="C14" s="21">
        <v>3.7</v>
      </c>
      <c r="D14" s="21">
        <v>167</v>
      </c>
      <c r="E14" s="21">
        <v>28</v>
      </c>
      <c r="F14" s="21">
        <v>4</v>
      </c>
      <c r="G14" s="24">
        <v>24.3</v>
      </c>
      <c r="H14" s="22"/>
      <c r="I14" s="23">
        <f t="shared" si="3"/>
        <v>0.16766467065868262</v>
      </c>
      <c r="J14" s="21"/>
      <c r="K14" s="21"/>
      <c r="L14" s="21"/>
      <c r="M14" s="21"/>
      <c r="N14" s="8"/>
      <c r="O14" s="8"/>
      <c r="P14" s="8"/>
    </row>
    <row r="15" spans="1:22" ht="14.4" x14ac:dyDescent="0.3">
      <c r="B15" s="20" t="s">
        <v>68</v>
      </c>
      <c r="C15" s="21">
        <v>5.5</v>
      </c>
      <c r="D15" s="21">
        <v>249</v>
      </c>
      <c r="E15" s="21">
        <v>49</v>
      </c>
      <c r="F15" s="21">
        <v>20</v>
      </c>
      <c r="G15" s="24">
        <v>24.3</v>
      </c>
      <c r="H15" s="22">
        <v>48</v>
      </c>
      <c r="I15" s="23">
        <f t="shared" si="3"/>
        <v>0.19678714859437751</v>
      </c>
      <c r="J15" s="21"/>
      <c r="K15" s="21"/>
      <c r="L15" s="21"/>
      <c r="M15" s="21"/>
      <c r="N15" s="8"/>
      <c r="O15" s="8"/>
      <c r="P15" s="8"/>
    </row>
    <row r="16" spans="1:22" ht="14.4" x14ac:dyDescent="0.3">
      <c r="A16" s="12" t="s">
        <v>69</v>
      </c>
      <c r="B16" s="20" t="s">
        <v>70</v>
      </c>
      <c r="C16" s="21">
        <v>7.2</v>
      </c>
      <c r="D16" s="21">
        <v>334</v>
      </c>
      <c r="E16" s="21">
        <v>66</v>
      </c>
      <c r="F16" s="21">
        <v>26</v>
      </c>
      <c r="G16" s="24">
        <v>25.5</v>
      </c>
      <c r="H16" s="22">
        <v>204</v>
      </c>
      <c r="I16" s="23">
        <f t="shared" si="3"/>
        <v>0.19760479041916168</v>
      </c>
      <c r="J16" s="21">
        <v>751</v>
      </c>
      <c r="K16" s="21">
        <v>2296</v>
      </c>
      <c r="L16" s="21">
        <f t="shared" ref="L16:L22" si="4">J16/F16</f>
        <v>28.884615384615383</v>
      </c>
      <c r="M16" s="21">
        <f t="shared" ref="M16:M22" si="5">K16/F16</f>
        <v>88.307692307692307</v>
      </c>
      <c r="N16" s="25">
        <f t="shared" ref="N16:N17" si="6">(G16+H16)/(G16/10)</f>
        <v>90</v>
      </c>
      <c r="O16" s="26">
        <f t="shared" ref="O16:O22" si="7">J16/N16</f>
        <v>8.344444444444445</v>
      </c>
      <c r="P16" s="26">
        <f t="shared" ref="P16:P22" si="8">K16/N16</f>
        <v>25.511111111111113</v>
      </c>
    </row>
    <row r="17" spans="1:25" ht="14.4" x14ac:dyDescent="0.3">
      <c r="B17" s="20" t="s">
        <v>71</v>
      </c>
      <c r="C17" s="21">
        <v>10.5</v>
      </c>
      <c r="D17" s="21">
        <v>517</v>
      </c>
      <c r="E17" s="21">
        <v>135</v>
      </c>
      <c r="F17" s="21">
        <v>53</v>
      </c>
      <c r="G17" s="24">
        <v>25.5</v>
      </c>
      <c r="H17" s="22">
        <v>246</v>
      </c>
      <c r="I17" s="23">
        <f t="shared" si="3"/>
        <v>0.26112185686653772</v>
      </c>
      <c r="J17" s="21">
        <f>187*5</f>
        <v>935</v>
      </c>
      <c r="K17" s="21">
        <f>1257*5</f>
        <v>6285</v>
      </c>
      <c r="L17" s="21">
        <f t="shared" si="4"/>
        <v>17.641509433962263</v>
      </c>
      <c r="M17" s="21">
        <f t="shared" si="5"/>
        <v>118.58490566037736</v>
      </c>
      <c r="N17" s="25">
        <f t="shared" si="6"/>
        <v>106.47058823529413</v>
      </c>
      <c r="O17" s="26">
        <f t="shared" si="7"/>
        <v>8.7817679558011044</v>
      </c>
      <c r="P17" s="26">
        <f t="shared" si="8"/>
        <v>59.030386740331487</v>
      </c>
    </row>
    <row r="18" spans="1:25" ht="14.4" x14ac:dyDescent="0.3">
      <c r="A18" s="27" t="s">
        <v>72</v>
      </c>
      <c r="B18" s="20" t="s">
        <v>73</v>
      </c>
      <c r="C18" s="25">
        <v>19.5</v>
      </c>
      <c r="D18" s="8">
        <v>1082</v>
      </c>
      <c r="E18" s="8">
        <v>215</v>
      </c>
      <c r="F18" s="25">
        <v>16.18</v>
      </c>
      <c r="G18" s="8">
        <v>27</v>
      </c>
      <c r="H18" s="8">
        <v>1152</v>
      </c>
      <c r="I18" s="23">
        <f t="shared" si="3"/>
        <v>0.19870609981515711</v>
      </c>
      <c r="J18" s="8">
        <v>763</v>
      </c>
      <c r="K18" s="8">
        <v>1511</v>
      </c>
      <c r="L18" s="21">
        <f t="shared" si="4"/>
        <v>47.156983930778743</v>
      </c>
      <c r="M18" s="21">
        <f t="shared" si="5"/>
        <v>93.386897404202728</v>
      </c>
      <c r="N18" s="25">
        <f t="shared" ref="N18:N22" si="9">(G18+H18)/(G18/2)</f>
        <v>87.333333333333329</v>
      </c>
      <c r="O18" s="26">
        <f t="shared" si="7"/>
        <v>8.7366412213740468</v>
      </c>
      <c r="P18" s="26">
        <f t="shared" si="8"/>
        <v>17.301526717557252</v>
      </c>
    </row>
    <row r="19" spans="1:25" ht="14.4" x14ac:dyDescent="0.3">
      <c r="B19" s="20" t="s">
        <v>74</v>
      </c>
      <c r="C19" s="25">
        <v>25.7</v>
      </c>
      <c r="D19" s="8">
        <v>1434</v>
      </c>
      <c r="E19" s="8">
        <v>246</v>
      </c>
      <c r="F19" s="25">
        <v>18.43</v>
      </c>
      <c r="G19" s="8">
        <v>27</v>
      </c>
      <c r="H19" s="8">
        <v>1438</v>
      </c>
      <c r="I19" s="23">
        <f t="shared" si="3"/>
        <v>0.17154811715481172</v>
      </c>
      <c r="J19" s="8">
        <v>871</v>
      </c>
      <c r="K19" s="8">
        <v>1336</v>
      </c>
      <c r="L19" s="21">
        <f t="shared" si="4"/>
        <v>47.259902333152468</v>
      </c>
      <c r="M19" s="21">
        <f t="shared" si="5"/>
        <v>72.490504612045584</v>
      </c>
      <c r="N19" s="25">
        <f t="shared" si="9"/>
        <v>108.51851851851852</v>
      </c>
      <c r="O19" s="26">
        <f t="shared" si="7"/>
        <v>8.0262798634812285</v>
      </c>
      <c r="P19" s="26">
        <f t="shared" si="8"/>
        <v>12.311262798634813</v>
      </c>
    </row>
    <row r="20" spans="1:25" ht="18" x14ac:dyDescent="0.35">
      <c r="B20" s="20" t="s">
        <v>75</v>
      </c>
      <c r="C20" s="25">
        <v>31.3</v>
      </c>
      <c r="D20" s="8">
        <v>1843</v>
      </c>
      <c r="E20" s="8">
        <v>297</v>
      </c>
      <c r="F20" s="25">
        <v>21.91</v>
      </c>
      <c r="G20" s="8">
        <v>28</v>
      </c>
      <c r="H20" s="8">
        <v>2470</v>
      </c>
      <c r="I20" s="23">
        <f t="shared" si="3"/>
        <v>0.16115029842647857</v>
      </c>
      <c r="J20" s="8">
        <v>866</v>
      </c>
      <c r="K20" s="8">
        <v>1327</v>
      </c>
      <c r="L20" s="21">
        <f t="shared" si="4"/>
        <v>39.525330899132818</v>
      </c>
      <c r="M20" s="21">
        <f t="shared" si="5"/>
        <v>60.56595162026472</v>
      </c>
      <c r="N20" s="25">
        <f t="shared" si="9"/>
        <v>178.42857142857142</v>
      </c>
      <c r="O20" s="26">
        <f t="shared" si="7"/>
        <v>4.8534827862289838</v>
      </c>
      <c r="P20" s="26">
        <f t="shared" si="8"/>
        <v>7.437149719775821</v>
      </c>
      <c r="U20" s="1"/>
      <c r="V20" s="28"/>
      <c r="W20" s="28"/>
      <c r="X20" s="27"/>
    </row>
    <row r="21" spans="1:25" ht="14.4" x14ac:dyDescent="0.3">
      <c r="B21" s="20" t="s">
        <v>76</v>
      </c>
      <c r="C21" s="25">
        <v>39.28</v>
      </c>
      <c r="D21" s="8">
        <f>D20+C37-D37</f>
        <v>1943</v>
      </c>
      <c r="E21" s="8">
        <f>E20+C43-D43</f>
        <v>316</v>
      </c>
      <c r="F21" s="25">
        <v>27.23</v>
      </c>
      <c r="G21" s="8">
        <v>28</v>
      </c>
      <c r="H21" s="8">
        <v>2918</v>
      </c>
      <c r="I21" s="23">
        <f t="shared" si="3"/>
        <v>0.16263510036026763</v>
      </c>
      <c r="J21" s="8">
        <v>1033</v>
      </c>
      <c r="K21" s="8">
        <v>1884</v>
      </c>
      <c r="L21" s="21">
        <f t="shared" si="4"/>
        <v>37.936099889827396</v>
      </c>
      <c r="M21" s="21">
        <f t="shared" si="5"/>
        <v>69.188395152405434</v>
      </c>
      <c r="N21" s="25">
        <f t="shared" si="9"/>
        <v>210.42857142857142</v>
      </c>
      <c r="O21" s="26">
        <f t="shared" si="7"/>
        <v>4.9090291921249154</v>
      </c>
      <c r="P21" s="26">
        <f t="shared" si="8"/>
        <v>8.9531568228105911</v>
      </c>
      <c r="X21" s="27"/>
    </row>
    <row r="22" spans="1:25" ht="14.4" x14ac:dyDescent="0.3">
      <c r="B22" s="20" t="s">
        <v>77</v>
      </c>
      <c r="C22" s="25">
        <v>39.28</v>
      </c>
      <c r="D22" s="8">
        <f>D21+C37-D37</f>
        <v>2043</v>
      </c>
      <c r="E22" s="8">
        <f>E21+C43-D43</f>
        <v>335</v>
      </c>
      <c r="F22" s="25">
        <f>M30</f>
        <v>28.580000000000002</v>
      </c>
      <c r="G22" s="8">
        <v>28</v>
      </c>
      <c r="H22" s="8">
        <v>2918</v>
      </c>
      <c r="I22" s="23">
        <f t="shared" si="3"/>
        <v>0.16397454723445912</v>
      </c>
      <c r="J22" s="8">
        <v>1246</v>
      </c>
      <c r="K22" s="8">
        <v>2040</v>
      </c>
      <c r="L22" s="21">
        <f t="shared" si="4"/>
        <v>43.596920923722884</v>
      </c>
      <c r="M22" s="21">
        <f t="shared" si="5"/>
        <v>71.378586424072779</v>
      </c>
      <c r="N22" s="25">
        <f t="shared" si="9"/>
        <v>210.42857142857142</v>
      </c>
      <c r="O22" s="26">
        <f t="shared" si="7"/>
        <v>5.9212491513917183</v>
      </c>
      <c r="P22" s="26">
        <f t="shared" si="8"/>
        <v>9.6945010183299392</v>
      </c>
      <c r="X22" s="29"/>
    </row>
    <row r="23" spans="1:25" ht="13.2" x14ac:dyDescent="0.25">
      <c r="X23" s="29"/>
      <c r="Y23" s="29"/>
    </row>
    <row r="25" spans="1:25" ht="18" x14ac:dyDescent="0.35">
      <c r="A25" s="1" t="s">
        <v>78</v>
      </c>
      <c r="B25" s="18" t="s">
        <v>52</v>
      </c>
      <c r="C25" s="19" t="s">
        <v>53</v>
      </c>
      <c r="D25" s="19" t="s">
        <v>54</v>
      </c>
      <c r="E25" s="19" t="s">
        <v>55</v>
      </c>
      <c r="F25" s="19" t="s">
        <v>9</v>
      </c>
      <c r="G25" s="19" t="s">
        <v>11</v>
      </c>
      <c r="H25" s="19" t="s">
        <v>56</v>
      </c>
      <c r="I25" s="19" t="s">
        <v>57</v>
      </c>
      <c r="J25" s="19" t="s">
        <v>58</v>
      </c>
      <c r="K25" s="19" t="s">
        <v>59</v>
      </c>
      <c r="L25" s="19" t="s">
        <v>60</v>
      </c>
      <c r="M25" s="19" t="s">
        <v>61</v>
      </c>
      <c r="N25" s="19" t="s">
        <v>62</v>
      </c>
      <c r="O25" s="19" t="s">
        <v>63</v>
      </c>
      <c r="P25" s="19" t="s">
        <v>64</v>
      </c>
    </row>
    <row r="26" spans="1:25" ht="14.4" x14ac:dyDescent="0.3">
      <c r="B26" s="20" t="s">
        <v>79</v>
      </c>
      <c r="C26" s="30">
        <f t="shared" ref="C26:E26" si="10">(C21/C16)^(1/5)-1</f>
        <v>0.40400222659024698</v>
      </c>
      <c r="D26" s="30">
        <f t="shared" si="10"/>
        <v>0.42214954523946191</v>
      </c>
      <c r="E26" s="30">
        <f t="shared" si="10"/>
        <v>0.36781899152908548</v>
      </c>
      <c r="F26" s="30">
        <f>((5*F21)/F16)^(1/5)-1</f>
        <v>0.39254378562337555</v>
      </c>
      <c r="G26" s="30">
        <f t="shared" ref="G26:H26" si="11">(G21/G16)^(1/5)-1</f>
        <v>1.888124997130225E-2</v>
      </c>
      <c r="H26" s="30">
        <f t="shared" si="11"/>
        <v>0.70251530214927649</v>
      </c>
      <c r="I26" s="31">
        <f>MEDIAN(I16:I21)</f>
        <v>0.1845764537869867</v>
      </c>
      <c r="J26" s="30">
        <f t="shared" ref="J26:K26" si="12">((5*J21)/J16)^(1/5)-1</f>
        <v>0.47057127237126828</v>
      </c>
      <c r="K26" s="30">
        <f t="shared" si="12"/>
        <v>0.32622070489357835</v>
      </c>
      <c r="L26" s="32">
        <f t="shared" ref="L26:M26" si="13">MEDIAN(L16:L21)</f>
        <v>38.730715394480107</v>
      </c>
      <c r="M26" s="32">
        <f t="shared" si="13"/>
        <v>80.399098459868952</v>
      </c>
      <c r="N26" s="30">
        <f>((5*N21)/N16)^(1/5)-1</f>
        <v>0.63518328977215299</v>
      </c>
      <c r="O26" s="32">
        <f t="shared" ref="O26:P26" si="14">MEDIAN(O16:O21)</f>
        <v>8.1853621539628367</v>
      </c>
      <c r="P26" s="32">
        <f t="shared" si="14"/>
        <v>14.806394758096033</v>
      </c>
    </row>
    <row r="27" spans="1:25" ht="14.4" x14ac:dyDescent="0.3">
      <c r="B27" s="20" t="s">
        <v>80</v>
      </c>
      <c r="C27" s="30">
        <f t="shared" ref="C27:H27" si="15">(C21/C20)-1</f>
        <v>0.25495207667731634</v>
      </c>
      <c r="D27" s="30">
        <f t="shared" si="15"/>
        <v>5.4259359739555091E-2</v>
      </c>
      <c r="E27" s="30">
        <f t="shared" si="15"/>
        <v>6.3973063973064015E-2</v>
      </c>
      <c r="F27" s="30">
        <f t="shared" si="15"/>
        <v>0.24281150159744413</v>
      </c>
      <c r="G27" s="30">
        <f t="shared" si="15"/>
        <v>0</v>
      </c>
      <c r="H27" s="30">
        <f t="shared" si="15"/>
        <v>0.18137651821862355</v>
      </c>
      <c r="I27" s="31">
        <f>I21</f>
        <v>0.16263510036026763</v>
      </c>
      <c r="J27" s="30">
        <f t="shared" ref="J27:K27" si="16">(J21/J20)-1</f>
        <v>0.19284064665127021</v>
      </c>
      <c r="K27" s="30">
        <f t="shared" si="16"/>
        <v>0.41974378296910331</v>
      </c>
      <c r="L27" s="32">
        <f t="shared" ref="L27:M27" si="17">L21</f>
        <v>37.936099889827396</v>
      </c>
      <c r="M27" s="32">
        <f t="shared" si="17"/>
        <v>69.188395152405434</v>
      </c>
      <c r="N27" s="30">
        <f>(N21/N20)-1</f>
        <v>0.17934347477982393</v>
      </c>
      <c r="O27" s="32">
        <f t="shared" ref="O27:P27" si="18">O21</f>
        <v>4.9090291921249154</v>
      </c>
      <c r="P27" s="32">
        <f t="shared" si="18"/>
        <v>8.9531568228105911</v>
      </c>
    </row>
    <row r="28" spans="1:25" ht="14.4" x14ac:dyDescent="0.3">
      <c r="B28" s="33"/>
      <c r="C28" s="34"/>
      <c r="D28" s="34"/>
      <c r="E28" s="12"/>
      <c r="F28" s="34"/>
      <c r="G28" s="12"/>
      <c r="H28" s="34"/>
      <c r="I28" s="35"/>
      <c r="J28" s="35"/>
      <c r="K28" s="36"/>
      <c r="L28" s="36"/>
      <c r="M28" s="36"/>
    </row>
    <row r="29" spans="1:25" ht="18" x14ac:dyDescent="0.35">
      <c r="B29" s="37" t="s">
        <v>81</v>
      </c>
      <c r="C29" s="38" t="s">
        <v>82</v>
      </c>
      <c r="D29" s="38" t="s">
        <v>83</v>
      </c>
      <c r="E29" s="38" t="s">
        <v>84</v>
      </c>
      <c r="F29" s="38" t="s">
        <v>85</v>
      </c>
      <c r="G29" s="38" t="s">
        <v>86</v>
      </c>
      <c r="I29" s="37" t="s">
        <v>87</v>
      </c>
      <c r="J29" s="37" t="s">
        <v>88</v>
      </c>
      <c r="K29" s="37" t="s">
        <v>89</v>
      </c>
      <c r="L29" s="37" t="s">
        <v>90</v>
      </c>
      <c r="M29" s="37" t="s">
        <v>91</v>
      </c>
      <c r="O29" s="39" t="s">
        <v>92</v>
      </c>
      <c r="P29" s="39" t="s">
        <v>93</v>
      </c>
      <c r="Q29" s="39" t="s">
        <v>94</v>
      </c>
      <c r="R29" s="39" t="s">
        <v>47</v>
      </c>
    </row>
    <row r="30" spans="1:25" ht="14.4" x14ac:dyDescent="0.3">
      <c r="B30" s="40" t="s">
        <v>95</v>
      </c>
      <c r="C30" s="41">
        <v>0.27</v>
      </c>
      <c r="D30" s="41">
        <v>0.24</v>
      </c>
      <c r="E30" s="41">
        <v>0.23</v>
      </c>
      <c r="F30" s="41">
        <v>0.19</v>
      </c>
      <c r="G30" s="41">
        <v>0.19</v>
      </c>
      <c r="I30" s="4">
        <v>6.56</v>
      </c>
      <c r="J30" s="4">
        <v>7.15</v>
      </c>
      <c r="K30" s="4">
        <v>7.35</v>
      </c>
      <c r="L30" s="4">
        <v>7.52</v>
      </c>
      <c r="M30" s="4">
        <f>SUM(I30:L30)</f>
        <v>28.580000000000002</v>
      </c>
      <c r="O30" s="42">
        <v>21.91</v>
      </c>
      <c r="P30" s="42">
        <f>M30</f>
        <v>28.580000000000002</v>
      </c>
      <c r="Q30" s="42">
        <f>F54</f>
        <v>33.7652</v>
      </c>
      <c r="R30" s="43">
        <f ca="1">Q32/22</f>
        <v>2.6245418898209345</v>
      </c>
    </row>
    <row r="31" spans="1:25" ht="18" x14ac:dyDescent="0.35">
      <c r="B31" s="40" t="s">
        <v>96</v>
      </c>
      <c r="C31" s="41">
        <v>0.35</v>
      </c>
      <c r="D31" s="41">
        <v>0.33</v>
      </c>
      <c r="E31" s="41">
        <v>0.28999999999999998</v>
      </c>
      <c r="F31" s="41">
        <v>0.22</v>
      </c>
      <c r="G31" s="41">
        <v>0.24</v>
      </c>
      <c r="O31" s="39" t="s">
        <v>97</v>
      </c>
      <c r="P31" s="39" t="s">
        <v>98</v>
      </c>
      <c r="Q31" s="39" t="s">
        <v>99</v>
      </c>
      <c r="R31" s="44"/>
    </row>
    <row r="32" spans="1:25" ht="14.4" x14ac:dyDescent="0.3">
      <c r="B32" s="2" t="s">
        <v>100</v>
      </c>
      <c r="C32" s="45">
        <v>0.16900000000000001</v>
      </c>
      <c r="D32" s="45">
        <v>0.16800000000000001</v>
      </c>
      <c r="E32" s="45">
        <v>0.16900000000000001</v>
      </c>
      <c r="F32" s="45">
        <v>0.16900000000000001</v>
      </c>
      <c r="G32" s="46">
        <v>0.16900000000000001</v>
      </c>
      <c r="O32" s="47">
        <f>C4/O30</f>
        <v>73.39114559561844</v>
      </c>
      <c r="P32" s="47">
        <f ca="1">C3/P30</f>
        <v>68.215535339398173</v>
      </c>
      <c r="Q32" s="47">
        <f ca="1">C3/Q30</f>
        <v>57.73992157606056</v>
      </c>
      <c r="R32" s="44"/>
    </row>
    <row r="33" spans="1:25" ht="13.2" x14ac:dyDescent="0.25">
      <c r="N33" s="48"/>
    </row>
    <row r="34" spans="1:25" ht="18" x14ac:dyDescent="0.35">
      <c r="B34" s="49" t="s">
        <v>101</v>
      </c>
      <c r="C34" s="49" t="s">
        <v>85</v>
      </c>
      <c r="D34" s="49" t="s">
        <v>102</v>
      </c>
      <c r="E34" s="49" t="s">
        <v>78</v>
      </c>
      <c r="F34" s="35"/>
      <c r="G34" s="49" t="s">
        <v>103</v>
      </c>
      <c r="H34" s="49" t="s">
        <v>103</v>
      </c>
      <c r="I34" s="49" t="s">
        <v>104</v>
      </c>
      <c r="J34" s="49" t="s">
        <v>78</v>
      </c>
      <c r="L34" s="49" t="s">
        <v>101</v>
      </c>
      <c r="M34" s="49" t="s">
        <v>105</v>
      </c>
      <c r="N34" s="49" t="s">
        <v>106</v>
      </c>
      <c r="O34" s="49" t="s">
        <v>78</v>
      </c>
      <c r="Q34" s="1" t="s">
        <v>107</v>
      </c>
      <c r="R34" s="50" t="s">
        <v>108</v>
      </c>
      <c r="S34" s="50" t="s">
        <v>78</v>
      </c>
      <c r="U34" s="1" t="s">
        <v>109</v>
      </c>
      <c r="V34" s="49" t="s">
        <v>85</v>
      </c>
      <c r="W34" s="49" t="s">
        <v>102</v>
      </c>
      <c r="X34" s="50" t="s">
        <v>110</v>
      </c>
      <c r="Y34" s="19" t="s">
        <v>78</v>
      </c>
    </row>
    <row r="35" spans="1:25" ht="14.4" x14ac:dyDescent="0.3">
      <c r="B35" s="2" t="s">
        <v>111</v>
      </c>
      <c r="C35" s="5">
        <v>107</v>
      </c>
      <c r="D35" s="5">
        <v>90.8</v>
      </c>
      <c r="E35" s="51">
        <f t="shared" ref="E35:E44" si="19">(C35/D35)^(1/1)-1</f>
        <v>0.1784140969162995</v>
      </c>
      <c r="F35" s="12"/>
      <c r="G35" s="2" t="s">
        <v>111</v>
      </c>
      <c r="H35" s="5">
        <v>10.4</v>
      </c>
      <c r="I35" s="5">
        <v>8.84</v>
      </c>
      <c r="J35" s="51">
        <f t="shared" ref="J35:J41" si="20">(H35/I35)^(1/1)-1</f>
        <v>0.17647058823529416</v>
      </c>
      <c r="L35" s="2" t="s">
        <v>111</v>
      </c>
      <c r="M35" s="5">
        <v>39.28</v>
      </c>
      <c r="N35" s="5">
        <v>31.28</v>
      </c>
      <c r="O35" s="51">
        <f t="shared" ref="O35:O44" si="21">(M35/N35)^(1/1)-1</f>
        <v>0.25575447570332477</v>
      </c>
      <c r="Q35" s="2" t="s">
        <v>112</v>
      </c>
      <c r="R35" s="15">
        <v>0.72</v>
      </c>
      <c r="S35" s="15">
        <v>0.18099999999999999</v>
      </c>
      <c r="U35" s="2" t="s">
        <v>113</v>
      </c>
      <c r="V35" s="5">
        <v>378</v>
      </c>
      <c r="W35" s="5">
        <v>320</v>
      </c>
      <c r="X35" s="11">
        <f t="shared" ref="X35:X39" si="22">V35/$V$41</f>
        <v>0.74292452830188682</v>
      </c>
      <c r="Y35" s="51">
        <f t="shared" ref="Y35:Y39" si="23">(V35/W35)^(1/1)-1</f>
        <v>0.18124999999999991</v>
      </c>
    </row>
    <row r="36" spans="1:25" ht="14.4" x14ac:dyDescent="0.3">
      <c r="B36" s="2" t="s">
        <v>114</v>
      </c>
      <c r="C36" s="5">
        <v>58</v>
      </c>
      <c r="D36" s="5">
        <v>57</v>
      </c>
      <c r="E36" s="51">
        <f t="shared" si="19"/>
        <v>1.7543859649122862E-2</v>
      </c>
      <c r="F36" s="12"/>
      <c r="G36" s="2" t="s">
        <v>114</v>
      </c>
      <c r="H36" s="5"/>
      <c r="I36" s="5"/>
      <c r="J36" s="51" t="e">
        <f t="shared" si="20"/>
        <v>#DIV/0!</v>
      </c>
      <c r="L36" s="2" t="s">
        <v>114</v>
      </c>
      <c r="M36" s="5"/>
      <c r="N36" s="5"/>
      <c r="O36" s="51" t="e">
        <f t="shared" si="21"/>
        <v>#DIV/0!</v>
      </c>
      <c r="Q36" s="2" t="s">
        <v>115</v>
      </c>
      <c r="R36" s="15">
        <v>0.28000000000000003</v>
      </c>
      <c r="S36" s="15">
        <v>0.23300000000000001</v>
      </c>
      <c r="U36" s="2" t="s">
        <v>116</v>
      </c>
      <c r="V36" s="5">
        <v>61</v>
      </c>
      <c r="W36" s="5">
        <v>59</v>
      </c>
      <c r="X36" s="11">
        <f t="shared" si="22"/>
        <v>0.11988993710691824</v>
      </c>
      <c r="Y36" s="52">
        <f t="shared" si="23"/>
        <v>3.3898305084745672E-2</v>
      </c>
    </row>
    <row r="37" spans="1:25" ht="14.4" x14ac:dyDescent="0.3">
      <c r="B37" s="2" t="s">
        <v>117</v>
      </c>
      <c r="C37" s="5">
        <v>620</v>
      </c>
      <c r="D37" s="5">
        <v>520</v>
      </c>
      <c r="E37" s="51">
        <f t="shared" si="19"/>
        <v>0.19230769230769229</v>
      </c>
      <c r="F37" s="35"/>
      <c r="G37" s="2" t="s">
        <v>117</v>
      </c>
      <c r="H37" s="5">
        <v>602</v>
      </c>
      <c r="I37" s="5">
        <v>506</v>
      </c>
      <c r="J37" s="51">
        <f t="shared" si="20"/>
        <v>0.18972332015810278</v>
      </c>
      <c r="L37" s="2" t="s">
        <v>117</v>
      </c>
      <c r="M37" s="5">
        <v>2266</v>
      </c>
      <c r="N37" s="5">
        <v>1843</v>
      </c>
      <c r="O37" s="51">
        <f t="shared" si="21"/>
        <v>0.22951709169831802</v>
      </c>
      <c r="U37" s="2" t="s">
        <v>118</v>
      </c>
      <c r="V37" s="5">
        <v>1.8</v>
      </c>
      <c r="W37" s="5">
        <v>3.8</v>
      </c>
      <c r="X37" s="11">
        <f t="shared" si="22"/>
        <v>3.5377358490566039E-3</v>
      </c>
      <c r="Y37" s="53">
        <f t="shared" si="23"/>
        <v>-0.52631578947368418</v>
      </c>
    </row>
    <row r="38" spans="1:25" ht="14.4" x14ac:dyDescent="0.3">
      <c r="B38" s="2" t="s">
        <v>119</v>
      </c>
      <c r="C38" s="5">
        <v>509</v>
      </c>
      <c r="D38" s="5">
        <v>438</v>
      </c>
      <c r="E38" s="52">
        <f t="shared" si="19"/>
        <v>0.16210045662100447</v>
      </c>
      <c r="F38" s="12"/>
      <c r="G38" s="2" t="s">
        <v>119</v>
      </c>
      <c r="H38" s="5">
        <v>497</v>
      </c>
      <c r="I38" s="5">
        <v>433</v>
      </c>
      <c r="J38" s="52">
        <f t="shared" si="20"/>
        <v>0.14780600461893756</v>
      </c>
      <c r="L38" s="2" t="s">
        <v>119</v>
      </c>
      <c r="M38" s="5">
        <v>1892</v>
      </c>
      <c r="N38" s="5">
        <v>1573</v>
      </c>
      <c r="O38" s="52">
        <f t="shared" si="21"/>
        <v>0.2027972027972027</v>
      </c>
      <c r="U38" s="2" t="s">
        <v>120</v>
      </c>
      <c r="V38" s="5">
        <v>26</v>
      </c>
      <c r="W38" s="5">
        <v>19</v>
      </c>
      <c r="X38" s="11">
        <f t="shared" si="22"/>
        <v>5.1100628930817606E-2</v>
      </c>
      <c r="Y38" s="54">
        <f t="shared" si="23"/>
        <v>0.36842105263157898</v>
      </c>
    </row>
    <row r="39" spans="1:25" ht="14.4" x14ac:dyDescent="0.3">
      <c r="B39" s="8" t="s">
        <v>121</v>
      </c>
      <c r="C39" s="8">
        <f t="shared" ref="C39:D39" si="24">C37-(V35+V36+V39)</f>
        <v>139</v>
      </c>
      <c r="D39" s="8">
        <f t="shared" si="24"/>
        <v>105</v>
      </c>
      <c r="E39" s="52">
        <f t="shared" si="19"/>
        <v>0.32380952380952377</v>
      </c>
      <c r="G39" s="2" t="s">
        <v>118</v>
      </c>
      <c r="H39" s="5">
        <v>2</v>
      </c>
      <c r="I39" s="5">
        <v>5</v>
      </c>
      <c r="J39" s="53">
        <f t="shared" si="20"/>
        <v>-0.6</v>
      </c>
      <c r="L39" s="8" t="s">
        <v>121</v>
      </c>
      <c r="M39" s="8">
        <f t="shared" ref="M39:N39" si="25">M37-(AF40+AF41+AF44)</f>
        <v>2266</v>
      </c>
      <c r="N39" s="8">
        <f t="shared" si="25"/>
        <v>1843</v>
      </c>
      <c r="O39" s="52">
        <f t="shared" si="21"/>
        <v>0.22951709169831802</v>
      </c>
      <c r="U39" s="2" t="s">
        <v>122</v>
      </c>
      <c r="V39" s="5">
        <v>42</v>
      </c>
      <c r="W39" s="5">
        <v>36</v>
      </c>
      <c r="X39" s="11">
        <f t="shared" si="22"/>
        <v>8.254716981132075E-2</v>
      </c>
      <c r="Y39" s="55">
        <f t="shared" si="23"/>
        <v>0.16666666666666674</v>
      </c>
    </row>
    <row r="40" spans="1:25" ht="14.4" x14ac:dyDescent="0.3">
      <c r="B40" s="2" t="s">
        <v>118</v>
      </c>
      <c r="C40" s="5">
        <v>1.8</v>
      </c>
      <c r="D40" s="5">
        <v>3.8</v>
      </c>
      <c r="E40" s="52">
        <f t="shared" si="19"/>
        <v>-0.52631578947368418</v>
      </c>
      <c r="F40" s="12"/>
      <c r="G40" s="2" t="s">
        <v>123</v>
      </c>
      <c r="H40" s="5">
        <v>103</v>
      </c>
      <c r="I40" s="5">
        <v>87</v>
      </c>
      <c r="J40" s="54">
        <f t="shared" si="20"/>
        <v>0.18390804597701149</v>
      </c>
      <c r="L40" s="2" t="s">
        <v>118</v>
      </c>
      <c r="M40" s="5">
        <v>13</v>
      </c>
      <c r="N40" s="5">
        <v>19</v>
      </c>
      <c r="O40" s="52">
        <f t="shared" si="21"/>
        <v>-0.31578947368421051</v>
      </c>
      <c r="U40" s="2"/>
      <c r="V40" s="16"/>
      <c r="W40" s="16"/>
      <c r="X40" s="2"/>
      <c r="Y40" s="56"/>
    </row>
    <row r="41" spans="1:25" ht="14.4" x14ac:dyDescent="0.3">
      <c r="B41" s="8" t="s">
        <v>124</v>
      </c>
      <c r="C41" s="8">
        <f t="shared" ref="C41:D41" si="26">C39-C40</f>
        <v>137.19999999999999</v>
      </c>
      <c r="D41" s="8">
        <f t="shared" si="26"/>
        <v>101.2</v>
      </c>
      <c r="E41" s="52">
        <f t="shared" si="19"/>
        <v>0.35573122529644263</v>
      </c>
      <c r="G41" s="2" t="s">
        <v>9</v>
      </c>
      <c r="H41" s="5">
        <v>7.35</v>
      </c>
      <c r="I41" s="5">
        <v>6.45</v>
      </c>
      <c r="J41" s="55">
        <f t="shared" si="20"/>
        <v>0.13953488372093004</v>
      </c>
      <c r="L41" s="8" t="s">
        <v>124</v>
      </c>
      <c r="M41" s="8">
        <f t="shared" ref="M41:N41" si="27">M39-M40</f>
        <v>2253</v>
      </c>
      <c r="N41" s="8">
        <f t="shared" si="27"/>
        <v>1824</v>
      </c>
      <c r="O41" s="52">
        <f t="shared" si="21"/>
        <v>0.23519736842105265</v>
      </c>
      <c r="U41" s="57" t="s">
        <v>125</v>
      </c>
      <c r="V41" s="58">
        <f t="shared" ref="V41:W41" si="28">SUM(V35:V39)</f>
        <v>508.8</v>
      </c>
      <c r="W41" s="58">
        <f t="shared" si="28"/>
        <v>437.8</v>
      </c>
      <c r="X41" s="59">
        <f>V41/$V$41</f>
        <v>1</v>
      </c>
      <c r="Y41" s="55">
        <f>(V41/W41)^(1/1)-1</f>
        <v>0.1621745089081772</v>
      </c>
    </row>
    <row r="42" spans="1:25" ht="14.4" x14ac:dyDescent="0.3">
      <c r="B42" s="8" t="s">
        <v>126</v>
      </c>
      <c r="C42" s="8">
        <f t="shared" ref="C42:D42" si="29">C41-V38</f>
        <v>111.19999999999999</v>
      </c>
      <c r="D42" s="8">
        <f t="shared" si="29"/>
        <v>82.2</v>
      </c>
      <c r="E42" s="52">
        <f t="shared" si="19"/>
        <v>0.35279805352798044</v>
      </c>
      <c r="G42" s="2" t="s">
        <v>127</v>
      </c>
      <c r="H42" s="16">
        <f t="shared" ref="H42:I42" si="30">H40/H37</f>
        <v>0.17109634551495018</v>
      </c>
      <c r="I42" s="16">
        <f t="shared" si="30"/>
        <v>0.17193675889328064</v>
      </c>
      <c r="J42" s="60">
        <f t="shared" ref="J42:J43" si="31">H42-I42</f>
        <v>-8.4041337833046237E-4</v>
      </c>
      <c r="L42" s="8" t="s">
        <v>126</v>
      </c>
      <c r="M42" s="8">
        <f t="shared" ref="M42:N42" si="32">M41-AF43</f>
        <v>2253</v>
      </c>
      <c r="N42" s="8">
        <f t="shared" si="32"/>
        <v>1824</v>
      </c>
      <c r="O42" s="52">
        <f t="shared" si="21"/>
        <v>0.23519736842105265</v>
      </c>
    </row>
    <row r="43" spans="1:25" ht="14.4" x14ac:dyDescent="0.3">
      <c r="B43" s="2" t="s">
        <v>123</v>
      </c>
      <c r="C43" s="5">
        <v>105</v>
      </c>
      <c r="D43" s="5">
        <v>86</v>
      </c>
      <c r="E43" s="52">
        <f t="shared" si="19"/>
        <v>0.22093023255813948</v>
      </c>
      <c r="F43" s="61"/>
      <c r="G43" s="2" t="s">
        <v>39</v>
      </c>
      <c r="H43" s="3">
        <f t="shared" ref="H43:I43" si="33">(H37-H38+H39)/H39</f>
        <v>53.5</v>
      </c>
      <c r="I43" s="3">
        <f t="shared" si="33"/>
        <v>15.6</v>
      </c>
      <c r="J43" s="62">
        <f t="shared" si="31"/>
        <v>37.9</v>
      </c>
      <c r="L43" s="2" t="s">
        <v>123</v>
      </c>
      <c r="M43" s="5">
        <v>382</v>
      </c>
      <c r="N43" s="5">
        <v>297</v>
      </c>
      <c r="O43" s="52">
        <f t="shared" si="21"/>
        <v>0.28619528619528611</v>
      </c>
    </row>
    <row r="44" spans="1:25" ht="14.4" x14ac:dyDescent="0.3">
      <c r="B44" s="2" t="s">
        <v>9</v>
      </c>
      <c r="C44" s="5">
        <v>7.52</v>
      </c>
      <c r="D44" s="5">
        <v>6.18</v>
      </c>
      <c r="E44" s="55">
        <f t="shared" si="19"/>
        <v>0.21682847896440127</v>
      </c>
      <c r="F44" s="12"/>
      <c r="L44" s="2" t="s">
        <v>9</v>
      </c>
      <c r="M44" s="5">
        <v>27.23</v>
      </c>
      <c r="N44" s="5">
        <v>21.91</v>
      </c>
      <c r="O44" s="55">
        <f t="shared" si="21"/>
        <v>0.24281150159744413</v>
      </c>
    </row>
    <row r="45" spans="1:25" ht="14.4" x14ac:dyDescent="0.3">
      <c r="B45" s="2" t="s">
        <v>127</v>
      </c>
      <c r="C45" s="16">
        <f t="shared" ref="C45:D45" si="34">C43/C37</f>
        <v>0.16935483870967741</v>
      </c>
      <c r="D45" s="16">
        <f t="shared" si="34"/>
        <v>0.16538461538461538</v>
      </c>
      <c r="E45" s="60">
        <f t="shared" ref="E45:E46" si="35">C45-D45</f>
        <v>3.9702233250620278E-3</v>
      </c>
      <c r="F45" s="61"/>
      <c r="L45" s="2" t="s">
        <v>127</v>
      </c>
      <c r="M45" s="16">
        <f t="shared" ref="M45:N45" si="36">M43/M37</f>
        <v>0.16857899382171226</v>
      </c>
      <c r="N45" s="16">
        <f t="shared" si="36"/>
        <v>0.16115029842647857</v>
      </c>
      <c r="O45" s="60">
        <f t="shared" ref="O45:O46" si="37">M45-N45</f>
        <v>7.428695395233692E-3</v>
      </c>
    </row>
    <row r="46" spans="1:25" ht="14.4" x14ac:dyDescent="0.3">
      <c r="B46" s="2" t="s">
        <v>39</v>
      </c>
      <c r="C46" s="3">
        <f t="shared" ref="C46:D46" si="38">(C37-C38+C40)/C40</f>
        <v>62.666666666666664</v>
      </c>
      <c r="D46" s="3">
        <f t="shared" si="38"/>
        <v>22.578947368421051</v>
      </c>
      <c r="E46" s="62">
        <f t="shared" si="35"/>
        <v>40.087719298245617</v>
      </c>
      <c r="L46" s="2" t="s">
        <v>39</v>
      </c>
      <c r="M46" s="3">
        <f t="shared" ref="M46:N46" si="39">(M37-M38+M40)/M40</f>
        <v>29.76923076923077</v>
      </c>
      <c r="N46" s="3">
        <f t="shared" si="39"/>
        <v>15.210526315789474</v>
      </c>
      <c r="O46" s="62">
        <f t="shared" si="37"/>
        <v>14.558704453441296</v>
      </c>
    </row>
    <row r="47" spans="1:25" ht="13.2" x14ac:dyDescent="0.25"/>
    <row r="48" spans="1:25" ht="18" x14ac:dyDescent="0.35">
      <c r="A48" s="1" t="s">
        <v>128</v>
      </c>
      <c r="B48" s="63" t="s">
        <v>129</v>
      </c>
      <c r="C48" s="19" t="s">
        <v>130</v>
      </c>
      <c r="D48" s="19" t="s">
        <v>54</v>
      </c>
      <c r="E48" s="19" t="s">
        <v>55</v>
      </c>
      <c r="F48" s="19" t="s">
        <v>9</v>
      </c>
      <c r="G48" s="19" t="s">
        <v>100</v>
      </c>
      <c r="Q48" s="37" t="s">
        <v>131</v>
      </c>
      <c r="R48" s="18" t="s">
        <v>132</v>
      </c>
      <c r="S48" s="18" t="s">
        <v>133</v>
      </c>
    </row>
    <row r="49" spans="1:19" ht="14.4" x14ac:dyDescent="0.3">
      <c r="B49" s="20" t="s">
        <v>134</v>
      </c>
      <c r="C49" s="64">
        <v>0.15</v>
      </c>
      <c r="D49" s="31">
        <v>0.2</v>
      </c>
      <c r="E49" s="31">
        <v>0.2</v>
      </c>
      <c r="F49" s="31">
        <v>0.2</v>
      </c>
      <c r="G49" s="65">
        <f>AVERAGE(I26:I27)</f>
        <v>0.17360577707362718</v>
      </c>
      <c r="Q49" s="8" t="s">
        <v>135</v>
      </c>
      <c r="R49" s="8">
        <v>68.400000000000006</v>
      </c>
      <c r="S49" s="8">
        <v>59.9</v>
      </c>
    </row>
    <row r="50" spans="1:19" ht="14.4" x14ac:dyDescent="0.3">
      <c r="B50" s="20" t="s">
        <v>136</v>
      </c>
      <c r="C50" s="64">
        <v>0.15</v>
      </c>
      <c r="D50" s="31">
        <v>0.25</v>
      </c>
      <c r="E50" s="31">
        <v>0.25</v>
      </c>
      <c r="F50" s="31">
        <v>0.25</v>
      </c>
      <c r="G50" s="65">
        <v>0.17399999999999999</v>
      </c>
      <c r="Q50" s="8" t="s">
        <v>137</v>
      </c>
      <c r="R50" s="8">
        <v>7.27</v>
      </c>
      <c r="S50" s="8">
        <v>10.55</v>
      </c>
    </row>
    <row r="51" spans="1:19" ht="14.4" x14ac:dyDescent="0.3">
      <c r="B51" s="20" t="s">
        <v>138</v>
      </c>
      <c r="C51" s="64">
        <v>0.18</v>
      </c>
      <c r="D51" s="31">
        <v>0.19</v>
      </c>
      <c r="E51" s="30">
        <f>(E54/E21)-1</f>
        <v>0.23657193037974711</v>
      </c>
      <c r="F51" s="30">
        <v>0.24</v>
      </c>
      <c r="G51" s="65">
        <v>0.16900000000000001</v>
      </c>
      <c r="Q51" s="8" t="s">
        <v>139</v>
      </c>
      <c r="R51" s="8">
        <f>6.34+7.86</f>
        <v>14.2</v>
      </c>
      <c r="S51" s="8">
        <f>12.66+3.09</f>
        <v>15.75</v>
      </c>
    </row>
    <row r="52" spans="1:19" ht="13.8" x14ac:dyDescent="0.25">
      <c r="B52" s="27"/>
      <c r="C52" s="66"/>
      <c r="D52" s="66"/>
      <c r="E52" s="66"/>
      <c r="G52" s="67"/>
      <c r="H52" s="68" t="s">
        <v>140</v>
      </c>
      <c r="I52" s="44"/>
      <c r="J52" s="44"/>
      <c r="K52" s="68" t="s">
        <v>141</v>
      </c>
      <c r="L52" s="44"/>
      <c r="M52" s="44"/>
      <c r="N52" s="69" t="s">
        <v>142</v>
      </c>
      <c r="Q52" s="8" t="s">
        <v>143</v>
      </c>
      <c r="R52" s="8">
        <v>5.47</v>
      </c>
      <c r="S52" s="8">
        <v>12.02</v>
      </c>
    </row>
    <row r="53" spans="1:19" ht="18" x14ac:dyDescent="0.35">
      <c r="A53" s="1" t="s">
        <v>144</v>
      </c>
      <c r="B53" s="63" t="s">
        <v>145</v>
      </c>
      <c r="C53" s="19" t="s">
        <v>130</v>
      </c>
      <c r="D53" s="19" t="s">
        <v>54</v>
      </c>
      <c r="E53" s="19" t="s">
        <v>55</v>
      </c>
      <c r="F53" s="19" t="s">
        <v>9</v>
      </c>
      <c r="G53" s="19" t="s">
        <v>146</v>
      </c>
      <c r="H53" s="19" t="s">
        <v>147</v>
      </c>
      <c r="I53" s="19" t="s">
        <v>148</v>
      </c>
      <c r="J53" s="19" t="s">
        <v>149</v>
      </c>
      <c r="K53" s="19" t="s">
        <v>147</v>
      </c>
      <c r="L53" s="19" t="s">
        <v>150</v>
      </c>
      <c r="M53" s="19" t="s">
        <v>149</v>
      </c>
      <c r="N53" s="19" t="s">
        <v>151</v>
      </c>
      <c r="Q53" s="8" t="s">
        <v>152</v>
      </c>
      <c r="R53" s="8">
        <v>4.5999999999999996</v>
      </c>
      <c r="S53" s="8">
        <v>1.8</v>
      </c>
    </row>
    <row r="54" spans="1:19" ht="14.4" x14ac:dyDescent="0.3">
      <c r="B54" s="20" t="s">
        <v>153</v>
      </c>
      <c r="C54" s="70">
        <f t="shared" ref="C54:D54" si="40">FV(C51,1,0,-C21,0)</f>
        <v>46.3504</v>
      </c>
      <c r="D54" s="70">
        <f t="shared" si="40"/>
        <v>2312.17</v>
      </c>
      <c r="E54" s="70">
        <f>D54*G51</f>
        <v>390.75673000000006</v>
      </c>
      <c r="F54" s="71">
        <f>FV(F51,1,0,-F21,0)</f>
        <v>33.7652</v>
      </c>
      <c r="G54" s="72">
        <f>(F54*100%)+N21</f>
        <v>244.19377142857141</v>
      </c>
      <c r="H54" s="73">
        <f t="shared" ref="H54:H56" si="41">F54*35</f>
        <v>1181.7819999999999</v>
      </c>
      <c r="I54" s="74">
        <f t="shared" ref="I54:I56" si="42">AVERAGE(H54,J54)</f>
        <v>1857.0859999999998</v>
      </c>
      <c r="J54" s="73">
        <f t="shared" ref="J54:J56" si="43">F54*75</f>
        <v>2532.39</v>
      </c>
      <c r="K54" s="73">
        <f t="shared" ref="K54:K56" si="44">G54*7</f>
        <v>1709.3563999999999</v>
      </c>
      <c r="L54" s="74">
        <f t="shared" ref="L54:L56" si="45">AVERAGE(K54,M54)</f>
        <v>2319.8408285714286</v>
      </c>
      <c r="M54" s="73">
        <f t="shared" ref="M54:M56" si="46">G54*12</f>
        <v>2930.325257142857</v>
      </c>
      <c r="N54" s="73">
        <f t="shared" ref="N54:N56" si="47">0.6*I54+0.4*L54</f>
        <v>2042.1879314285713</v>
      </c>
    </row>
    <row r="55" spans="1:19" ht="14.4" x14ac:dyDescent="0.3">
      <c r="B55" s="20" t="s">
        <v>154</v>
      </c>
      <c r="C55" s="70">
        <f t="shared" ref="C55:D55" si="48">FV(C50,4,0,-C54,0)</f>
        <v>81.067139289999972</v>
      </c>
      <c r="D55" s="70">
        <f t="shared" si="48"/>
        <v>5644.9462890625</v>
      </c>
      <c r="E55" s="70">
        <f>D55*G50</f>
        <v>982.22065429687495</v>
      </c>
      <c r="F55" s="75">
        <f>(E55*F54)/E54</f>
        <v>84.87346292529584</v>
      </c>
      <c r="G55" s="76">
        <f>FV(25%,4,0,-G54,0)</f>
        <v>596.17619977678567</v>
      </c>
      <c r="H55" s="73">
        <f t="shared" si="41"/>
        <v>2970.5712023853544</v>
      </c>
      <c r="I55" s="74">
        <f t="shared" si="42"/>
        <v>4668.0404608912713</v>
      </c>
      <c r="J55" s="73">
        <f t="shared" si="43"/>
        <v>6365.5097193971878</v>
      </c>
      <c r="K55" s="73">
        <f t="shared" si="44"/>
        <v>4173.2333984375</v>
      </c>
      <c r="L55" s="74">
        <f t="shared" si="45"/>
        <v>5663.6738978794638</v>
      </c>
      <c r="M55" s="73">
        <f t="shared" si="46"/>
        <v>7154.1143973214275</v>
      </c>
      <c r="N55" s="73">
        <f t="shared" si="47"/>
        <v>5066.2938356865488</v>
      </c>
      <c r="Q55" s="77" t="s">
        <v>125</v>
      </c>
      <c r="R55" s="78">
        <f t="shared" ref="R55:S55" si="49">SUM(R49:R53)</f>
        <v>99.94</v>
      </c>
      <c r="S55" s="78">
        <f t="shared" si="49"/>
        <v>100.02</v>
      </c>
    </row>
    <row r="56" spans="1:19" ht="14.4" x14ac:dyDescent="0.3">
      <c r="B56" s="20" t="s">
        <v>155</v>
      </c>
      <c r="C56" s="70">
        <f t="shared" ref="C56:F56" si="50">FV(C49,5,0,-C55,0)</f>
        <v>163.05497328100503</v>
      </c>
      <c r="D56" s="70">
        <f t="shared" si="50"/>
        <v>14046.43275</v>
      </c>
      <c r="E56" s="70">
        <f t="shared" si="50"/>
        <v>2444.0792984999998</v>
      </c>
      <c r="F56" s="75">
        <f t="shared" si="50"/>
        <v>211.19233526627212</v>
      </c>
      <c r="G56" s="76">
        <f>FV(20%,5,0,-G55,0)</f>
        <v>1483.4771614285712</v>
      </c>
      <c r="H56" s="73">
        <f t="shared" si="41"/>
        <v>7391.7317343195245</v>
      </c>
      <c r="I56" s="74">
        <f t="shared" si="42"/>
        <v>11615.578439644967</v>
      </c>
      <c r="J56" s="73">
        <f t="shared" si="43"/>
        <v>15839.42514497041</v>
      </c>
      <c r="K56" s="73">
        <f t="shared" si="44"/>
        <v>10384.340129999999</v>
      </c>
      <c r="L56" s="74">
        <f t="shared" si="45"/>
        <v>14093.033033571428</v>
      </c>
      <c r="M56" s="73">
        <f t="shared" si="46"/>
        <v>17801.725937142855</v>
      </c>
      <c r="N56" s="73">
        <f t="shared" si="47"/>
        <v>12606.560277215551</v>
      </c>
    </row>
    <row r="57" spans="1:19" ht="13.2" x14ac:dyDescent="0.25"/>
    <row r="58" spans="1:19" ht="23.4" x14ac:dyDescent="0.25">
      <c r="B58" s="79" t="s">
        <v>4</v>
      </c>
      <c r="C58" s="80" t="s">
        <v>5</v>
      </c>
      <c r="D58" s="79" t="s">
        <v>156</v>
      </c>
      <c r="E58" s="79" t="s">
        <v>157</v>
      </c>
      <c r="F58" s="79" t="s">
        <v>158</v>
      </c>
    </row>
    <row r="59" spans="1:19" ht="14.4" x14ac:dyDescent="0.3">
      <c r="B59" s="2" t="s">
        <v>25</v>
      </c>
      <c r="C59" s="81">
        <f ca="1">IFERROR(__xludf.DUMMYFUNCTION("googlefinance(""nse:""&amp;B59,""price"")"),1949.6)</f>
        <v>1949.6</v>
      </c>
      <c r="D59" s="82">
        <v>2.9499999999999998E-2</v>
      </c>
      <c r="E59" s="4">
        <f ca="1">IFERROR(MAX(0.25, MIN(1,1.25 - 0.5*(C59/N54))),"")</f>
        <v>0.77266880780257163</v>
      </c>
      <c r="F59" s="83">
        <f ca="1">D59*E59</f>
        <v>2.2793729830175861E-2</v>
      </c>
    </row>
    <row r="60" spans="1:19" ht="13.2" x14ac:dyDescent="0.25"/>
    <row r="61" spans="1:19" ht="13.2" x14ac:dyDescent="0.25"/>
    <row r="62" spans="1:19" ht="13.2" x14ac:dyDescent="0.25"/>
    <row r="63" spans="1:19" ht="13.2" x14ac:dyDescent="0.25"/>
    <row r="64" spans="1:19" ht="13.2" x14ac:dyDescent="0.25"/>
    <row r="65" spans="3:3" ht="13.2" x14ac:dyDescent="0.25"/>
    <row r="66" spans="3:3" ht="13.2" x14ac:dyDescent="0.25"/>
    <row r="67" spans="3:3" ht="13.2" x14ac:dyDescent="0.25"/>
    <row r="68" spans="3:3" ht="13.2" x14ac:dyDescent="0.25"/>
    <row r="69" spans="3:3" ht="13.2" x14ac:dyDescent="0.25"/>
    <row r="70" spans="3:3" ht="13.2" x14ac:dyDescent="0.25"/>
    <row r="71" spans="3:3" ht="13.2" x14ac:dyDescent="0.25"/>
    <row r="72" spans="3:3" ht="13.2" x14ac:dyDescent="0.25"/>
    <row r="73" spans="3:3" ht="13.2" x14ac:dyDescent="0.25">
      <c r="C73" s="27"/>
    </row>
    <row r="74" spans="3:3" ht="13.2" x14ac:dyDescent="0.25">
      <c r="C74" s="84"/>
    </row>
    <row r="75" spans="3:3" ht="13.2" x14ac:dyDescent="0.25">
      <c r="C75" s="84"/>
    </row>
    <row r="76" spans="3:3" ht="13.2" x14ac:dyDescent="0.25">
      <c r="C76" s="84"/>
    </row>
    <row r="77" spans="3:3" ht="13.2" x14ac:dyDescent="0.25">
      <c r="C77" s="84"/>
    </row>
    <row r="78" spans="3:3" ht="13.2" x14ac:dyDescent="0.25">
      <c r="C78" s="84"/>
    </row>
    <row r="79" spans="3:3" ht="13.2" x14ac:dyDescent="0.25">
      <c r="C79" s="84"/>
    </row>
    <row r="80" spans="3:3" ht="13.2" x14ac:dyDescent="0.25">
      <c r="C80" s="84"/>
    </row>
    <row r="81" spans="3:3" ht="13.2" x14ac:dyDescent="0.25">
      <c r="C81" s="84"/>
    </row>
    <row r="82" spans="3:3" ht="13.2" x14ac:dyDescent="0.25">
      <c r="C82" s="84"/>
    </row>
    <row r="83" spans="3:3" ht="13.2" x14ac:dyDescent="0.25">
      <c r="C83" s="84"/>
    </row>
    <row r="84" spans="3:3" ht="13.2" x14ac:dyDescent="0.25">
      <c r="C84" s="84"/>
    </row>
    <row r="85" spans="3:3" ht="13.2" x14ac:dyDescent="0.25"/>
    <row r="86" spans="3:3" ht="13.2" x14ac:dyDescent="0.25"/>
    <row r="87" spans="3:3" ht="13.2" x14ac:dyDescent="0.25"/>
    <row r="88" spans="3:3" ht="13.2" x14ac:dyDescent="0.25"/>
    <row r="89" spans="3:3" ht="13.2" x14ac:dyDescent="0.25"/>
    <row r="90" spans="3:3" ht="13.2" x14ac:dyDescent="0.25"/>
    <row r="91" spans="3:3" ht="13.2" x14ac:dyDescent="0.25"/>
    <row r="92" spans="3:3" ht="13.2" x14ac:dyDescent="0.25"/>
    <row r="93" spans="3:3" ht="13.2" x14ac:dyDescent="0.25"/>
    <row r="94" spans="3:3" ht="13.2" x14ac:dyDescent="0.25"/>
    <row r="95" spans="3:3" ht="13.2" x14ac:dyDescent="0.25"/>
    <row r="96" spans="3:3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  <row r="1001" ht="13.2" x14ac:dyDescent="0.25"/>
    <row r="1002" ht="13.2" x14ac:dyDescent="0.25"/>
    <row r="1003" ht="13.2" x14ac:dyDescent="0.25"/>
    <row r="1004" ht="13.2" x14ac:dyDescent="0.25"/>
  </sheetData>
  <mergeCells count="3">
    <mergeCell ref="R30:R32"/>
    <mergeCell ref="H52:J52"/>
    <mergeCell ref="K52:M52"/>
  </mergeCells>
  <conditionalFormatting sqref="B30:F30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1:F31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2:F32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4:C22">
    <cfRule type="colorScale" priority="1">
      <colorScale>
        <cfvo type="min"/>
        <cfvo type="max"/>
        <color rgb="FFFFFFFF"/>
        <color rgb="FF57BB8A"/>
      </colorScale>
    </cfRule>
  </conditionalFormatting>
  <conditionalFormatting sqref="C27:F28 C48:F52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3:K24 M23:M24 C26:K27 M26:N27 P26:P27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22">
    <cfRule type="colorScale" priority="2">
      <colorScale>
        <cfvo type="min"/>
        <cfvo type="max"/>
        <color rgb="FFFFFFFF"/>
        <color rgb="FF57BB8A"/>
      </colorScale>
    </cfRule>
  </conditionalFormatting>
  <conditionalFormatting sqref="E12:E22">
    <cfRule type="colorScale" priority="3">
      <colorScale>
        <cfvo type="min"/>
        <cfvo type="max"/>
        <color rgb="FFFFFFFF"/>
        <color rgb="FF57BB8A"/>
      </colorScale>
    </cfRule>
  </conditionalFormatting>
  <conditionalFormatting sqref="E35:E44 O35:O44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22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22">
    <cfRule type="colorScale" priority="4">
      <colorScale>
        <cfvo type="min"/>
        <cfvo type="max"/>
        <color rgb="FFFFFFFF"/>
        <color rgb="FF57BB8A"/>
      </colorScale>
    </cfRule>
  </conditionalFormatting>
  <conditionalFormatting sqref="G27:G28 G48:G52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5:H22">
    <cfRule type="colorScale" priority="5">
      <colorScale>
        <cfvo type="min"/>
        <cfvo type="max"/>
        <color rgb="FFFFFFFF"/>
        <color rgb="FF57BB8A"/>
      </colorScale>
    </cfRule>
  </conditionalFormatting>
  <conditionalFormatting sqref="I12:I22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23:I24 K23:K24 L24:M24 I26:I27 K26:M27 O26:P27 N27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0:L30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16:K22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6:M22">
    <cfRule type="colorScale" priority="2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L23:O24 L26:P27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N16:N22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16:P22">
    <cfRule type="colorScale" priority="20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30:Q30">
    <cfRule type="colorScale" priority="11">
      <colorScale>
        <cfvo type="min"/>
        <cfvo type="max"/>
        <color rgb="FFFFFFFF"/>
        <color rgb="FF57BB8A"/>
      </colorScale>
    </cfRule>
  </conditionalFormatting>
  <conditionalFormatting sqref="O32:Q32">
    <cfRule type="colorScale" priority="12">
      <colorScale>
        <cfvo type="min"/>
        <cfvo type="max"/>
        <color rgb="FFFFFFFF"/>
        <color rgb="FFE67C73"/>
      </colorScale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AFFLE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2025-08-20T09:33:30Z</dcterms:created>
  <dcterms:modified xsi:type="dcterms:W3CDTF">2025-08-20T09:33:50Z</dcterms:modified>
</cp:coreProperties>
</file>