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1_fy25\"/>
    </mc:Choice>
  </mc:AlternateContent>
  <xr:revisionPtr revIDLastSave="0" documentId="8_{A73C89BB-B487-4533-9D71-A65C44CD19D6}" xr6:coauthVersionLast="47" xr6:coauthVersionMax="47" xr10:uidLastSave="{00000000-0000-0000-0000-000000000000}"/>
  <bookViews>
    <workbookView xWindow="-108" yWindow="-108" windowWidth="23256" windowHeight="12456" xr2:uid="{0B265156-D368-4008-B3E0-833672E2BF43}"/>
  </bookViews>
  <sheets>
    <sheet name="AFFLE" sheetId="1" r:id="rId1"/>
    <sheet name="ADVERTISIMENT INDUSTRY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3" l="1"/>
  <c r="C45" i="3"/>
  <c r="D39" i="3"/>
  <c r="C39" i="3"/>
  <c r="D33" i="3"/>
  <c r="C33" i="3"/>
  <c r="D27" i="3"/>
  <c r="C27" i="3"/>
  <c r="D21" i="3"/>
  <c r="C21" i="3"/>
  <c r="N14" i="3"/>
  <c r="M14" i="3"/>
  <c r="N10" i="3"/>
  <c r="M10" i="3"/>
  <c r="N9" i="3"/>
  <c r="M9" i="3"/>
  <c r="N5" i="3"/>
  <c r="M5" i="3"/>
  <c r="N4" i="3"/>
  <c r="M4" i="3"/>
  <c r="S47" i="1"/>
  <c r="R47" i="1"/>
  <c r="U47" i="1" s="1"/>
  <c r="U45" i="1"/>
  <c r="T45" i="1"/>
  <c r="U44" i="1"/>
  <c r="T44" i="1"/>
  <c r="U43" i="1"/>
  <c r="T43" i="1"/>
  <c r="K43" i="1"/>
  <c r="K47" i="1" s="1"/>
  <c r="J43" i="1"/>
  <c r="J47" i="1" s="1"/>
  <c r="U42" i="1"/>
  <c r="T42" i="1"/>
  <c r="U41" i="1"/>
  <c r="T41" i="1"/>
  <c r="S38" i="1"/>
  <c r="R38" i="1"/>
  <c r="T38" i="1" s="1"/>
  <c r="I38" i="1"/>
  <c r="T37" i="1"/>
  <c r="S37" i="1"/>
  <c r="R37" i="1"/>
  <c r="T36" i="1"/>
  <c r="AC35" i="1"/>
  <c r="AB35" i="1"/>
  <c r="AD35" i="1" s="1"/>
  <c r="Y35" i="1"/>
  <c r="X35" i="1"/>
  <c r="W35" i="1"/>
  <c r="T35" i="1"/>
  <c r="AC34" i="1"/>
  <c r="AB34" i="1"/>
  <c r="AD34" i="1" s="1"/>
  <c r="Y34" i="1"/>
  <c r="X34" i="1"/>
  <c r="W34" i="1"/>
  <c r="AD33" i="1"/>
  <c r="Y33" i="1"/>
  <c r="M33" i="1"/>
  <c r="AD32" i="1"/>
  <c r="Y32" i="1"/>
  <c r="T32" i="1"/>
  <c r="F32" i="1"/>
  <c r="G32" i="1" s="1"/>
  <c r="D32" i="1"/>
  <c r="E32" i="1" s="1"/>
  <c r="C32" i="1"/>
  <c r="C33" i="1" s="1"/>
  <c r="C34" i="1" s="1"/>
  <c r="AD31" i="1"/>
  <c r="Y31" i="1"/>
  <c r="T31" i="1"/>
  <c r="S31" i="1"/>
  <c r="S33" i="1" s="1"/>
  <c r="S34" i="1" s="1"/>
  <c r="R31" i="1"/>
  <c r="R33" i="1" s="1"/>
  <c r="AD30" i="1"/>
  <c r="Y30" i="1"/>
  <c r="T30" i="1"/>
  <c r="AD29" i="1"/>
  <c r="Y29" i="1"/>
  <c r="T29" i="1"/>
  <c r="AD28" i="1"/>
  <c r="Y28" i="1"/>
  <c r="T28" i="1"/>
  <c r="AD27" i="1"/>
  <c r="T27" i="1"/>
  <c r="N25" i="1"/>
  <c r="L25" i="1"/>
  <c r="K25" i="1"/>
  <c r="I25" i="1"/>
  <c r="H25" i="1"/>
  <c r="G25" i="1"/>
  <c r="F25" i="1"/>
  <c r="E25" i="1"/>
  <c r="D25" i="1"/>
  <c r="C25" i="1"/>
  <c r="L24" i="1"/>
  <c r="K24" i="1"/>
  <c r="I24" i="1"/>
  <c r="H24" i="1"/>
  <c r="G24" i="1"/>
  <c r="F24" i="1"/>
  <c r="E24" i="1"/>
  <c r="D24" i="1"/>
  <c r="C24" i="1"/>
  <c r="N21" i="1"/>
  <c r="M21" i="1"/>
  <c r="E21" i="1"/>
  <c r="J21" i="1" s="1"/>
  <c r="D21" i="1"/>
  <c r="N20" i="1"/>
  <c r="M20" i="1"/>
  <c r="M25" i="1" s="1"/>
  <c r="O25" i="1" s="1"/>
  <c r="J20" i="1"/>
  <c r="J25" i="1" s="1"/>
  <c r="N19" i="1"/>
  <c r="M19" i="1"/>
  <c r="J19" i="1"/>
  <c r="N18" i="1"/>
  <c r="M18" i="1"/>
  <c r="J18" i="1"/>
  <c r="M17" i="1"/>
  <c r="L17" i="1"/>
  <c r="N17" i="1" s="1"/>
  <c r="K17" i="1"/>
  <c r="J17" i="1"/>
  <c r="I17" i="1"/>
  <c r="N16" i="1"/>
  <c r="N24" i="1" s="1"/>
  <c r="M16" i="1"/>
  <c r="M24" i="1" s="1"/>
  <c r="J16" i="1"/>
  <c r="J15" i="1"/>
  <c r="J24" i="1" s="1"/>
  <c r="J14" i="1"/>
  <c r="J13" i="1"/>
  <c r="J12" i="1"/>
  <c r="S9" i="1"/>
  <c r="Q9" i="1"/>
  <c r="N9" i="1"/>
  <c r="J9" i="1"/>
  <c r="H9" i="1"/>
  <c r="G9" i="1"/>
  <c r="D9" i="1"/>
  <c r="C9" i="1"/>
  <c r="B9" i="1"/>
  <c r="U5" i="1"/>
  <c r="T5" i="1"/>
  <c r="S5" i="1"/>
  <c r="R5" i="1"/>
  <c r="Q5" i="1"/>
  <c r="P5" i="1"/>
  <c r="O5" i="1"/>
  <c r="N5" i="1"/>
  <c r="M5" i="1"/>
  <c r="L5" i="1"/>
  <c r="J5" i="1"/>
  <c r="I5" i="1"/>
  <c r="H5" i="1"/>
  <c r="V4" i="1"/>
  <c r="K4" i="1"/>
  <c r="G4" i="1"/>
  <c r="G5" i="1" s="1"/>
  <c r="F4" i="1"/>
  <c r="E4" i="1"/>
  <c r="D4" i="1"/>
  <c r="V3" i="1"/>
  <c r="V5" i="1" s="1"/>
  <c r="K3" i="1"/>
  <c r="F9" i="1" s="1"/>
  <c r="G3" i="1"/>
  <c r="E3" i="1"/>
  <c r="E9" i="1" s="1"/>
  <c r="D3" i="1"/>
  <c r="D5" i="1" s="1"/>
  <c r="C3" i="1"/>
  <c r="C5" i="1" s="1"/>
  <c r="M9" i="1" l="1"/>
  <c r="O9" i="1"/>
  <c r="R34" i="1"/>
  <c r="T34" i="1" s="1"/>
  <c r="T33" i="1"/>
  <c r="O24" i="1"/>
  <c r="E29" i="1"/>
  <c r="F3" i="1"/>
  <c r="E5" i="1"/>
  <c r="J38" i="1"/>
  <c r="K38" i="1"/>
  <c r="L36" i="1" s="1"/>
  <c r="P9" i="1" s="1"/>
  <c r="R9" i="1"/>
  <c r="D33" i="1"/>
  <c r="L9" i="1"/>
  <c r="T47" i="1"/>
  <c r="K5" i="1"/>
  <c r="K9" i="1" l="1"/>
  <c r="I9" i="1"/>
  <c r="F5" i="1"/>
  <c r="D34" i="1"/>
  <c r="E33" i="1"/>
  <c r="F33" i="1" l="1"/>
  <c r="E34" i="1"/>
  <c r="G33" i="1" l="1"/>
  <c r="F34" i="1"/>
  <c r="G34" i="1" s="1"/>
</calcChain>
</file>

<file path=xl/sharedStrings.xml><?xml version="1.0" encoding="utf-8"?>
<sst xmlns="http://schemas.openxmlformats.org/spreadsheetml/2006/main" count="233" uniqueCount="162">
  <si>
    <t>MARKET</t>
  </si>
  <si>
    <t>INC. STATEMEN</t>
  </si>
  <si>
    <t>BAL. SHEET</t>
  </si>
  <si>
    <t>CASHFLOW</t>
  </si>
  <si>
    <t>Company</t>
  </si>
  <si>
    <t>Price</t>
  </si>
  <si>
    <t>Marketcap in Cr</t>
  </si>
  <si>
    <t>Sales in Cr</t>
  </si>
  <si>
    <t>Profit in Cr</t>
  </si>
  <si>
    <t>EPS</t>
  </si>
  <si>
    <t>FV</t>
  </si>
  <si>
    <t>Equity</t>
  </si>
  <si>
    <t>Total Equity</t>
  </si>
  <si>
    <t>Debt</t>
  </si>
  <si>
    <t>Lease Cr</t>
  </si>
  <si>
    <t>CUR.ASSETS</t>
  </si>
  <si>
    <t>CUR.LIABILITIES</t>
  </si>
  <si>
    <t>ASSETS</t>
  </si>
  <si>
    <t>LIABILITIES</t>
  </si>
  <si>
    <t>TRADE REC</t>
  </si>
  <si>
    <t>PPE_CF</t>
  </si>
  <si>
    <t>CFO</t>
  </si>
  <si>
    <t>CFI</t>
  </si>
  <si>
    <t>CFF</t>
  </si>
  <si>
    <t>NET</t>
  </si>
  <si>
    <t>AFFLE</t>
  </si>
  <si>
    <t>PREVIOUS YEAR</t>
  </si>
  <si>
    <t>GROWTH</t>
  </si>
  <si>
    <t>LIQUIDITY</t>
  </si>
  <si>
    <t>SOLVENCY</t>
  </si>
  <si>
    <t>PROFITABILITY</t>
  </si>
  <si>
    <t>VALUATIONS</t>
  </si>
  <si>
    <t>CFR</t>
  </si>
  <si>
    <t>SALES GROWTH</t>
  </si>
  <si>
    <t>P-MARGIN</t>
  </si>
  <si>
    <t>CUR.RATIO</t>
  </si>
  <si>
    <t>TRADE CYC DAYS</t>
  </si>
  <si>
    <t>DEBT2EQUITY</t>
  </si>
  <si>
    <t>DEBTRATIO</t>
  </si>
  <si>
    <t>ICR</t>
  </si>
  <si>
    <t>ROE</t>
  </si>
  <si>
    <t>ROCE</t>
  </si>
  <si>
    <t>ROA</t>
  </si>
  <si>
    <t>PE</t>
  </si>
  <si>
    <t>YIELD_23</t>
  </si>
  <si>
    <t>BOOKVALUE</t>
  </si>
  <si>
    <t>PBV</t>
  </si>
  <si>
    <t>PEG</t>
  </si>
  <si>
    <t>OCFR</t>
  </si>
  <si>
    <t>CFD</t>
  </si>
  <si>
    <t>FCF IN CR</t>
  </si>
  <si>
    <t>ActualData</t>
  </si>
  <si>
    <t>Years in cr</t>
  </si>
  <si>
    <t>USERS in CR</t>
  </si>
  <si>
    <t>Sales</t>
  </si>
  <si>
    <t>Profit</t>
  </si>
  <si>
    <t>Reserve</t>
  </si>
  <si>
    <t>BORROWING</t>
  </si>
  <si>
    <t>Margin</t>
  </si>
  <si>
    <t>High</t>
  </si>
  <si>
    <t>Low</t>
  </si>
  <si>
    <t>HPE</t>
  </si>
  <si>
    <t>LPE</t>
  </si>
  <si>
    <t>fy_2016</t>
  </si>
  <si>
    <t>fy_2017</t>
  </si>
  <si>
    <t>fy_2018</t>
  </si>
  <si>
    <t>fy_2019</t>
  </si>
  <si>
    <t>IPO</t>
  </si>
  <si>
    <t>fy_2020</t>
  </si>
  <si>
    <t>fy_2021</t>
  </si>
  <si>
    <t>SPLIT 10TO2</t>
  </si>
  <si>
    <t>fy_2022</t>
  </si>
  <si>
    <t>fy_2023</t>
  </si>
  <si>
    <t>fy_2024</t>
  </si>
  <si>
    <t>Trail_fy25</t>
  </si>
  <si>
    <t>REGIONAL</t>
  </si>
  <si>
    <t>FY_24_Share</t>
  </si>
  <si>
    <t>Growth</t>
  </si>
  <si>
    <t>Year</t>
  </si>
  <si>
    <t>USERS</t>
  </si>
  <si>
    <t>FAIR_PE</t>
  </si>
  <si>
    <t>India &amp; Emerging Markets</t>
  </si>
  <si>
    <t>5 YEARS</t>
  </si>
  <si>
    <t>Developed Markets</t>
  </si>
  <si>
    <t>LAST YEAR</t>
  </si>
  <si>
    <t>RESULTS</t>
  </si>
  <si>
    <t>Q1_FY_25</t>
  </si>
  <si>
    <t>Q1_FY_24</t>
  </si>
  <si>
    <t>Q4_FY_24</t>
  </si>
  <si>
    <t>Q4_FY_23</t>
  </si>
  <si>
    <t>FY_24</t>
  </si>
  <si>
    <t>FY_23</t>
  </si>
  <si>
    <t>EST_GR</t>
  </si>
  <si>
    <t>Exp Growth</t>
  </si>
  <si>
    <t>MARGIN</t>
  </si>
  <si>
    <t>TREND</t>
  </si>
  <si>
    <t>H1_FY__2024</t>
  </si>
  <si>
    <t>9M_FY_2024</t>
  </si>
  <si>
    <t>FY_2024</t>
  </si>
  <si>
    <t>Q1_FY_2025</t>
  </si>
  <si>
    <t>EST-2025</t>
  </si>
  <si>
    <t>CONVERSION</t>
  </si>
  <si>
    <t>LONG TERM</t>
  </si>
  <si>
    <t>SALES</t>
  </si>
  <si>
    <t>ARPU</t>
  </si>
  <si>
    <t>CYEAR</t>
  </si>
  <si>
    <t>PROFIT</t>
  </si>
  <si>
    <t>Revenue</t>
  </si>
  <si>
    <t>cost</t>
  </si>
  <si>
    <t>ESTIAMTES</t>
  </si>
  <si>
    <t>Estimates</t>
  </si>
  <si>
    <t>FAIRVALUE</t>
  </si>
  <si>
    <t>EBITDA</t>
  </si>
  <si>
    <t>finance</t>
  </si>
  <si>
    <t>fy_2025</t>
  </si>
  <si>
    <t>Q2_2024</t>
  </si>
  <si>
    <t>Q3_2024</t>
  </si>
  <si>
    <t>Q4_2024</t>
  </si>
  <si>
    <t>Q1_2025</t>
  </si>
  <si>
    <t>T_EPS_2024</t>
  </si>
  <si>
    <t>Net Profit</t>
  </si>
  <si>
    <t>fy_2030</t>
  </si>
  <si>
    <t>EBTDA</t>
  </si>
  <si>
    <t>fy_2035</t>
  </si>
  <si>
    <t>PBT</t>
  </si>
  <si>
    <t>Profit Margin</t>
  </si>
  <si>
    <t>EPS_24</t>
  </si>
  <si>
    <t>T_EPS_2025</t>
  </si>
  <si>
    <t>F_EPS_25</t>
  </si>
  <si>
    <t>PE_24</t>
  </si>
  <si>
    <t>T_PE_25</t>
  </si>
  <si>
    <t>F_PE_2025</t>
  </si>
  <si>
    <t>SHP</t>
  </si>
  <si>
    <t>2019 IN %</t>
  </si>
  <si>
    <t>2023 IN %</t>
  </si>
  <si>
    <t>MARJOR COST</t>
  </si>
  <si>
    <t>SHARE</t>
  </si>
  <si>
    <t>PROMOTERS</t>
  </si>
  <si>
    <t>INVENTORY</t>
  </si>
  <si>
    <t>MF, INSURANCE</t>
  </si>
  <si>
    <t>EMPLOYEE</t>
  </si>
  <si>
    <t>FPI</t>
  </si>
  <si>
    <t>RETAIL</t>
  </si>
  <si>
    <t>D&amp;A</t>
  </si>
  <si>
    <t>OTHERS</t>
  </si>
  <si>
    <t>OTHER EXP</t>
  </si>
  <si>
    <t>TOTAL</t>
  </si>
  <si>
    <t>COMPANY</t>
  </si>
  <si>
    <t>BROADCASTING</t>
  </si>
  <si>
    <t>FY_2022</t>
  </si>
  <si>
    <t>FY_2017</t>
  </si>
  <si>
    <t>FY_2012</t>
  </si>
  <si>
    <t>GROWTH 5Y</t>
  </si>
  <si>
    <t>GROWTH 10Y</t>
  </si>
  <si>
    <t>SUNTV</t>
  </si>
  <si>
    <t>ZEEL</t>
  </si>
  <si>
    <t>PRINT MEDIA</t>
  </si>
  <si>
    <t>DBCORP</t>
  </si>
  <si>
    <t>JAGRAN</t>
  </si>
  <si>
    <t>DIGITAL MEDIA</t>
  </si>
  <si>
    <t>FY_2016</t>
  </si>
  <si>
    <t>GROWTH 6Y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</si>
</sst>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0.0"/>
    <numFmt numFmtId="166" formatCode="#,##0.0"/>
  </numFmts>
  <fonts count="14">
    <font>
      <sz val="10"/>
      <color rgb="FF000000"/>
      <name val="Calibri"/>
      <scheme val="minor"/>
    </font>
    <font>
      <b/>
      <sz val="14"/>
      <color rgb="FFFFFFFF"/>
      <name val="Calibri"/>
    </font>
    <font>
      <sz val="11"/>
      <color theme="1"/>
      <name val="Calibri"/>
    </font>
    <font>
      <sz val="10"/>
      <color theme="1"/>
      <name val="Calibri"/>
      <scheme val="minor"/>
    </font>
    <font>
      <b/>
      <sz val="11"/>
      <color rgb="FFFFFFFF"/>
      <name val="Calibri"/>
      <scheme val="minor"/>
    </font>
    <font>
      <b/>
      <sz val="11"/>
      <color rgb="FFFFFFFF"/>
      <name val="Calibri"/>
    </font>
    <font>
      <sz val="11"/>
      <color theme="1"/>
      <name val="Times New Roman"/>
    </font>
    <font>
      <sz val="11"/>
      <color theme="1"/>
      <name val="Arial"/>
    </font>
    <font>
      <b/>
      <i/>
      <sz val="11"/>
      <color theme="1"/>
      <name val="Calibri"/>
    </font>
    <font>
      <sz val="18"/>
      <color theme="1"/>
      <name val="Calibri"/>
      <scheme val="minor"/>
    </font>
    <font>
      <b/>
      <i/>
      <sz val="10"/>
      <color theme="1"/>
      <name val="Calibri"/>
      <scheme val="minor"/>
    </font>
    <font>
      <sz val="10"/>
      <name val="Arial"/>
    </font>
    <font>
      <sz val="10"/>
      <color rgb="FFFFFFFF"/>
      <name val="Calibri"/>
      <scheme val="minor"/>
    </font>
    <font>
      <sz val="9"/>
      <color rgb="FF000000"/>
      <name val="&quot;Google Sans Mono&quot;"/>
    </font>
  </fonts>
  <fills count="15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rgb="FFFFFFFF"/>
        <bgColor rgb="FFFFFFFF"/>
      </patternFill>
    </fill>
    <fill>
      <patternFill patternType="solid">
        <fgColor rgb="FF3D85C6"/>
        <bgColor rgb="FF3D85C6"/>
      </patternFill>
    </fill>
    <fill>
      <patternFill patternType="solid">
        <fgColor theme="0"/>
        <bgColor theme="0"/>
      </patternFill>
    </fill>
    <fill>
      <patternFill patternType="solid">
        <fgColor rgb="FFFAFDFC"/>
        <bgColor rgb="FFFAFDFC"/>
      </patternFill>
    </fill>
    <fill>
      <patternFill patternType="solid">
        <fgColor rgb="FF68C296"/>
        <bgColor rgb="FF68C296"/>
      </patternFill>
    </fill>
    <fill>
      <patternFill patternType="solid">
        <fgColor rgb="FFFEFFFF"/>
        <bgColor rgb="FFFEFFFF"/>
      </patternFill>
    </fill>
    <fill>
      <patternFill patternType="solid">
        <fgColor rgb="FFDBE5F1"/>
        <bgColor rgb="FFDBE5F1"/>
      </patternFill>
    </fill>
    <fill>
      <patternFill patternType="solid">
        <fgColor rgb="FFFEFDFD"/>
        <bgColor rgb="FFFEFDFD"/>
      </patternFill>
    </fill>
    <fill>
      <patternFill patternType="solid">
        <fgColor rgb="FFF3C0BC"/>
        <bgColor rgb="FFF3C0BC"/>
      </patternFill>
    </fill>
    <fill>
      <patternFill patternType="solid">
        <fgColor rgb="FFE67C73"/>
        <bgColor rgb="FFE67C73"/>
      </patternFill>
    </fill>
    <fill>
      <patternFill patternType="solid">
        <fgColor rgb="FFA4C2F4"/>
        <bgColor rgb="FFA4C2F4"/>
      </patternFill>
    </fill>
    <fill>
      <patternFill patternType="solid">
        <fgColor rgb="FFB7B7B7"/>
        <bgColor rgb="FFB7B7B7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0" xfId="0" applyFont="1" applyFill="1"/>
    <xf numFmtId="0" fontId="2" fillId="0" borderId="1" xfId="0" applyFont="1" applyBorder="1"/>
    <xf numFmtId="1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2" fillId="3" borderId="1" xfId="0" applyFont="1" applyFill="1" applyBorder="1"/>
    <xf numFmtId="9" fontId="2" fillId="0" borderId="1" xfId="0" applyNumberFormat="1" applyFont="1" applyBorder="1"/>
    <xf numFmtId="0" fontId="2" fillId="0" borderId="0" xfId="0" applyFont="1"/>
    <xf numFmtId="0" fontId="2" fillId="3" borderId="0" xfId="0" applyFont="1" applyFill="1"/>
    <xf numFmtId="0" fontId="4" fillId="2" borderId="0" xfId="0" applyFont="1" applyFill="1" applyAlignment="1">
      <alignment horizontal="left"/>
    </xf>
    <xf numFmtId="9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4" borderId="1" xfId="0" applyFont="1" applyFill="1" applyBorder="1" applyAlignment="1">
      <alignment horizontal="left"/>
    </xf>
    <xf numFmtId="1" fontId="2" fillId="5" borderId="1" xfId="0" applyNumberFormat="1" applyFont="1" applyFill="1" applyBorder="1" applyAlignment="1">
      <alignment horizontal="right"/>
    </xf>
    <xf numFmtId="1" fontId="6" fillId="5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/>
    </xf>
    <xf numFmtId="1" fontId="7" fillId="5" borderId="1" xfId="0" applyNumberFormat="1" applyFont="1" applyFill="1" applyBorder="1" applyAlignment="1">
      <alignment horizontal="right"/>
    </xf>
    <xf numFmtId="0" fontId="3" fillId="0" borderId="0" xfId="0" applyFont="1"/>
    <xf numFmtId="1" fontId="3" fillId="0" borderId="1" xfId="0" applyNumberFormat="1" applyFont="1" applyBorder="1"/>
    <xf numFmtId="0" fontId="5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right"/>
    </xf>
    <xf numFmtId="0" fontId="1" fillId="2" borderId="1" xfId="0" applyFont="1" applyFill="1" applyBorder="1"/>
    <xf numFmtId="10" fontId="2" fillId="0" borderId="1" xfId="0" applyNumberFormat="1" applyFont="1" applyBorder="1" applyAlignment="1">
      <alignment horizontal="right"/>
    </xf>
    <xf numFmtId="9" fontId="3" fillId="0" borderId="0" xfId="0" applyNumberFormat="1" applyFont="1"/>
    <xf numFmtId="9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9" fontId="8" fillId="0" borderId="0" xfId="0" applyNumberFormat="1" applyFont="1" applyAlignment="1">
      <alignment horizontal="right"/>
    </xf>
    <xf numFmtId="9" fontId="2" fillId="0" borderId="0" xfId="0" applyNumberFormat="1" applyFont="1"/>
    <xf numFmtId="3" fontId="8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/>
    <xf numFmtId="9" fontId="8" fillId="6" borderId="1" xfId="0" applyNumberFormat="1" applyFont="1" applyFill="1" applyBorder="1" applyAlignment="1">
      <alignment horizontal="right"/>
    </xf>
    <xf numFmtId="9" fontId="3" fillId="0" borderId="1" xfId="0" applyNumberFormat="1" applyFont="1" applyBorder="1"/>
    <xf numFmtId="164" fontId="8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0" fontId="7" fillId="0" borderId="1" xfId="0" applyFont="1" applyBorder="1"/>
    <xf numFmtId="9" fontId="7" fillId="0" borderId="1" xfId="0" applyNumberFormat="1" applyFont="1" applyBorder="1" applyAlignment="1">
      <alignment horizontal="right"/>
    </xf>
    <xf numFmtId="164" fontId="3" fillId="0" borderId="0" xfId="0" applyNumberFormat="1" applyFont="1"/>
    <xf numFmtId="164" fontId="2" fillId="0" borderId="1" xfId="0" applyNumberFormat="1" applyFont="1" applyBorder="1"/>
    <xf numFmtId="10" fontId="2" fillId="0" borderId="1" xfId="0" applyNumberFormat="1" applyFont="1" applyBorder="1"/>
    <xf numFmtId="9" fontId="8" fillId="7" borderId="1" xfId="0" applyNumberFormat="1" applyFont="1" applyFill="1" applyBorder="1" applyAlignment="1">
      <alignment horizontal="right"/>
    </xf>
    <xf numFmtId="10" fontId="3" fillId="0" borderId="0" xfId="0" applyNumberFormat="1" applyFont="1"/>
    <xf numFmtId="9" fontId="8" fillId="8" borderId="1" xfId="0" applyNumberFormat="1" applyFont="1" applyFill="1" applyBorder="1" applyAlignment="1">
      <alignment horizontal="right"/>
    </xf>
    <xf numFmtId="3" fontId="2" fillId="9" borderId="1" xfId="0" applyNumberFormat="1" applyFont="1" applyFill="1" applyBorder="1" applyAlignment="1">
      <alignment horizontal="right"/>
    </xf>
    <xf numFmtId="166" fontId="2" fillId="9" borderId="1" xfId="0" applyNumberFormat="1" applyFont="1" applyFill="1" applyBorder="1" applyAlignment="1">
      <alignment horizontal="right"/>
    </xf>
    <xf numFmtId="1" fontId="2" fillId="9" borderId="1" xfId="0" applyNumberFormat="1" applyFont="1" applyFill="1" applyBorder="1" applyAlignment="1">
      <alignment horizontal="right"/>
    </xf>
    <xf numFmtId="9" fontId="8" fillId="3" borderId="1" xfId="0" applyNumberFormat="1" applyFont="1" applyFill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9" fontId="8" fillId="10" borderId="1" xfId="0" applyNumberFormat="1" applyFont="1" applyFill="1" applyBorder="1" applyAlignment="1">
      <alignment horizontal="right"/>
    </xf>
    <xf numFmtId="164" fontId="8" fillId="11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164" fontId="2" fillId="0" borderId="0" xfId="0" applyNumberFormat="1" applyFont="1"/>
    <xf numFmtId="166" fontId="8" fillId="12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7" fillId="0" borderId="1" xfId="0" applyNumberFormat="1" applyFont="1" applyBorder="1" applyAlignment="1">
      <alignment horizontal="center"/>
    </xf>
    <xf numFmtId="165" fontId="9" fillId="13" borderId="0" xfId="0" applyNumberFormat="1" applyFont="1" applyFill="1" applyAlignment="1">
      <alignment horizontal="center" vertical="center"/>
    </xf>
    <xf numFmtId="1" fontId="2" fillId="0" borderId="0" xfId="0" applyNumberFormat="1" applyFont="1"/>
    <xf numFmtId="0" fontId="0" fillId="0" borderId="0" xfId="0"/>
    <xf numFmtId="9" fontId="8" fillId="11" borderId="1" xfId="0" applyNumberFormat="1" applyFont="1" applyFill="1" applyBorder="1" applyAlignment="1">
      <alignment horizontal="right"/>
    </xf>
    <xf numFmtId="0" fontId="10" fillId="0" borderId="3" xfId="0" applyFont="1" applyBorder="1"/>
    <xf numFmtId="1" fontId="10" fillId="0" borderId="3" xfId="0" applyNumberFormat="1" applyFont="1" applyBorder="1"/>
    <xf numFmtId="0" fontId="8" fillId="0" borderId="1" xfId="0" applyFont="1" applyBorder="1"/>
    <xf numFmtId="1" fontId="8" fillId="0" borderId="1" xfId="0" applyNumberFormat="1" applyFont="1" applyBorder="1" applyAlignment="1">
      <alignment horizontal="right"/>
    </xf>
    <xf numFmtId="9" fontId="8" fillId="0" borderId="1" xfId="0" applyNumberFormat="1" applyFont="1" applyBorder="1"/>
    <xf numFmtId="1" fontId="3" fillId="0" borderId="0" xfId="0" applyNumberFormat="1" applyFont="1"/>
    <xf numFmtId="0" fontId="11" fillId="0" borderId="3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10" xfId="0" applyFont="1" applyBorder="1"/>
    <xf numFmtId="0" fontId="12" fillId="2" borderId="0" xfId="0" applyFont="1" applyFill="1"/>
    <xf numFmtId="0" fontId="10" fillId="14" borderId="9" xfId="0" applyFont="1" applyFill="1" applyBorder="1"/>
    <xf numFmtId="0" fontId="3" fillId="0" borderId="4" xfId="0" applyFont="1" applyBorder="1"/>
    <xf numFmtId="0" fontId="13" fillId="3" borderId="0" xfId="0" applyFont="1" applyFill="1"/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 defaultTableStyle="TableStyleMedium2" defaultPivotStyle="PivotStyleLight16">
    <tableStyle name="IT Enabled Services    -style" pivot="0" count="3" xr9:uid="{4D49FB8A-7130-4AB6-B1B9-6A3E81913BD5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35</xdr:row>
      <xdr:rowOff>152400</xdr:rowOff>
    </xdr:from>
    <xdr:ext cx="3762375" cy="37623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E6DEC6CF-4715-4CF5-A882-E060D8EFFD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6780" y="7071360"/>
          <a:ext cx="3762375" cy="37623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0</xdr:row>
      <xdr:rowOff>123825</xdr:rowOff>
    </xdr:from>
    <xdr:ext cx="2038350" cy="3619500"/>
    <xdr:pic>
      <xdr:nvPicPr>
        <xdr:cNvPr id="2" name="image7.png" title="Image">
          <a:extLst>
            <a:ext uri="{FF2B5EF4-FFF2-40B4-BE49-F238E27FC236}">
              <a16:creationId xmlns:a16="http://schemas.microsoft.com/office/drawing/2014/main" id="{BA8F61A6-93FA-4C58-B6E1-6386F610DB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123825"/>
          <a:ext cx="2038350" cy="3619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161925</xdr:colOff>
      <xdr:row>0</xdr:row>
      <xdr:rowOff>123825</xdr:rowOff>
    </xdr:from>
    <xdr:ext cx="2038350" cy="3619500"/>
    <xdr:pic>
      <xdr:nvPicPr>
        <xdr:cNvPr id="3" name="image4.png" title="Image">
          <a:extLst>
            <a:ext uri="{FF2B5EF4-FFF2-40B4-BE49-F238E27FC236}">
              <a16:creationId xmlns:a16="http://schemas.microsoft.com/office/drawing/2014/main" id="{00A70BF6-D204-4D73-A37F-8D5C46E655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19325" y="123825"/>
          <a:ext cx="2038350" cy="36195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361950</xdr:colOff>
      <xdr:row>0</xdr:row>
      <xdr:rowOff>123825</xdr:rowOff>
    </xdr:from>
    <xdr:ext cx="2038350" cy="3619500"/>
    <xdr:pic>
      <xdr:nvPicPr>
        <xdr:cNvPr id="4" name="image5.png" title="Image">
          <a:extLst>
            <a:ext uri="{FF2B5EF4-FFF2-40B4-BE49-F238E27FC236}">
              <a16:creationId xmlns:a16="http://schemas.microsoft.com/office/drawing/2014/main" id="{7A9108AB-7669-4418-B3A3-3CBDE62CEF89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156710" y="123825"/>
          <a:ext cx="2038350" cy="36195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IT%20Enabled%20Services%20(15).xlsx" TargetMode="External"/><Relationship Id="rId1" Type="http://schemas.openxmlformats.org/officeDocument/2006/relationships/externalLinkPath" Target="/Users/profi/Downloads/IT%20Enabled%20Services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T Enabled Services    "/>
      <sheetName val="ADVERTISIMENT INDUSTRY"/>
      <sheetName val="AFFLE"/>
      <sheetName val="LTTS"/>
    </sheetNames>
    <sheetDataSet>
      <sheetData sheetId="0">
        <row r="6">
          <cell r="C6" t="str">
            <v>Market Cap</v>
          </cell>
          <cell r="G6" t="str">
            <v>SALES_23</v>
          </cell>
          <cell r="J6" t="str">
            <v>COMPANY</v>
          </cell>
          <cell r="K6" t="str">
            <v>PROFIT_23</v>
          </cell>
        </row>
        <row r="7">
          <cell r="B7" t="str">
            <v>LTTS</v>
          </cell>
          <cell r="C7">
            <v>55524.091480000003</v>
          </cell>
          <cell r="F7" t="str">
            <v>LTTS</v>
          </cell>
          <cell r="G7">
            <v>8013</v>
          </cell>
          <cell r="J7" t="str">
            <v>BCG</v>
          </cell>
          <cell r="K7">
            <v>1371</v>
          </cell>
        </row>
        <row r="8">
          <cell r="B8" t="str">
            <v>TATATECH</v>
          </cell>
          <cell r="C8">
            <v>43997.080337500003</v>
          </cell>
          <cell r="F8" t="str">
            <v>BCG</v>
          </cell>
          <cell r="G8">
            <v>7397</v>
          </cell>
          <cell r="J8" t="str">
            <v>LTTS</v>
          </cell>
          <cell r="K8">
            <v>1174</v>
          </cell>
        </row>
        <row r="9">
          <cell r="B9" t="str">
            <v>CYIENT</v>
          </cell>
          <cell r="C9">
            <v>21406.078621500001</v>
          </cell>
          <cell r="F9" t="str">
            <v>BBOX</v>
          </cell>
          <cell r="G9">
            <v>6287</v>
          </cell>
          <cell r="J9" t="str">
            <v>TATATECH</v>
          </cell>
          <cell r="K9">
            <v>624</v>
          </cell>
        </row>
        <row r="10">
          <cell r="B10" t="str">
            <v>AFFLE</v>
          </cell>
          <cell r="C10">
            <v>14882.1777</v>
          </cell>
          <cell r="F10" t="str">
            <v>CYIENT</v>
          </cell>
          <cell r="G10">
            <v>6015</v>
          </cell>
          <cell r="J10" t="str">
            <v>CYIENT</v>
          </cell>
          <cell r="K10">
            <v>514</v>
          </cell>
        </row>
        <row r="11">
          <cell r="B11" t="str">
            <v>RSYSTEMINT</v>
          </cell>
          <cell r="C11">
            <v>5347.3136800000002</v>
          </cell>
          <cell r="F11" t="str">
            <v>TATATECH</v>
          </cell>
          <cell r="G11">
            <v>4414</v>
          </cell>
          <cell r="J11" t="str">
            <v>AFFLE</v>
          </cell>
          <cell r="K11">
            <v>245</v>
          </cell>
        </row>
        <row r="12">
          <cell r="B12" t="str">
            <v>EMUDHRA</v>
          </cell>
          <cell r="C12">
            <v>4993.1315525</v>
          </cell>
          <cell r="F12" t="str">
            <v>CIGNITI</v>
          </cell>
          <cell r="G12">
            <v>1647</v>
          </cell>
          <cell r="J12" t="str">
            <v>DATAMATICS</v>
          </cell>
          <cell r="K12">
            <v>185</v>
          </cell>
        </row>
        <row r="13">
          <cell r="B13" t="str">
            <v>PROTEAN</v>
          </cell>
          <cell r="C13">
            <v>4320.1140643999997</v>
          </cell>
          <cell r="F13" t="str">
            <v>RSYSTEMINT</v>
          </cell>
          <cell r="G13">
            <v>1515</v>
          </cell>
          <cell r="J13" t="str">
            <v>CIGNITI</v>
          </cell>
          <cell r="K13">
            <v>168</v>
          </cell>
        </row>
        <row r="14">
          <cell r="B14" t="str">
            <v>ZAGGLE</v>
          </cell>
          <cell r="C14">
            <v>3957.5825399999999</v>
          </cell>
          <cell r="F14" t="str">
            <v>DATAMATICS</v>
          </cell>
          <cell r="G14">
            <v>1459</v>
          </cell>
          <cell r="J14" t="str">
            <v>RSYSTEMINT</v>
          </cell>
          <cell r="K14">
            <v>140</v>
          </cell>
        </row>
        <row r="15">
          <cell r="B15" t="str">
            <v>BBOX</v>
          </cell>
          <cell r="C15">
            <v>3898.1916000000001</v>
          </cell>
          <cell r="F15" t="str">
            <v>AFFLE</v>
          </cell>
          <cell r="G15">
            <v>1434</v>
          </cell>
          <cell r="J15" t="str">
            <v>PROTEAN</v>
          </cell>
          <cell r="K15">
            <v>107</v>
          </cell>
        </row>
        <row r="16">
          <cell r="B16" t="str">
            <v>BCG</v>
          </cell>
          <cell r="C16">
            <v>3590.8906124999999</v>
          </cell>
          <cell r="F16" t="str">
            <v>AXISCADES</v>
          </cell>
          <cell r="G16">
            <v>813</v>
          </cell>
          <cell r="J16" t="str">
            <v>SASKEN</v>
          </cell>
          <cell r="K16">
            <v>97</v>
          </cell>
        </row>
        <row r="17">
          <cell r="B17" t="str">
            <v>DATAMATICS</v>
          </cell>
          <cell r="C17">
            <v>3276.2188729</v>
          </cell>
          <cell r="F17" t="str">
            <v>PROTEAN</v>
          </cell>
          <cell r="G17">
            <v>741</v>
          </cell>
          <cell r="J17" t="str">
            <v>EMUDHRA</v>
          </cell>
          <cell r="K17">
            <v>61</v>
          </cell>
        </row>
        <row r="18">
          <cell r="B18" t="str">
            <v>CIGNITI</v>
          </cell>
          <cell r="C18">
            <v>3210.4894079999999</v>
          </cell>
          <cell r="F18" t="str">
            <v>ZAGGLE</v>
          </cell>
          <cell r="G18">
            <v>553</v>
          </cell>
          <cell r="J18" t="str">
            <v>BBOX</v>
          </cell>
          <cell r="K18">
            <v>23.7</v>
          </cell>
        </row>
        <row r="19">
          <cell r="B19" t="str">
            <v>AXISCADES</v>
          </cell>
          <cell r="C19">
            <v>2454.6441355000002</v>
          </cell>
          <cell r="F19" t="str">
            <v>SASKEN</v>
          </cell>
          <cell r="G19">
            <v>446</v>
          </cell>
          <cell r="J19" t="str">
            <v>ZAGGLE</v>
          </cell>
          <cell r="K19">
            <v>23</v>
          </cell>
        </row>
        <row r="20">
          <cell r="B20" t="str">
            <v>SASKEN</v>
          </cell>
          <cell r="C20">
            <v>2354.5203929999998</v>
          </cell>
          <cell r="F20" t="str">
            <v>EMUDHRA</v>
          </cell>
          <cell r="G20">
            <v>248</v>
          </cell>
          <cell r="J20" t="str">
            <v>VAKRANGEE</v>
          </cell>
          <cell r="K20">
            <v>1</v>
          </cell>
        </row>
        <row r="21">
          <cell r="B21" t="str">
            <v>VAKRANGEE</v>
          </cell>
          <cell r="C21">
            <v>2338.4562520999998</v>
          </cell>
          <cell r="F21" t="str">
            <v>VAKRANGEE</v>
          </cell>
          <cell r="G21">
            <v>197</v>
          </cell>
          <cell r="J21" t="str">
            <v>AXISCADES</v>
          </cell>
          <cell r="K21">
            <v>-5</v>
          </cell>
        </row>
        <row r="22">
          <cell r="B22" t="str">
            <v>OTHER_45</v>
          </cell>
          <cell r="C22">
            <v>7230</v>
          </cell>
        </row>
        <row r="42">
          <cell r="C42" t="str">
            <v>SALES_5Y_GR</v>
          </cell>
          <cell r="G42" t="str">
            <v>CY_SALES GR</v>
          </cell>
        </row>
        <row r="43">
          <cell r="B43" t="str">
            <v>LTTS</v>
          </cell>
          <cell r="C43">
            <v>0.15255002420547359</v>
          </cell>
          <cell r="F43" t="str">
            <v>LTTS</v>
          </cell>
          <cell r="G43">
            <v>0.1031967721911855</v>
          </cell>
        </row>
        <row r="44">
          <cell r="B44" t="str">
            <v>TATATECH</v>
          </cell>
          <cell r="C44">
            <v>8.7644244894549139E-2</v>
          </cell>
          <cell r="F44" t="str">
            <v>TATATECH</v>
          </cell>
          <cell r="G44">
            <v>0.26693227091633465</v>
          </cell>
        </row>
        <row r="45">
          <cell r="B45" t="str">
            <v>CYIENT</v>
          </cell>
          <cell r="C45">
            <v>8.9573198932278109E-2</v>
          </cell>
          <cell r="F45" t="str">
            <v>CYIENT</v>
          </cell>
          <cell r="G45">
            <v>0.23968105065666045</v>
          </cell>
        </row>
        <row r="46">
          <cell r="B46" t="str">
            <v>AFFLE</v>
          </cell>
          <cell r="C46">
            <v>0.53732799573642298</v>
          </cell>
          <cell r="F46" t="str">
            <v>AFFLE</v>
          </cell>
          <cell r="G46">
            <v>0.23933209647495368</v>
          </cell>
        </row>
        <row r="47">
          <cell r="B47" t="str">
            <v>RSYSTEMINT</v>
          </cell>
          <cell r="C47">
            <v>0.36732159869815861</v>
          </cell>
          <cell r="F47" t="str">
            <v>RSYSTEMINT</v>
          </cell>
          <cell r="G47">
            <v>9.2161929371231688E-2</v>
          </cell>
        </row>
        <row r="48">
          <cell r="B48" t="str">
            <v>EMUDHRA</v>
          </cell>
          <cell r="C48">
            <v>0.1991964554448078</v>
          </cell>
          <cell r="F48" t="str">
            <v>EMUDHRA</v>
          </cell>
          <cell r="G48">
            <v>0.58720930232558133</v>
          </cell>
        </row>
        <row r="49">
          <cell r="B49" t="str">
            <v>PROTEAN</v>
          </cell>
          <cell r="C49">
            <v>-3.7704678673366465E-2</v>
          </cell>
          <cell r="F49" t="str">
            <v>PROTEAN</v>
          </cell>
          <cell r="G49">
            <v>0.29215686274509811</v>
          </cell>
        </row>
        <row r="50">
          <cell r="B50" t="str">
            <v>ZAGGLE</v>
          </cell>
          <cell r="C50">
            <v>0.52069894175279519</v>
          </cell>
          <cell r="F50" t="str">
            <v>ZAGGLE</v>
          </cell>
          <cell r="G50">
            <v>0.31739961759082225</v>
          </cell>
        </row>
        <row r="51">
          <cell r="B51" t="str">
            <v>BBOX</v>
          </cell>
          <cell r="C51">
            <v>0.53697887061095506</v>
          </cell>
          <cell r="F51" t="str">
            <v>BBOX</v>
          </cell>
          <cell r="G51">
            <v>4.2562432138979478E-2</v>
          </cell>
        </row>
        <row r="52">
          <cell r="B52" t="str">
            <v>BCG</v>
          </cell>
          <cell r="C52">
            <v>0.25029405410139272</v>
          </cell>
          <cell r="F52" t="str">
            <v>BCG</v>
          </cell>
          <cell r="G52">
            <v>2.8254697850479848E-2</v>
          </cell>
        </row>
        <row r="53">
          <cell r="B53" t="str">
            <v>DATAMATICS</v>
          </cell>
          <cell r="C53">
            <v>9.9012874180008481E-2</v>
          </cell>
          <cell r="F53" t="str">
            <v>DATAMATICS</v>
          </cell>
          <cell r="G53">
            <v>9.0124640460210959E-2</v>
          </cell>
        </row>
        <row r="54">
          <cell r="B54" t="str">
            <v>CIGNITI</v>
          </cell>
          <cell r="C54">
            <v>0.18902797570241692</v>
          </cell>
          <cell r="F54" t="str">
            <v>CIGNITI</v>
          </cell>
          <cell r="G54">
            <v>0.11211129296235689</v>
          </cell>
        </row>
        <row r="55">
          <cell r="B55" t="str">
            <v>AXISCADES</v>
          </cell>
          <cell r="C55">
            <v>9.3917670054656899E-2</v>
          </cell>
          <cell r="F55" t="str">
            <v>AXISCADES</v>
          </cell>
          <cell r="G55">
            <v>0.1796610169491526</v>
          </cell>
        </row>
        <row r="56">
          <cell r="B56" t="str">
            <v>SASKEN</v>
          </cell>
          <cell r="C56">
            <v>-2.3767246072902815E-2</v>
          </cell>
          <cell r="F56" t="str">
            <v>SASKEN</v>
          </cell>
          <cell r="G56">
            <v>-0.13662790697674421</v>
          </cell>
        </row>
        <row r="57">
          <cell r="B57" t="str">
            <v>VAKRANGEE</v>
          </cell>
          <cell r="C57">
            <v>-0.50306771631207348</v>
          </cell>
          <cell r="F57" t="str">
            <v>VAKRANGEE</v>
          </cell>
          <cell r="G57">
            <v>8.2191780821917915E-2</v>
          </cell>
        </row>
        <row r="80">
          <cell r="C80" t="str">
            <v>DEBT2EQUITY</v>
          </cell>
          <cell r="G80" t="str">
            <v>ICR</v>
          </cell>
          <cell r="K80" t="str">
            <v>DEBTRATIO</v>
          </cell>
        </row>
        <row r="81">
          <cell r="B81" t="str">
            <v>LTTS</v>
          </cell>
          <cell r="C81">
            <v>0.11535234899328858</v>
          </cell>
          <cell r="F81" t="str">
            <v>LTTS</v>
          </cell>
          <cell r="G81">
            <v>16.477272727272727</v>
          </cell>
          <cell r="J81" t="str">
            <v>LTTS</v>
          </cell>
          <cell r="K81">
            <v>0.37626459143968871</v>
          </cell>
        </row>
        <row r="82">
          <cell r="B82" t="str">
            <v>TATATECH</v>
          </cell>
          <cell r="C82">
            <v>9.3434343434343439E-2</v>
          </cell>
          <cell r="F82" t="str">
            <v>TATATECH</v>
          </cell>
          <cell r="G82">
            <v>40.388888888888886</v>
          </cell>
          <cell r="J82" t="str">
            <v>TATATECH</v>
          </cell>
          <cell r="K82">
            <v>0.44515752625437571</v>
          </cell>
        </row>
        <row r="83">
          <cell r="B83" t="str">
            <v>CYIENT</v>
          </cell>
          <cell r="C83">
            <v>0.2119537920642893</v>
          </cell>
          <cell r="F83" t="str">
            <v>CYIENT</v>
          </cell>
          <cell r="G83">
            <v>7.46</v>
          </cell>
          <cell r="J83" t="str">
            <v>CYIENT</v>
          </cell>
          <cell r="K83">
            <v>0.38910835214446954</v>
          </cell>
        </row>
        <row r="84">
          <cell r="B84" t="str">
            <v>AFFLE</v>
          </cell>
          <cell r="C84">
            <v>0.14495530012771393</v>
          </cell>
          <cell r="F84" t="str">
            <v>AFFLE</v>
          </cell>
          <cell r="G84">
            <v>21.727272727272727</v>
          </cell>
          <cell r="J84" t="str">
            <v>AFFLE</v>
          </cell>
          <cell r="K84">
            <v>0.31923076923076921</v>
          </cell>
        </row>
        <row r="85">
          <cell r="B85" t="str">
            <v>RSYSTEMINT</v>
          </cell>
          <cell r="C85">
            <v>0.21783876500857632</v>
          </cell>
          <cell r="F85" t="str">
            <v>RSYSTEMINT</v>
          </cell>
          <cell r="G85">
            <v>33</v>
          </cell>
          <cell r="J85" t="str">
            <v>RSYSTEMINT</v>
          </cell>
          <cell r="K85">
            <v>0.39076923076923076</v>
          </cell>
        </row>
        <row r="86">
          <cell r="B86" t="str">
            <v>EMUDHRA</v>
          </cell>
          <cell r="C86">
            <v>6.5789473684210523E-2</v>
          </cell>
          <cell r="F86" t="str">
            <v>EMUDHRA</v>
          </cell>
          <cell r="G86">
            <v>17.75</v>
          </cell>
          <cell r="J86" t="str">
            <v>EMUDHRA</v>
          </cell>
          <cell r="K86">
            <v>0.16829745596868884</v>
          </cell>
        </row>
        <row r="87">
          <cell r="B87" t="str">
            <v>PROTEAN</v>
          </cell>
          <cell r="C87">
            <v>2.2646007151370679E-2</v>
          </cell>
          <cell r="F87" t="str">
            <v>PROTEAN</v>
          </cell>
          <cell r="G87">
            <v>100</v>
          </cell>
          <cell r="J87" t="str">
            <v>PROTEAN</v>
          </cell>
          <cell r="K87">
            <v>0.26165803108808289</v>
          </cell>
        </row>
        <row r="88">
          <cell r="B88" t="str">
            <v>ZAGGLE</v>
          </cell>
          <cell r="C88">
            <v>0.14836223506743737</v>
          </cell>
          <cell r="F88" t="str">
            <v>ZAGGLE</v>
          </cell>
          <cell r="G88">
            <v>3.8181818181818183</v>
          </cell>
          <cell r="J88" t="str">
            <v>ZAGGLE</v>
          </cell>
          <cell r="K88">
            <v>0.18558282208588958</v>
          </cell>
        </row>
        <row r="89">
          <cell r="B89" t="str">
            <v>BBOX</v>
          </cell>
          <cell r="C89">
            <v>2.0943396226415096</v>
          </cell>
          <cell r="F89" t="str">
            <v>BBOX</v>
          </cell>
          <cell r="G89">
            <v>1.4864864864864864</v>
          </cell>
          <cell r="J89" t="str">
            <v>BBOX</v>
          </cell>
          <cell r="K89">
            <v>1.3019145802650958</v>
          </cell>
        </row>
        <row r="90">
          <cell r="B90" t="str">
            <v>BCG</v>
          </cell>
          <cell r="C90">
            <v>0</v>
          </cell>
          <cell r="F90" t="str">
            <v>BCG</v>
          </cell>
          <cell r="G90">
            <v>2174</v>
          </cell>
          <cell r="J90" t="str">
            <v>BCG</v>
          </cell>
          <cell r="K90">
            <v>0.85382912978119263</v>
          </cell>
        </row>
        <row r="91">
          <cell r="B91" t="str">
            <v>DATAMATICS</v>
          </cell>
          <cell r="C91">
            <v>1.4598540145985401E-2</v>
          </cell>
          <cell r="F91" t="str">
            <v>DATAMATICS</v>
          </cell>
          <cell r="G91">
            <v>69.333333333333329</v>
          </cell>
          <cell r="J91" t="str">
            <v>DATAMATICS</v>
          </cell>
          <cell r="K91">
            <v>0.19044170890658943</v>
          </cell>
        </row>
        <row r="92">
          <cell r="B92" t="str">
            <v>CIGNITI</v>
          </cell>
          <cell r="C92">
            <v>8.4243369734789394E-2</v>
          </cell>
          <cell r="F92" t="str">
            <v>CIGNITI</v>
          </cell>
          <cell r="G92">
            <v>52.75</v>
          </cell>
          <cell r="J92" t="str">
            <v>CIGNITI</v>
          </cell>
          <cell r="K92">
            <v>0.58552631578947367</v>
          </cell>
        </row>
        <row r="93">
          <cell r="B93" t="str">
            <v>AXISCADES</v>
          </cell>
          <cell r="C93">
            <v>1.2551319648093842</v>
          </cell>
          <cell r="F93" t="str">
            <v>AXISCADES</v>
          </cell>
          <cell r="G93">
            <v>3.1428571428571428</v>
          </cell>
          <cell r="J93" t="str">
            <v>AXISCADES</v>
          </cell>
          <cell r="K93">
            <v>0.64299610894941639</v>
          </cell>
        </row>
        <row r="94">
          <cell r="B94" t="str">
            <v>SASKEN</v>
          </cell>
          <cell r="C94">
            <v>2.309782608695652E-2</v>
          </cell>
          <cell r="F94" t="str">
            <v>SASKEN</v>
          </cell>
          <cell r="G94">
            <v>94</v>
          </cell>
          <cell r="J94" t="str">
            <v>SASKEN</v>
          </cell>
          <cell r="K94">
            <v>0.10900473933649289</v>
          </cell>
        </row>
        <row r="95">
          <cell r="B95" t="str">
            <v>VAKRANGEE</v>
          </cell>
          <cell r="C95">
            <v>4.0769230769230766</v>
          </cell>
          <cell r="F95" t="str">
            <v>VAKRANGEE</v>
          </cell>
          <cell r="G95">
            <v>1.6666666666666667</v>
          </cell>
          <cell r="J95" t="str">
            <v>VAKRANGEE</v>
          </cell>
          <cell r="K95">
            <v>0.60264900662251653</v>
          </cell>
        </row>
        <row r="117">
          <cell r="C117" t="str">
            <v>CY_MARGIN</v>
          </cell>
          <cell r="D117" t="str">
            <v>MARGIN_23</v>
          </cell>
          <cell r="H117" t="str">
            <v>CUR. RATIO</v>
          </cell>
          <cell r="L117" t="str">
            <v>TR.DAYS</v>
          </cell>
        </row>
        <row r="118">
          <cell r="B118" t="str">
            <v>LTTS</v>
          </cell>
          <cell r="C118">
            <v>0.13560275706850472</v>
          </cell>
          <cell r="D118">
            <v>0.14651191813303382</v>
          </cell>
          <cell r="G118" t="str">
            <v>LTTS</v>
          </cell>
          <cell r="H118">
            <v>2.3706788837984174</v>
          </cell>
          <cell r="K118" t="str">
            <v>LTTS</v>
          </cell>
          <cell r="L118">
            <v>124.26307250717585</v>
          </cell>
        </row>
        <row r="119">
          <cell r="B119" t="str">
            <v>TATATECH</v>
          </cell>
          <cell r="C119">
            <v>0.13679245283018868</v>
          </cell>
          <cell r="D119">
            <v>0.14136837335749886</v>
          </cell>
          <cell r="G119" t="str">
            <v>TATATECH</v>
          </cell>
          <cell r="H119">
            <v>1.781524926686217</v>
          </cell>
          <cell r="K119" t="str">
            <v>TATATECH</v>
          </cell>
          <cell r="L119">
            <v>101.21431807884005</v>
          </cell>
        </row>
        <row r="120">
          <cell r="B120" t="str">
            <v>CYIENT</v>
          </cell>
          <cell r="C120">
            <v>2.8944381384790011E-2</v>
          </cell>
          <cell r="D120">
            <v>8.5453034081463014E-2</v>
          </cell>
          <cell r="G120" t="str">
            <v>CYIENT</v>
          </cell>
          <cell r="H120">
            <v>1.9639121338912133</v>
          </cell>
          <cell r="K120" t="str">
            <v>CYIENT</v>
          </cell>
          <cell r="L120">
            <v>74.152950955943481</v>
          </cell>
        </row>
        <row r="121">
          <cell r="B121" t="str">
            <v>AFFLE</v>
          </cell>
          <cell r="C121">
            <v>0.15643712574850299</v>
          </cell>
          <cell r="D121">
            <v>0.17085076708507671</v>
          </cell>
          <cell r="G121" t="str">
            <v>AFFLE</v>
          </cell>
          <cell r="H121">
            <v>1.9134948096885813</v>
          </cell>
          <cell r="K121" t="str">
            <v>AFFLE</v>
          </cell>
          <cell r="L121">
            <v>70.505578800557885</v>
          </cell>
        </row>
        <row r="122">
          <cell r="B122" t="str">
            <v>RSYSTEMINT</v>
          </cell>
          <cell r="C122">
            <v>7.4132492113564666E-2</v>
          </cell>
          <cell r="D122">
            <v>9.2409240924092403E-2</v>
          </cell>
          <cell r="G122" t="str">
            <v>RSYSTEMINT</v>
          </cell>
          <cell r="H122">
            <v>2.7079037800687287</v>
          </cell>
          <cell r="K122" t="str">
            <v>RSYSTEMINT</v>
          </cell>
          <cell r="L122">
            <v>56.135313531353141</v>
          </cell>
        </row>
        <row r="123">
          <cell r="B123" t="str">
            <v>EMUDHRA</v>
          </cell>
          <cell r="C123">
            <v>0.20146520146520147</v>
          </cell>
          <cell r="D123">
            <v>0.24596774193548387</v>
          </cell>
          <cell r="G123" t="str">
            <v>EMUDHRA</v>
          </cell>
          <cell r="H123">
            <v>3.189189189189189</v>
          </cell>
          <cell r="K123" t="str">
            <v>EMUDHRA</v>
          </cell>
          <cell r="L123">
            <v>153.06451612903226</v>
          </cell>
        </row>
        <row r="124">
          <cell r="B124" t="str">
            <v>PROTEAN</v>
          </cell>
          <cell r="C124">
            <v>0.1244309559939302</v>
          </cell>
          <cell r="D124">
            <v>0.14439946018893388</v>
          </cell>
          <cell r="G124" t="str">
            <v>PROTEAN</v>
          </cell>
          <cell r="H124">
            <v>1.8594377510040161</v>
          </cell>
          <cell r="K124" t="str">
            <v>PROTEAN</v>
          </cell>
          <cell r="L124">
            <v>119.20377867746288</v>
          </cell>
        </row>
        <row r="125">
          <cell r="B125" t="str">
            <v>ZAGGLE</v>
          </cell>
          <cell r="C125">
            <v>4.9800796812749001E-2</v>
          </cell>
          <cell r="D125">
            <v>4.1591320072332731E-2</v>
          </cell>
          <cell r="G125" t="str">
            <v>ZAGGLE</v>
          </cell>
          <cell r="H125">
            <v>7.4691358024691361</v>
          </cell>
          <cell r="K125" t="str">
            <v>ZAGGLE</v>
          </cell>
          <cell r="L125">
            <v>79.86437613019892</v>
          </cell>
        </row>
        <row r="126">
          <cell r="B126" t="str">
            <v>BBOX</v>
          </cell>
          <cell r="C126">
            <v>2.0204124140804001E-2</v>
          </cell>
          <cell r="D126">
            <v>3.7696834738348973E-3</v>
          </cell>
          <cell r="G126" t="str">
            <v>BBOX</v>
          </cell>
          <cell r="H126">
            <v>1.0462012320328542</v>
          </cell>
          <cell r="K126" t="str">
            <v>BBOX</v>
          </cell>
          <cell r="L126">
            <v>24.906155559090188</v>
          </cell>
        </row>
        <row r="127">
          <cell r="B127" t="str">
            <v>BCG</v>
          </cell>
          <cell r="C127">
            <v>0.18603733894293978</v>
          </cell>
          <cell r="D127">
            <v>0.18534541030147356</v>
          </cell>
          <cell r="G127" t="str">
            <v>BCG</v>
          </cell>
          <cell r="H127" t="e">
            <v>#DIV/0!</v>
          </cell>
          <cell r="K127" t="str">
            <v>BCG</v>
          </cell>
          <cell r="L127">
            <v>147.63823171556035</v>
          </cell>
        </row>
        <row r="128">
          <cell r="B128" t="str">
            <v>DATAMATICS</v>
          </cell>
          <cell r="C128">
            <v>0.12752858399296393</v>
          </cell>
          <cell r="D128">
            <v>0.12679917751884853</v>
          </cell>
          <cell r="G128" t="str">
            <v>DATAMATICS</v>
          </cell>
          <cell r="H128">
            <v>4.9547738693467336</v>
          </cell>
          <cell r="K128" t="str">
            <v>DATAMATICS</v>
          </cell>
          <cell r="L128">
            <v>67.296093214530501</v>
          </cell>
        </row>
        <row r="129">
          <cell r="B129" t="str">
            <v>CIGNITI</v>
          </cell>
          <cell r="C129">
            <v>0.10154525386313466</v>
          </cell>
          <cell r="D129">
            <v>0.10200364298724955</v>
          </cell>
          <cell r="G129" t="str">
            <v>CIGNITI</v>
          </cell>
          <cell r="H129">
            <v>3.5566037735849059</v>
          </cell>
          <cell r="K129" t="str">
            <v>CIGNITI</v>
          </cell>
          <cell r="L129">
            <v>63.160291438979961</v>
          </cell>
        </row>
        <row r="130">
          <cell r="B130" t="str">
            <v>AXISCADES</v>
          </cell>
          <cell r="C130">
            <v>3.4482758620689655E-2</v>
          </cell>
          <cell r="D130">
            <v>-6.1500615006150061E-3</v>
          </cell>
          <cell r="G130" t="str">
            <v>AXISCADES</v>
          </cell>
          <cell r="H130">
            <v>1.7623456790123457</v>
          </cell>
          <cell r="K130" t="str">
            <v>AXISCADES</v>
          </cell>
          <cell r="L130">
            <v>99.667896678966798</v>
          </cell>
        </row>
        <row r="131">
          <cell r="B131" t="str">
            <v>SASKEN</v>
          </cell>
          <cell r="C131">
            <v>0.21885521885521886</v>
          </cell>
          <cell r="D131">
            <v>0.21748878923766815</v>
          </cell>
          <cell r="G131" t="str">
            <v>SASKEN</v>
          </cell>
          <cell r="H131">
            <v>2.3855421686746987</v>
          </cell>
          <cell r="K131" t="str">
            <v>SASKEN</v>
          </cell>
          <cell r="L131">
            <v>54.013452914798208</v>
          </cell>
        </row>
        <row r="132">
          <cell r="B132" t="str">
            <v>VAKRANGEE</v>
          </cell>
          <cell r="C132">
            <v>1.2658227848101266E-2</v>
          </cell>
          <cell r="D132">
            <v>5.076142131979695E-3</v>
          </cell>
          <cell r="G132" t="str">
            <v>VAKRANGEE</v>
          </cell>
          <cell r="H132">
            <v>1.0261437908496731</v>
          </cell>
          <cell r="K132" t="str">
            <v>VAKRANGEE</v>
          </cell>
          <cell r="L132">
            <v>70.406091370558372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2C796-58D9-44D8-AB73-14F2CBF764B0}">
  <sheetPr>
    <outlinePr summaryBelow="0" summaryRight="0"/>
  </sheetPr>
  <dimension ref="A1:AD1004"/>
  <sheetViews>
    <sheetView showGridLines="0" tabSelected="1" workbookViewId="0"/>
  </sheetViews>
  <sheetFormatPr defaultColWidth="12.6640625" defaultRowHeight="15.75" customHeight="1"/>
  <cols>
    <col min="1" max="1" width="11" customWidth="1"/>
    <col min="2" max="6" width="12.6640625" customWidth="1"/>
    <col min="17" max="17" width="14.33203125" customWidth="1"/>
  </cols>
  <sheetData>
    <row r="1" spans="1:22" ht="18">
      <c r="D1" s="1" t="s">
        <v>0</v>
      </c>
      <c r="E1" s="1" t="s">
        <v>1</v>
      </c>
      <c r="I1" s="1" t="s">
        <v>2</v>
      </c>
      <c r="R1" s="1" t="s">
        <v>3</v>
      </c>
    </row>
    <row r="2" spans="1:22" ht="18"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  <c r="K2" s="1" t="s">
        <v>13</v>
      </c>
      <c r="L2" s="1" t="s">
        <v>14</v>
      </c>
      <c r="M2" s="1" t="s">
        <v>15</v>
      </c>
      <c r="N2" s="1" t="s">
        <v>16</v>
      </c>
      <c r="O2" s="1" t="s">
        <v>17</v>
      </c>
      <c r="P2" s="1" t="s">
        <v>18</v>
      </c>
      <c r="Q2" s="1" t="s">
        <v>19</v>
      </c>
      <c r="R2" s="1" t="s">
        <v>20</v>
      </c>
      <c r="S2" s="1" t="s">
        <v>21</v>
      </c>
      <c r="T2" s="1" t="s">
        <v>22</v>
      </c>
      <c r="U2" s="1" t="s">
        <v>23</v>
      </c>
      <c r="V2" s="1" t="s">
        <v>24</v>
      </c>
    </row>
    <row r="3" spans="1:22" ht="14.4">
      <c r="B3" s="2" t="s">
        <v>25</v>
      </c>
      <c r="C3" s="3">
        <f ca="1">IFERROR(__xludf.DUMMYFUNCTION("GOOGLEFINANCE(""NSE:""&amp;B3,""price"")"),1532.55)</f>
        <v>1532.55</v>
      </c>
      <c r="D3" s="3">
        <f ca="1">IFERROR(__xludf.DUMMYFUNCTION("GOOGLEFINANCE((""NSE:""&amp;B3),""marketcap"")/10000000"),21408.1209235)</f>
        <v>21408.120923499999</v>
      </c>
      <c r="E3" s="3">
        <f t="shared" ref="E3:G3" si="0">D32</f>
        <v>2303.75</v>
      </c>
      <c r="F3" s="3">
        <f t="shared" si="0"/>
        <v>382.42250000000001</v>
      </c>
      <c r="G3" s="3">
        <f t="shared" si="0"/>
        <v>28.2639</v>
      </c>
      <c r="H3" s="4">
        <v>2</v>
      </c>
      <c r="I3" s="4">
        <v>28</v>
      </c>
      <c r="J3" s="3">
        <v>2470</v>
      </c>
      <c r="K3" s="4">
        <f>105+73</f>
        <v>178</v>
      </c>
      <c r="L3" s="5">
        <v>14</v>
      </c>
      <c r="M3" s="3">
        <v>1974</v>
      </c>
      <c r="N3" s="3">
        <v>643</v>
      </c>
      <c r="O3" s="6">
        <v>3283</v>
      </c>
      <c r="P3" s="3">
        <v>785</v>
      </c>
      <c r="Q3" s="3">
        <v>318</v>
      </c>
      <c r="R3" s="7">
        <v>116</v>
      </c>
      <c r="S3" s="7">
        <v>262</v>
      </c>
      <c r="T3" s="7">
        <v>-577</v>
      </c>
      <c r="U3" s="7">
        <v>783</v>
      </c>
      <c r="V3" s="7">
        <f t="shared" ref="V3:V4" si="1">SUM(S3:U3)</f>
        <v>468</v>
      </c>
    </row>
    <row r="4" spans="1:22" ht="14.4">
      <c r="B4" s="2" t="s">
        <v>26</v>
      </c>
      <c r="C4" s="3">
        <v>1041</v>
      </c>
      <c r="D4" s="8">
        <f>C4*(I3/H3)</f>
        <v>14574</v>
      </c>
      <c r="E4" s="2">
        <f t="shared" ref="E4:G4" si="2">D20</f>
        <v>1843</v>
      </c>
      <c r="F4" s="2">
        <f t="shared" si="2"/>
        <v>297</v>
      </c>
      <c r="G4" s="8">
        <f t="shared" si="2"/>
        <v>21.91</v>
      </c>
      <c r="H4" s="9">
        <v>2</v>
      </c>
      <c r="I4" s="9">
        <v>26.6</v>
      </c>
      <c r="J4" s="9">
        <v>1467</v>
      </c>
      <c r="K4" s="9">
        <f>52+51</f>
        <v>103</v>
      </c>
      <c r="L4" s="5">
        <v>7</v>
      </c>
      <c r="M4" s="3">
        <v>1163</v>
      </c>
      <c r="N4" s="3">
        <v>403</v>
      </c>
      <c r="O4" s="6">
        <v>2011</v>
      </c>
      <c r="P4" s="3">
        <v>544</v>
      </c>
      <c r="Q4" s="3">
        <v>245</v>
      </c>
      <c r="R4" s="7">
        <v>92</v>
      </c>
      <c r="S4" s="7">
        <v>260</v>
      </c>
      <c r="T4" s="7">
        <v>-197</v>
      </c>
      <c r="U4" s="7">
        <v>-59</v>
      </c>
      <c r="V4" s="7">
        <f t="shared" si="1"/>
        <v>4</v>
      </c>
    </row>
    <row r="5" spans="1:22" ht="14.4">
      <c r="B5" s="2" t="s">
        <v>27</v>
      </c>
      <c r="C5" s="10">
        <f t="shared" ref="C5:V5" ca="1" si="3">(C3/C4)-1</f>
        <v>0.47219020172910664</v>
      </c>
      <c r="D5" s="10">
        <f t="shared" ca="1" si="3"/>
        <v>0.46892554710443246</v>
      </c>
      <c r="E5" s="10">
        <f t="shared" si="3"/>
        <v>0.25</v>
      </c>
      <c r="F5" s="10">
        <f t="shared" si="3"/>
        <v>0.28761784511784527</v>
      </c>
      <c r="G5" s="10">
        <f t="shared" si="3"/>
        <v>0.29000000000000004</v>
      </c>
      <c r="H5" s="10">
        <f t="shared" si="3"/>
        <v>0</v>
      </c>
      <c r="I5" s="10">
        <f t="shared" si="3"/>
        <v>5.2631578947368363E-2</v>
      </c>
      <c r="J5" s="10">
        <f t="shared" si="3"/>
        <v>0.68370824812542597</v>
      </c>
      <c r="K5" s="10">
        <f t="shared" si="3"/>
        <v>0.72815533980582514</v>
      </c>
      <c r="L5" s="10">
        <f t="shared" si="3"/>
        <v>1</v>
      </c>
      <c r="M5" s="10">
        <f t="shared" si="3"/>
        <v>0.69733447979363716</v>
      </c>
      <c r="N5" s="10">
        <f t="shared" si="3"/>
        <v>0.59553349875930528</v>
      </c>
      <c r="O5" s="10">
        <f t="shared" si="3"/>
        <v>0.63252113376429642</v>
      </c>
      <c r="P5" s="10">
        <f t="shared" si="3"/>
        <v>0.44301470588235303</v>
      </c>
      <c r="Q5" s="10">
        <f t="shared" si="3"/>
        <v>0.29795918367346941</v>
      </c>
      <c r="R5" s="10">
        <f t="shared" si="3"/>
        <v>0.26086956521739135</v>
      </c>
      <c r="S5" s="10">
        <f t="shared" si="3"/>
        <v>7.692307692307665E-3</v>
      </c>
      <c r="T5" s="10">
        <f t="shared" si="3"/>
        <v>1.9289340101522843</v>
      </c>
      <c r="U5" s="10">
        <f t="shared" si="3"/>
        <v>-14.271186440677965</v>
      </c>
      <c r="V5" s="10">
        <f t="shared" si="3"/>
        <v>116</v>
      </c>
    </row>
    <row r="6" spans="1:22" ht="14.4">
      <c r="B6" s="11"/>
      <c r="C6" s="11"/>
      <c r="D6" s="11"/>
      <c r="E6" s="11"/>
      <c r="F6" s="11"/>
      <c r="G6" s="11"/>
      <c r="H6" s="11"/>
      <c r="I6" s="11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22" ht="14.4">
      <c r="B7" s="13" t="s">
        <v>27</v>
      </c>
      <c r="C7" s="13" t="s">
        <v>28</v>
      </c>
      <c r="D7" s="11"/>
      <c r="E7" s="11"/>
      <c r="F7" s="13" t="s">
        <v>29</v>
      </c>
      <c r="G7" s="11"/>
      <c r="H7" s="11"/>
      <c r="I7" s="13" t="s">
        <v>30</v>
      </c>
      <c r="J7" s="12"/>
      <c r="K7" s="12"/>
      <c r="L7" s="13" t="s">
        <v>31</v>
      </c>
      <c r="M7" s="12"/>
      <c r="N7" s="12"/>
      <c r="O7" s="12"/>
      <c r="P7" s="12"/>
      <c r="Q7" s="13" t="s">
        <v>32</v>
      </c>
      <c r="R7" s="12"/>
    </row>
    <row r="8" spans="1:22" ht="18">
      <c r="B8" s="1" t="s">
        <v>33</v>
      </c>
      <c r="C8" s="1" t="s">
        <v>34</v>
      </c>
      <c r="D8" s="1" t="s">
        <v>35</v>
      </c>
      <c r="E8" s="1" t="s">
        <v>36</v>
      </c>
      <c r="F8" s="1" t="s">
        <v>37</v>
      </c>
      <c r="G8" s="1" t="s">
        <v>38</v>
      </c>
      <c r="H8" s="1" t="s">
        <v>39</v>
      </c>
      <c r="I8" s="1" t="s">
        <v>40</v>
      </c>
      <c r="J8" s="1" t="s">
        <v>41</v>
      </c>
      <c r="K8" s="1" t="s">
        <v>42</v>
      </c>
      <c r="L8" s="1" t="s">
        <v>43</v>
      </c>
      <c r="M8" s="1" t="s">
        <v>44</v>
      </c>
      <c r="N8" s="1" t="s">
        <v>45</v>
      </c>
      <c r="O8" s="1" t="s">
        <v>46</v>
      </c>
      <c r="P8" s="1" t="s">
        <v>47</v>
      </c>
      <c r="Q8" s="1" t="s">
        <v>48</v>
      </c>
      <c r="R8" s="1" t="s">
        <v>49</v>
      </c>
      <c r="S8" s="1" t="s">
        <v>50</v>
      </c>
    </row>
    <row r="9" spans="1:22" ht="15" customHeight="1">
      <c r="B9" s="14">
        <f>M28</f>
        <v>0.28000000000000003</v>
      </c>
      <c r="C9" s="14">
        <f>M30</f>
        <v>0.16600000000000001</v>
      </c>
      <c r="D9" s="14">
        <f>M3/N3</f>
        <v>3.0699844479004668</v>
      </c>
      <c r="E9" s="6">
        <f>(Q3/E3)*365</f>
        <v>50.383071079761258</v>
      </c>
      <c r="F9" s="14">
        <f>K3/J3</f>
        <v>7.2064777327935217E-2</v>
      </c>
      <c r="G9" s="14">
        <f>P3/O3</f>
        <v>0.23911056960097471</v>
      </c>
      <c r="H9" s="3">
        <f>R38</f>
        <v>22.891891891891891</v>
      </c>
      <c r="I9" s="14">
        <f>F3/J3</f>
        <v>0.15482692307692308</v>
      </c>
      <c r="J9" s="14">
        <f>293/(O3-M3)</f>
        <v>0.22383498854087089</v>
      </c>
      <c r="K9" s="14">
        <f>F3/O3</f>
        <v>0.11648568382576911</v>
      </c>
      <c r="L9" s="3">
        <f ca="1">C3/G3</f>
        <v>54.222877946780166</v>
      </c>
      <c r="M9" s="15">
        <f ca="1">G3/C3</f>
        <v>1.8442399921699128E-2</v>
      </c>
      <c r="N9" s="3">
        <f>J3/(I3/H3)</f>
        <v>176.42857142857142</v>
      </c>
      <c r="O9" s="3">
        <f ca="1">C3/N9</f>
        <v>8.6865182186234815</v>
      </c>
      <c r="P9" s="16">
        <f ca="1">L36</f>
        <v>1.8673693188741318</v>
      </c>
      <c r="Q9" s="8">
        <f>S3-N3</f>
        <v>-381</v>
      </c>
      <c r="R9" s="2">
        <f>S3-K3</f>
        <v>84</v>
      </c>
      <c r="S9" s="7">
        <f>S3-R3</f>
        <v>146</v>
      </c>
    </row>
    <row r="10" spans="1:22" ht="1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22" ht="18">
      <c r="A11" s="1" t="s">
        <v>51</v>
      </c>
      <c r="B11" s="17" t="s">
        <v>52</v>
      </c>
      <c r="C11" s="18" t="s">
        <v>53</v>
      </c>
      <c r="D11" s="18" t="s">
        <v>54</v>
      </c>
      <c r="E11" s="18" t="s">
        <v>55</v>
      </c>
      <c r="F11" s="18" t="s">
        <v>9</v>
      </c>
      <c r="G11" s="18" t="s">
        <v>11</v>
      </c>
      <c r="H11" s="18" t="s">
        <v>56</v>
      </c>
      <c r="I11" s="18" t="s">
        <v>57</v>
      </c>
      <c r="J11" s="18" t="s">
        <v>58</v>
      </c>
      <c r="K11" s="18" t="s">
        <v>59</v>
      </c>
      <c r="L11" s="18" t="s">
        <v>60</v>
      </c>
      <c r="M11" s="18" t="s">
        <v>61</v>
      </c>
      <c r="N11" s="18" t="s">
        <v>62</v>
      </c>
    </row>
    <row r="12" spans="1:22" ht="14.4">
      <c r="B12" s="19" t="s">
        <v>63</v>
      </c>
      <c r="C12" s="20"/>
      <c r="D12" s="20">
        <v>72</v>
      </c>
      <c r="E12" s="20">
        <v>5</v>
      </c>
      <c r="F12" s="20">
        <v>3.11</v>
      </c>
      <c r="G12" s="20">
        <v>15.8</v>
      </c>
      <c r="H12" s="21"/>
      <c r="I12" s="21"/>
      <c r="J12" s="22">
        <f t="shared" ref="J12:J21" si="4">E12/D12</f>
        <v>6.9444444444444448E-2</v>
      </c>
      <c r="K12" s="23"/>
      <c r="L12" s="23"/>
      <c r="M12" s="20"/>
      <c r="N12" s="20"/>
    </row>
    <row r="13" spans="1:22" ht="14.4">
      <c r="B13" s="19" t="s">
        <v>64</v>
      </c>
      <c r="C13" s="20"/>
      <c r="D13" s="20">
        <v>66</v>
      </c>
      <c r="E13" s="20">
        <v>0.61</v>
      </c>
      <c r="F13" s="20">
        <v>0.25</v>
      </c>
      <c r="G13" s="23">
        <v>24.3</v>
      </c>
      <c r="H13" s="21"/>
      <c r="I13" s="21">
        <v>5</v>
      </c>
      <c r="J13" s="22">
        <f t="shared" si="4"/>
        <v>9.242424242424243E-3</v>
      </c>
      <c r="K13" s="23"/>
      <c r="L13" s="23"/>
      <c r="M13" s="20"/>
      <c r="N13" s="20"/>
    </row>
    <row r="14" spans="1:22" ht="14.4">
      <c r="B14" s="19" t="s">
        <v>65</v>
      </c>
      <c r="C14" s="20">
        <v>3.7</v>
      </c>
      <c r="D14" s="20">
        <v>167</v>
      </c>
      <c r="E14" s="20">
        <v>28</v>
      </c>
      <c r="F14" s="20">
        <v>4</v>
      </c>
      <c r="G14" s="23">
        <v>24.3</v>
      </c>
      <c r="H14" s="21"/>
      <c r="I14" s="21"/>
      <c r="J14" s="22">
        <f t="shared" si="4"/>
        <v>0.16766467065868262</v>
      </c>
      <c r="K14" s="20"/>
      <c r="L14" s="20"/>
      <c r="M14" s="20"/>
      <c r="N14" s="20"/>
    </row>
    <row r="15" spans="1:22" ht="14.4">
      <c r="B15" s="19" t="s">
        <v>66</v>
      </c>
      <c r="C15" s="20">
        <v>5.5</v>
      </c>
      <c r="D15" s="20">
        <v>249</v>
      </c>
      <c r="E15" s="20">
        <v>49</v>
      </c>
      <c r="F15" s="20">
        <v>20</v>
      </c>
      <c r="G15" s="23">
        <v>24.3</v>
      </c>
      <c r="H15" s="21">
        <v>48</v>
      </c>
      <c r="I15" s="21">
        <v>9</v>
      </c>
      <c r="J15" s="22">
        <f t="shared" si="4"/>
        <v>0.19678714859437751</v>
      </c>
      <c r="K15" s="20"/>
      <c r="L15" s="20"/>
      <c r="M15" s="20"/>
      <c r="N15" s="20"/>
    </row>
    <row r="16" spans="1:22" ht="14.4">
      <c r="A16" s="11" t="s">
        <v>67</v>
      </c>
      <c r="B16" s="19" t="s">
        <v>68</v>
      </c>
      <c r="C16" s="20">
        <v>7.2</v>
      </c>
      <c r="D16" s="20">
        <v>334</v>
      </c>
      <c r="E16" s="20">
        <v>66</v>
      </c>
      <c r="F16" s="20">
        <v>26</v>
      </c>
      <c r="G16" s="23">
        <v>25.5</v>
      </c>
      <c r="H16" s="21">
        <v>204</v>
      </c>
      <c r="I16" s="21">
        <v>64</v>
      </c>
      <c r="J16" s="22">
        <f t="shared" si="4"/>
        <v>0.19760479041916168</v>
      </c>
      <c r="K16" s="20">
        <v>2296</v>
      </c>
      <c r="L16" s="20">
        <v>751</v>
      </c>
      <c r="M16" s="20">
        <f t="shared" ref="M16:M21" si="5">K16/F16</f>
        <v>88.307692307692307</v>
      </c>
      <c r="N16" s="20">
        <f t="shared" ref="N16:N21" si="6">L16/F16</f>
        <v>28.884615384615383</v>
      </c>
    </row>
    <row r="17" spans="1:30" ht="14.4">
      <c r="B17" s="19" t="s">
        <v>69</v>
      </c>
      <c r="C17" s="20">
        <v>10.5</v>
      </c>
      <c r="D17" s="20">
        <v>517</v>
      </c>
      <c r="E17" s="20">
        <v>135</v>
      </c>
      <c r="F17" s="20">
        <v>53</v>
      </c>
      <c r="G17" s="23">
        <v>25.5</v>
      </c>
      <c r="H17" s="21">
        <v>246</v>
      </c>
      <c r="I17" s="21">
        <f>89+28</f>
        <v>117</v>
      </c>
      <c r="J17" s="22">
        <f t="shared" si="4"/>
        <v>0.26112185686653772</v>
      </c>
      <c r="K17" s="20">
        <f>1257*5</f>
        <v>6285</v>
      </c>
      <c r="L17" s="20">
        <f>187*5</f>
        <v>935</v>
      </c>
      <c r="M17" s="20">
        <f t="shared" si="5"/>
        <v>118.58490566037736</v>
      </c>
      <c r="N17" s="20">
        <f t="shared" si="6"/>
        <v>17.641509433962263</v>
      </c>
    </row>
    <row r="18" spans="1:30" ht="14.4">
      <c r="A18" s="24" t="s">
        <v>70</v>
      </c>
      <c r="B18" s="19" t="s">
        <v>71</v>
      </c>
      <c r="C18" s="25">
        <v>19.5</v>
      </c>
      <c r="D18" s="7">
        <v>1082</v>
      </c>
      <c r="E18" s="7">
        <v>215</v>
      </c>
      <c r="F18" s="25">
        <v>16.18</v>
      </c>
      <c r="G18" s="7">
        <v>27</v>
      </c>
      <c r="H18" s="7">
        <v>1152</v>
      </c>
      <c r="I18" s="7">
        <v>148</v>
      </c>
      <c r="J18" s="22">
        <f t="shared" si="4"/>
        <v>0.19870609981515711</v>
      </c>
      <c r="K18" s="7">
        <v>1511</v>
      </c>
      <c r="L18" s="7">
        <v>763</v>
      </c>
      <c r="M18" s="20">
        <f t="shared" si="5"/>
        <v>93.386897404202728</v>
      </c>
      <c r="N18" s="20">
        <f t="shared" si="6"/>
        <v>47.156983930778743</v>
      </c>
    </row>
    <row r="19" spans="1:30" ht="14.4">
      <c r="B19" s="19" t="s">
        <v>72</v>
      </c>
      <c r="C19" s="25">
        <v>25.7</v>
      </c>
      <c r="D19" s="7">
        <v>1434</v>
      </c>
      <c r="E19" s="7">
        <v>246</v>
      </c>
      <c r="F19" s="25">
        <v>18.43</v>
      </c>
      <c r="G19" s="7">
        <v>27</v>
      </c>
      <c r="H19" s="7">
        <v>1438</v>
      </c>
      <c r="I19" s="7">
        <v>103</v>
      </c>
      <c r="J19" s="22">
        <f t="shared" si="4"/>
        <v>0.17154811715481172</v>
      </c>
      <c r="K19" s="7">
        <v>1336</v>
      </c>
      <c r="L19" s="7">
        <v>871</v>
      </c>
      <c r="M19" s="20">
        <f t="shared" si="5"/>
        <v>72.490504612045584</v>
      </c>
      <c r="N19" s="20">
        <f t="shared" si="6"/>
        <v>47.259902333152468</v>
      </c>
    </row>
    <row r="20" spans="1:30" ht="14.4">
      <c r="B20" s="19" t="s">
        <v>73</v>
      </c>
      <c r="C20" s="25">
        <v>31.3</v>
      </c>
      <c r="D20" s="7">
        <v>1843</v>
      </c>
      <c r="E20" s="7">
        <v>297</v>
      </c>
      <c r="F20" s="25">
        <v>21.91</v>
      </c>
      <c r="G20" s="7">
        <v>28</v>
      </c>
      <c r="H20" s="7">
        <v>2470</v>
      </c>
      <c r="I20" s="7">
        <v>177</v>
      </c>
      <c r="J20" s="22">
        <f t="shared" si="4"/>
        <v>0.16115029842647857</v>
      </c>
      <c r="K20" s="7">
        <v>1327</v>
      </c>
      <c r="L20" s="7">
        <v>866</v>
      </c>
      <c r="M20" s="20">
        <f t="shared" si="5"/>
        <v>60.56595162026472</v>
      </c>
      <c r="N20" s="20">
        <f t="shared" si="6"/>
        <v>39.525330899132818</v>
      </c>
    </row>
    <row r="21" spans="1:30" ht="18">
      <c r="B21" s="19" t="s">
        <v>74</v>
      </c>
      <c r="C21" s="25"/>
      <c r="D21" s="7">
        <f>D20+R29-S29</f>
        <v>1956</v>
      </c>
      <c r="E21" s="7">
        <f>E20+R35-S35</f>
        <v>317</v>
      </c>
      <c r="F21" s="25">
        <v>23.36</v>
      </c>
      <c r="G21" s="7">
        <v>28</v>
      </c>
      <c r="H21" s="7">
        <v>2470</v>
      </c>
      <c r="I21" s="7">
        <v>177</v>
      </c>
      <c r="J21" s="22">
        <f t="shared" si="4"/>
        <v>0.16206543967280163</v>
      </c>
      <c r="K21" s="7">
        <v>1634</v>
      </c>
      <c r="L21" s="7">
        <v>1010</v>
      </c>
      <c r="M21" s="20">
        <f t="shared" si="5"/>
        <v>69.94863013698631</v>
      </c>
      <c r="N21" s="20">
        <f t="shared" si="6"/>
        <v>43.236301369863014</v>
      </c>
      <c r="Q21" s="1"/>
      <c r="R21" s="26"/>
      <c r="S21" s="26"/>
      <c r="T21" s="24"/>
      <c r="U21" s="24"/>
    </row>
    <row r="22" spans="1:30" ht="18">
      <c r="Q22" s="1" t="s">
        <v>75</v>
      </c>
      <c r="R22" s="27" t="s">
        <v>76</v>
      </c>
      <c r="S22" s="27" t="s">
        <v>77</v>
      </c>
      <c r="T22" s="24"/>
      <c r="U22" s="24"/>
    </row>
    <row r="23" spans="1:30" ht="18">
      <c r="A23" s="1" t="s">
        <v>77</v>
      </c>
      <c r="B23" s="28" t="s">
        <v>78</v>
      </c>
      <c r="C23" s="18" t="s">
        <v>79</v>
      </c>
      <c r="D23" s="18" t="s">
        <v>54</v>
      </c>
      <c r="E23" s="18" t="s">
        <v>55</v>
      </c>
      <c r="F23" s="18" t="s">
        <v>9</v>
      </c>
      <c r="G23" s="18" t="s">
        <v>11</v>
      </c>
      <c r="H23" s="18" t="s">
        <v>56</v>
      </c>
      <c r="I23" s="18" t="s">
        <v>57</v>
      </c>
      <c r="J23" s="18" t="s">
        <v>58</v>
      </c>
      <c r="K23" s="18" t="s">
        <v>59</v>
      </c>
      <c r="L23" s="18" t="s">
        <v>60</v>
      </c>
      <c r="M23" s="18" t="s">
        <v>61</v>
      </c>
      <c r="N23" s="18" t="s">
        <v>62</v>
      </c>
      <c r="O23" s="18" t="s">
        <v>80</v>
      </c>
      <c r="Q23" s="2" t="s">
        <v>81</v>
      </c>
      <c r="R23" s="29">
        <v>0.73199999999999998</v>
      </c>
      <c r="S23" s="14">
        <v>0.248</v>
      </c>
      <c r="T23" s="30"/>
      <c r="U23" s="30"/>
    </row>
    <row r="24" spans="1:30" ht="14.4">
      <c r="B24" s="19" t="s">
        <v>82</v>
      </c>
      <c r="C24" s="31">
        <f t="shared" ref="C24:E24" si="7">(C20/C15)^(1/5)-1</f>
        <v>0.41591221891963959</v>
      </c>
      <c r="D24" s="31">
        <f t="shared" si="7"/>
        <v>0.49233112714443505</v>
      </c>
      <c r="E24" s="31">
        <f t="shared" si="7"/>
        <v>0.4338775788539222</v>
      </c>
      <c r="F24" s="31">
        <f>((5*F20)/F15)^(1/5)-1</f>
        <v>0.40512990628025825</v>
      </c>
      <c r="G24" s="31">
        <f t="shared" ref="G24:I24" si="8">(G20/G15)^(1/5)-1</f>
        <v>2.8751192277290727E-2</v>
      </c>
      <c r="H24" s="31">
        <f t="shared" si="8"/>
        <v>1.1993337723303097</v>
      </c>
      <c r="I24" s="31">
        <f t="shared" si="8"/>
        <v>0.81445478934997162</v>
      </c>
      <c r="J24" s="31">
        <f>MEDIAN(J15:J20)</f>
        <v>0.1971959695067696</v>
      </c>
      <c r="K24" s="31">
        <f t="shared" ref="K24:L24" si="9">((5*K20)/K16)^(1/4)-1</f>
        <v>0.30381886589225582</v>
      </c>
      <c r="L24" s="31">
        <f t="shared" si="9"/>
        <v>0.54957281901075916</v>
      </c>
      <c r="M24" s="32">
        <f t="shared" ref="M24:N24" si="10">MEDIAN(M15:M20)</f>
        <v>88.307692307692307</v>
      </c>
      <c r="N24" s="32">
        <f t="shared" si="10"/>
        <v>39.525330899132818</v>
      </c>
      <c r="O24" s="5">
        <f t="shared" ref="O24:O25" si="11">AVERAGE(M24:N24)</f>
        <v>63.916511603412559</v>
      </c>
      <c r="Q24" s="2" t="s">
        <v>83</v>
      </c>
      <c r="R24" s="29">
        <v>0.26800000000000002</v>
      </c>
      <c r="S24" s="14">
        <v>0.36899999999999999</v>
      </c>
      <c r="T24" s="30"/>
      <c r="U24" s="30"/>
    </row>
    <row r="25" spans="1:30" ht="14.4">
      <c r="B25" s="19" t="s">
        <v>84</v>
      </c>
      <c r="C25" s="31">
        <f t="shared" ref="C25:I25" si="12">(C20/C19)-1</f>
        <v>0.21789883268482502</v>
      </c>
      <c r="D25" s="31">
        <f t="shared" si="12"/>
        <v>0.28521617852161785</v>
      </c>
      <c r="E25" s="31">
        <f t="shared" si="12"/>
        <v>0.20731707317073167</v>
      </c>
      <c r="F25" s="31">
        <f t="shared" si="12"/>
        <v>0.18882257189365159</v>
      </c>
      <c r="G25" s="31">
        <f t="shared" si="12"/>
        <v>3.7037037037036979E-2</v>
      </c>
      <c r="H25" s="31">
        <f t="shared" si="12"/>
        <v>0.71766342141863704</v>
      </c>
      <c r="I25" s="31">
        <f t="shared" si="12"/>
        <v>0.71844660194174748</v>
      </c>
      <c r="J25" s="31">
        <f>J20</f>
        <v>0.16115029842647857</v>
      </c>
      <c r="K25" s="31">
        <f t="shared" ref="K25:L25" si="13">(K20/K19)-1</f>
        <v>-6.7365269461078237E-3</v>
      </c>
      <c r="L25" s="31">
        <f t="shared" si="13"/>
        <v>-5.7405281285878296E-3</v>
      </c>
      <c r="M25" s="32">
        <f t="shared" ref="M25:N25" si="14">M20</f>
        <v>60.56595162026472</v>
      </c>
      <c r="N25" s="32">
        <f t="shared" si="14"/>
        <v>39.525330899132818</v>
      </c>
      <c r="O25" s="5">
        <f t="shared" si="11"/>
        <v>50.045641259698769</v>
      </c>
    </row>
    <row r="26" spans="1:30" ht="14.4">
      <c r="B26" s="33"/>
      <c r="C26" s="34"/>
      <c r="D26" s="34"/>
      <c r="E26" s="11"/>
      <c r="F26" s="34"/>
      <c r="G26" s="11"/>
      <c r="H26" s="34"/>
      <c r="I26" s="35"/>
      <c r="J26" s="35"/>
      <c r="K26" s="36"/>
      <c r="L26" s="36"/>
      <c r="M26" s="36"/>
      <c r="Q26" s="37" t="s">
        <v>85</v>
      </c>
      <c r="R26" s="37" t="s">
        <v>86</v>
      </c>
      <c r="S26" s="37" t="s">
        <v>87</v>
      </c>
      <c r="T26" s="37" t="s">
        <v>77</v>
      </c>
      <c r="U26" s="35"/>
      <c r="V26" s="37" t="s">
        <v>88</v>
      </c>
      <c r="W26" s="37" t="s">
        <v>88</v>
      </c>
      <c r="X26" s="37" t="s">
        <v>89</v>
      </c>
      <c r="Y26" s="37" t="s">
        <v>77</v>
      </c>
      <c r="AA26" s="37" t="s">
        <v>85</v>
      </c>
      <c r="AB26" s="37" t="s">
        <v>90</v>
      </c>
      <c r="AC26" s="37" t="s">
        <v>91</v>
      </c>
      <c r="AD26" s="37" t="s">
        <v>77</v>
      </c>
    </row>
    <row r="27" spans="1:30" ht="18">
      <c r="A27" s="1" t="s">
        <v>92</v>
      </c>
      <c r="B27" s="38" t="s">
        <v>93</v>
      </c>
      <c r="C27" s="18" t="s">
        <v>79</v>
      </c>
      <c r="D27" s="18" t="s">
        <v>54</v>
      </c>
      <c r="E27" s="18" t="s">
        <v>55</v>
      </c>
      <c r="F27" s="18" t="s">
        <v>9</v>
      </c>
      <c r="G27" s="18" t="s">
        <v>94</v>
      </c>
      <c r="I27" s="28" t="s">
        <v>95</v>
      </c>
      <c r="J27" s="39" t="s">
        <v>96</v>
      </c>
      <c r="K27" s="39" t="s">
        <v>97</v>
      </c>
      <c r="L27" s="39" t="s">
        <v>98</v>
      </c>
      <c r="M27" s="39" t="s">
        <v>99</v>
      </c>
      <c r="N27" s="39" t="s">
        <v>100</v>
      </c>
      <c r="Q27" s="2" t="s">
        <v>101</v>
      </c>
      <c r="R27" s="4">
        <v>90.8</v>
      </c>
      <c r="S27" s="4">
        <v>61.9</v>
      </c>
      <c r="T27" s="40">
        <f t="shared" ref="T27:T36" si="15">(R27/S27)^(1/1)-1</f>
        <v>0.46688206785137321</v>
      </c>
      <c r="U27" s="11"/>
      <c r="V27" s="2" t="s">
        <v>79</v>
      </c>
      <c r="W27" s="4"/>
      <c r="X27" s="4"/>
      <c r="Y27" s="40"/>
      <c r="AA27" s="2" t="s">
        <v>79</v>
      </c>
      <c r="AB27" s="4">
        <v>31.28</v>
      </c>
      <c r="AC27" s="4">
        <v>19.53</v>
      </c>
      <c r="AD27" s="40">
        <f t="shared" ref="AD27:AD33" si="16">(AB27/AC27)^(1/1)-1</f>
        <v>0.60163850486431136</v>
      </c>
    </row>
    <row r="28" spans="1:30" ht="14.4">
      <c r="B28" s="19" t="s">
        <v>102</v>
      </c>
      <c r="C28" s="41">
        <v>0.15</v>
      </c>
      <c r="D28" s="42">
        <v>0.2</v>
      </c>
      <c r="E28" s="42">
        <v>0.2</v>
      </c>
      <c r="F28" s="42">
        <v>0.2</v>
      </c>
      <c r="G28" s="43">
        <v>0.17899999999999999</v>
      </c>
      <c r="I28" s="44" t="s">
        <v>103</v>
      </c>
      <c r="J28" s="45">
        <v>0.19</v>
      </c>
      <c r="K28" s="45">
        <v>0.24</v>
      </c>
      <c r="L28" s="45">
        <v>0.28999999999999998</v>
      </c>
      <c r="M28" s="45">
        <v>0.28000000000000003</v>
      </c>
      <c r="N28" s="45">
        <v>0.25</v>
      </c>
      <c r="Q28" s="2" t="s">
        <v>104</v>
      </c>
      <c r="R28" s="4">
        <v>57</v>
      </c>
      <c r="S28" s="4">
        <v>52.1</v>
      </c>
      <c r="T28" s="40">
        <f t="shared" si="15"/>
        <v>9.4049904030710119E-2</v>
      </c>
      <c r="U28" s="11"/>
      <c r="V28" s="2" t="s">
        <v>104</v>
      </c>
      <c r="W28" s="4">
        <v>57</v>
      </c>
      <c r="X28" s="4">
        <v>51</v>
      </c>
      <c r="Y28" s="40">
        <f t="shared" ref="Y28:Y33" si="17">(W28/X28)^(1/1)-1</f>
        <v>0.11764705882352944</v>
      </c>
      <c r="AA28" s="2" t="s">
        <v>104</v>
      </c>
      <c r="AB28" s="4">
        <v>56.2</v>
      </c>
      <c r="AC28" s="4">
        <v>49.9</v>
      </c>
      <c r="AD28" s="40">
        <f t="shared" si="16"/>
        <v>0.12625250501002006</v>
      </c>
    </row>
    <row r="29" spans="1:30" ht="14.4">
      <c r="B29" s="19" t="s">
        <v>105</v>
      </c>
      <c r="C29" s="41">
        <v>0.15</v>
      </c>
      <c r="D29" s="42">
        <v>0.25</v>
      </c>
      <c r="E29" s="31">
        <f>(E32/E20)-1</f>
        <v>0.28761784511784527</v>
      </c>
      <c r="F29" s="31">
        <v>0.28999999999999998</v>
      </c>
      <c r="G29" s="43">
        <v>0.16600000000000001</v>
      </c>
      <c r="I29" s="44" t="s">
        <v>106</v>
      </c>
      <c r="J29" s="45">
        <v>0.17</v>
      </c>
      <c r="K29" s="45">
        <v>0.14000000000000001</v>
      </c>
      <c r="L29" s="45">
        <v>0.21</v>
      </c>
      <c r="M29" s="45">
        <v>0.3</v>
      </c>
      <c r="N29" s="45">
        <v>0.28999999999999998</v>
      </c>
      <c r="Q29" s="2" t="s">
        <v>107</v>
      </c>
      <c r="R29" s="4">
        <v>519</v>
      </c>
      <c r="S29" s="4">
        <v>406</v>
      </c>
      <c r="T29" s="40">
        <f t="shared" si="15"/>
        <v>0.2783251231527093</v>
      </c>
      <c r="U29" s="35"/>
      <c r="V29" s="2" t="s">
        <v>107</v>
      </c>
      <c r="W29" s="4">
        <v>506</v>
      </c>
      <c r="X29" s="4">
        <v>355</v>
      </c>
      <c r="Y29" s="40">
        <f t="shared" si="17"/>
        <v>0.42535211267605644</v>
      </c>
      <c r="AA29" s="2" t="s">
        <v>107</v>
      </c>
      <c r="AB29" s="4">
        <v>1843</v>
      </c>
      <c r="AC29" s="4">
        <v>1434</v>
      </c>
      <c r="AD29" s="40">
        <f t="shared" si="16"/>
        <v>0.28521617852161785</v>
      </c>
    </row>
    <row r="30" spans="1:30" ht="14.4">
      <c r="B30" s="24"/>
      <c r="C30" s="46"/>
      <c r="D30" s="46"/>
      <c r="E30" s="46"/>
      <c r="I30" s="2" t="s">
        <v>94</v>
      </c>
      <c r="J30" s="47">
        <v>0.159</v>
      </c>
      <c r="K30" s="48">
        <v>0.157</v>
      </c>
      <c r="L30" s="48">
        <v>0.161</v>
      </c>
      <c r="M30" s="48">
        <v>0.16600000000000001</v>
      </c>
      <c r="N30" s="47">
        <v>0.16600000000000001</v>
      </c>
      <c r="Q30" s="2" t="s">
        <v>108</v>
      </c>
      <c r="R30" s="4">
        <v>438</v>
      </c>
      <c r="S30" s="4">
        <v>346</v>
      </c>
      <c r="T30" s="49">
        <f t="shared" si="15"/>
        <v>0.26589595375722541</v>
      </c>
      <c r="U30" s="11"/>
      <c r="V30" s="2" t="s">
        <v>108</v>
      </c>
      <c r="W30" s="4">
        <v>433</v>
      </c>
      <c r="X30" s="4">
        <v>303</v>
      </c>
      <c r="Y30" s="49">
        <f t="shared" si="17"/>
        <v>0.42904290429042913</v>
      </c>
      <c r="AA30" s="2" t="s">
        <v>108</v>
      </c>
      <c r="AB30" s="4">
        <v>1573</v>
      </c>
      <c r="AC30" s="4">
        <v>1206</v>
      </c>
      <c r="AD30" s="49">
        <f t="shared" si="16"/>
        <v>0.30431177446102819</v>
      </c>
    </row>
    <row r="31" spans="1:30" ht="18">
      <c r="A31" s="1" t="s">
        <v>109</v>
      </c>
      <c r="B31" s="38" t="s">
        <v>110</v>
      </c>
      <c r="C31" s="18" t="s">
        <v>79</v>
      </c>
      <c r="D31" s="18" t="s">
        <v>54</v>
      </c>
      <c r="E31" s="18" t="s">
        <v>55</v>
      </c>
      <c r="F31" s="18" t="s">
        <v>9</v>
      </c>
      <c r="G31" s="18" t="s">
        <v>111</v>
      </c>
      <c r="N31" s="50"/>
      <c r="Q31" s="7" t="s">
        <v>112</v>
      </c>
      <c r="R31" s="7">
        <f t="shared" ref="R31:S31" si="18">R29-(R41+R42+R45)</f>
        <v>104</v>
      </c>
      <c r="S31" s="7">
        <f t="shared" si="18"/>
        <v>78</v>
      </c>
      <c r="T31" s="49">
        <f t="shared" si="15"/>
        <v>0.33333333333333326</v>
      </c>
      <c r="V31" s="2" t="s">
        <v>113</v>
      </c>
      <c r="W31" s="4">
        <v>5</v>
      </c>
      <c r="X31" s="4">
        <v>3</v>
      </c>
      <c r="Y31" s="51">
        <f t="shared" si="17"/>
        <v>0.66666666666666674</v>
      </c>
      <c r="AA31" s="2" t="s">
        <v>113</v>
      </c>
      <c r="AB31" s="4">
        <v>19</v>
      </c>
      <c r="AC31" s="4">
        <v>11</v>
      </c>
      <c r="AD31" s="51">
        <f t="shared" si="16"/>
        <v>0.72727272727272729</v>
      </c>
    </row>
    <row r="32" spans="1:30" ht="18">
      <c r="B32" s="19" t="s">
        <v>114</v>
      </c>
      <c r="C32" s="52">
        <f t="shared" ref="C32:D32" si="19">FV(C29,1,0,-C20,0)</f>
        <v>35.994999999999997</v>
      </c>
      <c r="D32" s="52">
        <f t="shared" si="19"/>
        <v>2303.75</v>
      </c>
      <c r="E32" s="52">
        <f>D32*G29</f>
        <v>382.42250000000001</v>
      </c>
      <c r="F32" s="53">
        <f>FV(F29,1,0,-F20,0)</f>
        <v>28.2639</v>
      </c>
      <c r="G32" s="54">
        <f t="shared" ref="G32:G34" si="20">F32*40</f>
        <v>1130.556</v>
      </c>
      <c r="I32" s="28" t="s">
        <v>115</v>
      </c>
      <c r="J32" s="28" t="s">
        <v>116</v>
      </c>
      <c r="K32" s="28" t="s">
        <v>117</v>
      </c>
      <c r="L32" s="28" t="s">
        <v>118</v>
      </c>
      <c r="M32" s="28" t="s">
        <v>119</v>
      </c>
      <c r="Q32" s="2" t="s">
        <v>113</v>
      </c>
      <c r="R32" s="4">
        <v>3.7</v>
      </c>
      <c r="S32" s="4">
        <v>3.4</v>
      </c>
      <c r="T32" s="49">
        <f t="shared" si="15"/>
        <v>8.8235294117647189E-2</v>
      </c>
      <c r="U32" s="11"/>
      <c r="V32" s="2" t="s">
        <v>120</v>
      </c>
      <c r="W32" s="4">
        <v>87</v>
      </c>
      <c r="X32" s="4">
        <v>62</v>
      </c>
      <c r="Y32" s="55">
        <f t="shared" si="17"/>
        <v>0.40322580645161299</v>
      </c>
      <c r="AA32" s="2" t="s">
        <v>120</v>
      </c>
      <c r="AB32" s="4">
        <v>297</v>
      </c>
      <c r="AC32" s="4">
        <v>246</v>
      </c>
      <c r="AD32" s="55">
        <f t="shared" si="16"/>
        <v>0.20731707317073167</v>
      </c>
    </row>
    <row r="33" spans="2:30" ht="14.4">
      <c r="B33" s="19" t="s">
        <v>121</v>
      </c>
      <c r="C33" s="52">
        <f t="shared" ref="C33:D33" si="21">FV(C28,5,0,-C32,0)</f>
        <v>72.398801964062471</v>
      </c>
      <c r="D33" s="52">
        <f t="shared" si="21"/>
        <v>5732.4672</v>
      </c>
      <c r="E33" s="52">
        <f>D33*G28</f>
        <v>1026.1116288000001</v>
      </c>
      <c r="F33" s="52">
        <f>(E33*F32)/E32</f>
        <v>75.837369572240959</v>
      </c>
      <c r="G33" s="54">
        <f t="shared" si="20"/>
        <v>3033.4947828896384</v>
      </c>
      <c r="I33" s="56">
        <v>5.01</v>
      </c>
      <c r="J33" s="56">
        <v>5.72</v>
      </c>
      <c r="K33" s="56">
        <v>6.45</v>
      </c>
      <c r="L33" s="56">
        <v>6.18</v>
      </c>
      <c r="M33" s="56">
        <f>SUM(I33:L33)</f>
        <v>23.36</v>
      </c>
      <c r="Q33" s="7" t="s">
        <v>122</v>
      </c>
      <c r="R33" s="7">
        <f t="shared" ref="R33:S33" si="22">R31-R32</f>
        <v>100.3</v>
      </c>
      <c r="S33" s="7">
        <f t="shared" si="22"/>
        <v>74.599999999999994</v>
      </c>
      <c r="T33" s="49">
        <f t="shared" si="15"/>
        <v>0.3445040214477213</v>
      </c>
      <c r="V33" s="2" t="s">
        <v>9</v>
      </c>
      <c r="W33" s="4">
        <v>6.45</v>
      </c>
      <c r="X33" s="4">
        <v>4.68</v>
      </c>
      <c r="Y33" s="57">
        <f t="shared" si="17"/>
        <v>0.37820512820512842</v>
      </c>
      <c r="AA33" s="2" t="s">
        <v>9</v>
      </c>
      <c r="AB33" s="4">
        <v>21.91</v>
      </c>
      <c r="AC33" s="4">
        <v>18.43</v>
      </c>
      <c r="AD33" s="57">
        <f t="shared" si="16"/>
        <v>0.18882257189365159</v>
      </c>
    </row>
    <row r="34" spans="2:30" ht="14.4">
      <c r="B34" s="19" t="s">
        <v>123</v>
      </c>
      <c r="C34" s="52">
        <f t="shared" ref="C34:F34" si="23">FV(C28,5,0,-C33,0)</f>
        <v>145.61985069680611</v>
      </c>
      <c r="D34" s="52">
        <f t="shared" si="23"/>
        <v>14264.212783104</v>
      </c>
      <c r="E34" s="52">
        <f t="shared" si="23"/>
        <v>2553.2940881756158</v>
      </c>
      <c r="F34" s="52">
        <f t="shared" si="23"/>
        <v>188.7076434539986</v>
      </c>
      <c r="G34" s="54">
        <f t="shared" si="20"/>
        <v>7548.3057381599438</v>
      </c>
      <c r="Q34" s="7" t="s">
        <v>124</v>
      </c>
      <c r="R34" s="7">
        <f t="shared" ref="R34:S34" si="24">R33-R44</f>
        <v>81.3</v>
      </c>
      <c r="S34" s="7">
        <f t="shared" si="24"/>
        <v>60.599999999999994</v>
      </c>
      <c r="T34" s="49">
        <f t="shared" si="15"/>
        <v>0.34158415841584167</v>
      </c>
      <c r="V34" s="2" t="s">
        <v>125</v>
      </c>
      <c r="W34" s="15">
        <f t="shared" ref="W34:X34" si="25">W32/W29</f>
        <v>0.17193675889328064</v>
      </c>
      <c r="X34" s="15">
        <f t="shared" si="25"/>
        <v>0.17464788732394365</v>
      </c>
      <c r="Y34" s="58">
        <f t="shared" ref="Y34:Y35" si="26">W34-X34</f>
        <v>-2.7111284306630123E-3</v>
      </c>
      <c r="AA34" s="2" t="s">
        <v>125</v>
      </c>
      <c r="AB34" s="15">
        <f t="shared" ref="AB34:AC34" si="27">AB32/AB29</f>
        <v>0.16115029842647857</v>
      </c>
      <c r="AC34" s="15">
        <f t="shared" si="27"/>
        <v>0.17154811715481172</v>
      </c>
      <c r="AD34" s="58">
        <f t="shared" ref="AD34:AD35" si="28">AB34-AC34</f>
        <v>-1.0397818728333147E-2</v>
      </c>
    </row>
    <row r="35" spans="2:30" ht="18">
      <c r="I35" s="59" t="s">
        <v>126</v>
      </c>
      <c r="J35" s="59" t="s">
        <v>127</v>
      </c>
      <c r="K35" s="59" t="s">
        <v>128</v>
      </c>
      <c r="L35" s="59" t="s">
        <v>47</v>
      </c>
      <c r="Q35" s="2" t="s">
        <v>120</v>
      </c>
      <c r="R35" s="4">
        <v>86</v>
      </c>
      <c r="S35" s="4">
        <v>66</v>
      </c>
      <c r="T35" s="49">
        <f t="shared" si="15"/>
        <v>0.30303030303030298</v>
      </c>
      <c r="U35" s="60"/>
      <c r="V35" s="2" t="s">
        <v>39</v>
      </c>
      <c r="W35" s="3">
        <f t="shared" ref="W35:X35" si="29">(W29-W30+W31)/W31</f>
        <v>15.6</v>
      </c>
      <c r="X35" s="3">
        <f t="shared" si="29"/>
        <v>18.333333333333332</v>
      </c>
      <c r="Y35" s="61">
        <f t="shared" si="26"/>
        <v>-2.7333333333333325</v>
      </c>
      <c r="AA35" s="2" t="s">
        <v>39</v>
      </c>
      <c r="AB35" s="3">
        <f t="shared" ref="AB35:AC35" si="30">(AB29-AB30+AB31)/AB31</f>
        <v>15.210526315789474</v>
      </c>
      <c r="AC35" s="3">
        <f t="shared" si="30"/>
        <v>21.727272727272727</v>
      </c>
      <c r="AD35" s="61">
        <f t="shared" si="28"/>
        <v>-6.5167464114832523</v>
      </c>
    </row>
    <row r="36" spans="2:30" ht="14.4">
      <c r="B36" s="62"/>
      <c r="C36" s="63"/>
      <c r="D36" s="63"/>
      <c r="E36" s="63"/>
      <c r="F36" s="64"/>
      <c r="I36" s="65">
        <v>21.91</v>
      </c>
      <c r="J36" s="65">
        <v>23.36</v>
      </c>
      <c r="K36" s="65">
        <v>28.3</v>
      </c>
      <c r="L36" s="66">
        <f ca="1">K38/29</f>
        <v>1.8673693188741318</v>
      </c>
      <c r="Q36" s="2" t="s">
        <v>9</v>
      </c>
      <c r="R36" s="4">
        <v>6.18</v>
      </c>
      <c r="S36" s="4">
        <v>4.97</v>
      </c>
      <c r="T36" s="57">
        <f t="shared" si="15"/>
        <v>0.24346076458752508</v>
      </c>
      <c r="U36" s="11"/>
    </row>
    <row r="37" spans="2:30" ht="18">
      <c r="G37" s="67"/>
      <c r="I37" s="59" t="s">
        <v>129</v>
      </c>
      <c r="J37" s="59" t="s">
        <v>130</v>
      </c>
      <c r="K37" s="59" t="s">
        <v>131</v>
      </c>
      <c r="L37" s="68"/>
      <c r="Q37" s="2" t="s">
        <v>125</v>
      </c>
      <c r="R37" s="15">
        <f t="shared" ref="R37:S37" si="31">R35/R29</f>
        <v>0.16570327552986513</v>
      </c>
      <c r="S37" s="15">
        <f t="shared" si="31"/>
        <v>0.1625615763546798</v>
      </c>
      <c r="T37" s="58">
        <f t="shared" ref="T37:T38" si="32">R37-S37</f>
        <v>3.1416991751853363E-3</v>
      </c>
      <c r="U37" s="60"/>
    </row>
    <row r="38" spans="2:30" ht="14.4">
      <c r="I38" s="65">
        <f>C4/I36</f>
        <v>47.512551346417162</v>
      </c>
      <c r="J38" s="65">
        <f ca="1">C3/J36</f>
        <v>65.605736301369859</v>
      </c>
      <c r="K38" s="65">
        <f ca="1">C3/K36</f>
        <v>54.153710247349821</v>
      </c>
      <c r="L38" s="68"/>
      <c r="Q38" s="2" t="s">
        <v>39</v>
      </c>
      <c r="R38" s="3">
        <f t="shared" ref="R38:S38" si="33">(R29-R30+R32)/R32</f>
        <v>22.891891891891891</v>
      </c>
      <c r="S38" s="3">
        <f t="shared" si="33"/>
        <v>18.647058823529413</v>
      </c>
      <c r="T38" s="61">
        <f t="shared" si="32"/>
        <v>4.2448330683624782</v>
      </c>
    </row>
    <row r="39" spans="2:30" ht="13.8"/>
    <row r="40" spans="2:30" ht="18">
      <c r="D40" s="35"/>
      <c r="I40" s="28" t="s">
        <v>132</v>
      </c>
      <c r="J40" s="17" t="s">
        <v>133</v>
      </c>
      <c r="K40" s="17" t="s">
        <v>134</v>
      </c>
      <c r="Q40" s="1" t="s">
        <v>135</v>
      </c>
      <c r="R40" s="37" t="s">
        <v>86</v>
      </c>
      <c r="S40" s="37" t="s">
        <v>87</v>
      </c>
      <c r="T40" s="27" t="s">
        <v>136</v>
      </c>
      <c r="U40" s="18" t="s">
        <v>77</v>
      </c>
    </row>
    <row r="41" spans="2:30" ht="14.4">
      <c r="I41" s="7" t="s">
        <v>137</v>
      </c>
      <c r="J41" s="7">
        <v>68.400000000000006</v>
      </c>
      <c r="K41" s="7">
        <v>59.9</v>
      </c>
      <c r="L41" s="50"/>
      <c r="Q41" s="2" t="s">
        <v>138</v>
      </c>
      <c r="R41" s="4">
        <v>320</v>
      </c>
      <c r="S41" s="4">
        <v>248</v>
      </c>
      <c r="T41" s="10">
        <f t="shared" ref="T41:T45" si="34">R41/$R$47</f>
        <v>0.731094356865433</v>
      </c>
      <c r="U41" s="40">
        <f t="shared" ref="U41:U45" si="35">(R41/S41)^(1/1)-1</f>
        <v>0.29032258064516125</v>
      </c>
    </row>
    <row r="42" spans="2:30" ht="14.4">
      <c r="I42" s="7" t="s">
        <v>139</v>
      </c>
      <c r="J42" s="7">
        <v>7.27</v>
      </c>
      <c r="K42" s="7">
        <v>10.55</v>
      </c>
      <c r="Q42" s="2" t="s">
        <v>140</v>
      </c>
      <c r="R42" s="4">
        <v>59</v>
      </c>
      <c r="S42" s="4">
        <v>56</v>
      </c>
      <c r="T42" s="10">
        <f t="shared" si="34"/>
        <v>0.13479552204706421</v>
      </c>
      <c r="U42" s="49">
        <f t="shared" si="35"/>
        <v>5.3571428571428603E-2</v>
      </c>
    </row>
    <row r="43" spans="2:30" ht="14.4">
      <c r="I43" s="7" t="s">
        <v>141</v>
      </c>
      <c r="J43" s="7">
        <f>6.34+7.86</f>
        <v>14.2</v>
      </c>
      <c r="K43" s="7">
        <f>12.66+3.09</f>
        <v>15.75</v>
      </c>
      <c r="Q43" s="2" t="s">
        <v>113</v>
      </c>
      <c r="R43" s="4">
        <v>3.7</v>
      </c>
      <c r="S43" s="4">
        <v>3.4</v>
      </c>
      <c r="T43" s="10">
        <f t="shared" si="34"/>
        <v>8.4532785012565691E-3</v>
      </c>
      <c r="U43" s="51">
        <f t="shared" si="35"/>
        <v>8.8235294117647189E-2</v>
      </c>
    </row>
    <row r="44" spans="2:30" ht="14.4">
      <c r="I44" s="7" t="s">
        <v>142</v>
      </c>
      <c r="J44" s="7">
        <v>5.47</v>
      </c>
      <c r="K44" s="7">
        <v>12.02</v>
      </c>
      <c r="Q44" s="2" t="s">
        <v>143</v>
      </c>
      <c r="R44" s="4">
        <v>19</v>
      </c>
      <c r="S44" s="4">
        <v>14</v>
      </c>
      <c r="T44" s="10">
        <f t="shared" si="34"/>
        <v>4.3408727438885082E-2</v>
      </c>
      <c r="U44" s="55">
        <f t="shared" si="35"/>
        <v>0.35714285714285721</v>
      </c>
    </row>
    <row r="45" spans="2:30" ht="14.4">
      <c r="I45" s="7" t="s">
        <v>144</v>
      </c>
      <c r="J45" s="7">
        <v>4.5999999999999996</v>
      </c>
      <c r="K45" s="7">
        <v>1.8</v>
      </c>
      <c r="Q45" s="2" t="s">
        <v>145</v>
      </c>
      <c r="R45" s="4">
        <v>36</v>
      </c>
      <c r="S45" s="4">
        <v>24</v>
      </c>
      <c r="T45" s="10">
        <f t="shared" si="34"/>
        <v>8.2248115147361203E-2</v>
      </c>
      <c r="U45" s="57">
        <f t="shared" si="35"/>
        <v>0.5</v>
      </c>
    </row>
    <row r="46" spans="2:30" ht="14.4">
      <c r="Q46" s="2"/>
      <c r="R46" s="15"/>
      <c r="S46" s="15"/>
      <c r="T46" s="2"/>
      <c r="U46" s="69"/>
    </row>
    <row r="47" spans="2:30" ht="14.4">
      <c r="I47" s="70" t="s">
        <v>146</v>
      </c>
      <c r="J47" s="71">
        <f t="shared" ref="J47:K47" si="36">SUM(J41:J45)</f>
        <v>99.94</v>
      </c>
      <c r="K47" s="71">
        <f t="shared" si="36"/>
        <v>100.02</v>
      </c>
      <c r="Q47" s="72" t="s">
        <v>146</v>
      </c>
      <c r="R47" s="73">
        <f t="shared" ref="R47:S47" si="37">SUM(R41:R45)</f>
        <v>437.7</v>
      </c>
      <c r="S47" s="73">
        <f t="shared" si="37"/>
        <v>345.4</v>
      </c>
      <c r="T47" s="74">
        <f>R47/$R$47</f>
        <v>1</v>
      </c>
      <c r="U47" s="57">
        <f>(R47/S47)^(1/1)-1</f>
        <v>0.26722640416907928</v>
      </c>
    </row>
    <row r="48" spans="2:30" ht="13.8"/>
    <row r="49" ht="13.8"/>
    <row r="50" ht="13.8"/>
    <row r="51" ht="13.8"/>
    <row r="52" ht="13.8"/>
    <row r="53" ht="13.8"/>
    <row r="54" ht="13.8"/>
    <row r="55" ht="13.8"/>
    <row r="56" ht="13.8"/>
    <row r="57" ht="13.8"/>
    <row r="58" ht="13.8"/>
    <row r="59" ht="13.8"/>
    <row r="60" ht="13.8"/>
    <row r="61" ht="13.8"/>
    <row r="62" ht="13.8"/>
    <row r="63" ht="13.8"/>
    <row r="64" ht="13.8"/>
    <row r="65" spans="3:3" ht="13.8"/>
    <row r="66" spans="3:3" ht="13.8"/>
    <row r="67" spans="3:3" ht="13.8"/>
    <row r="68" spans="3:3" ht="13.8"/>
    <row r="69" spans="3:3" ht="13.8"/>
    <row r="70" spans="3:3" ht="13.8"/>
    <row r="71" spans="3:3" ht="13.8">
      <c r="C71" s="24"/>
    </row>
    <row r="72" spans="3:3" ht="13.8">
      <c r="C72" s="75"/>
    </row>
    <row r="73" spans="3:3" ht="13.8">
      <c r="C73" s="75"/>
    </row>
    <row r="74" spans="3:3" ht="13.8">
      <c r="C74" s="75"/>
    </row>
    <row r="75" spans="3:3" ht="13.8">
      <c r="C75" s="75"/>
    </row>
    <row r="76" spans="3:3" ht="13.8">
      <c r="C76" s="75"/>
    </row>
    <row r="77" spans="3:3" ht="13.8">
      <c r="C77" s="75"/>
    </row>
    <row r="78" spans="3:3" ht="13.8">
      <c r="C78" s="75"/>
    </row>
    <row r="79" spans="3:3" ht="13.8">
      <c r="C79" s="75"/>
    </row>
    <row r="80" spans="3:3" ht="13.8">
      <c r="C80" s="75"/>
    </row>
    <row r="81" spans="3:3" ht="13.8">
      <c r="C81" s="75"/>
    </row>
    <row r="82" spans="3:3" ht="13.8">
      <c r="C82" s="75"/>
    </row>
    <row r="83" spans="3:3" ht="13.8"/>
    <row r="84" spans="3:3" ht="13.8"/>
    <row r="85" spans="3:3" ht="13.8"/>
    <row r="86" spans="3:3" ht="13.8"/>
    <row r="87" spans="3:3" ht="13.8"/>
    <row r="88" spans="3:3" ht="13.8"/>
    <row r="89" spans="3:3" ht="13.8"/>
    <row r="90" spans="3:3" ht="13.8"/>
    <row r="91" spans="3:3" ht="13.8"/>
    <row r="92" spans="3:3" ht="13.8"/>
    <row r="93" spans="3:3" ht="13.8"/>
    <row r="94" spans="3:3" ht="13.8"/>
    <row r="95" spans="3:3" ht="13.8"/>
    <row r="96" spans="3:3" ht="13.8"/>
    <row r="97" ht="13.8"/>
    <row r="98" ht="13.8"/>
    <row r="99" ht="13.8"/>
    <row r="100" ht="13.8"/>
    <row r="101" ht="13.8"/>
    <row r="102" ht="13.8"/>
    <row r="103" ht="13.8"/>
    <row r="104" ht="13.8"/>
    <row r="105" ht="13.8"/>
    <row r="106" ht="13.8"/>
    <row r="107" ht="13.8"/>
    <row r="108" ht="13.8"/>
    <row r="109" ht="13.8"/>
    <row r="110" ht="13.8"/>
    <row r="111" ht="13.8"/>
    <row r="112" ht="13.8"/>
    <row r="113" ht="13.8"/>
    <row r="114" ht="13.8"/>
    <row r="115" ht="13.8"/>
    <row r="116" ht="13.8"/>
    <row r="117" ht="13.8"/>
    <row r="118" ht="13.8"/>
    <row r="119" ht="13.8"/>
    <row r="120" ht="13.8"/>
    <row r="121" ht="13.8"/>
    <row r="122" ht="13.8"/>
    <row r="123" ht="13.8"/>
    <row r="124" ht="13.8"/>
    <row r="125" ht="13.8"/>
    <row r="126" ht="13.8"/>
    <row r="127" ht="13.8"/>
    <row r="128" ht="13.8"/>
    <row r="129" ht="13.8"/>
    <row r="130" ht="13.8"/>
    <row r="131" ht="13.8"/>
    <row r="132" ht="13.8"/>
    <row r="133" ht="13.8"/>
    <row r="134" ht="13.8"/>
    <row r="135" ht="13.8"/>
    <row r="136" ht="13.8"/>
    <row r="137" ht="13.8"/>
    <row r="138" ht="13.8"/>
    <row r="139" ht="13.8"/>
    <row r="140" ht="13.8"/>
    <row r="141" ht="13.8"/>
    <row r="142" ht="13.8"/>
    <row r="143" ht="13.8"/>
    <row r="144" ht="13.8"/>
    <row r="145" ht="13.8"/>
    <row r="146" ht="13.8"/>
    <row r="147" ht="13.8"/>
    <row r="148" ht="13.8"/>
    <row r="149" ht="13.8"/>
    <row r="150" ht="13.8"/>
    <row r="151" ht="13.8"/>
    <row r="152" ht="13.8"/>
    <row r="153" ht="13.8"/>
    <row r="154" ht="13.8"/>
    <row r="155" ht="13.8"/>
    <row r="156" ht="13.8"/>
    <row r="157" ht="13.8"/>
    <row r="158" ht="13.8"/>
    <row r="159" ht="13.8"/>
    <row r="160" ht="13.8"/>
    <row r="161" ht="13.8"/>
    <row r="162" ht="13.8"/>
    <row r="163" ht="13.8"/>
    <row r="164" ht="13.8"/>
    <row r="165" ht="13.8"/>
    <row r="166" ht="13.8"/>
    <row r="167" ht="13.8"/>
    <row r="168" ht="13.8"/>
    <row r="169" ht="13.8"/>
    <row r="170" ht="13.8"/>
    <row r="171" ht="13.8"/>
    <row r="172" ht="13.8"/>
    <row r="173" ht="13.8"/>
    <row r="174" ht="13.8"/>
    <row r="175" ht="13.8"/>
    <row r="176" ht="13.8"/>
    <row r="177" ht="13.8"/>
    <row r="178" ht="13.8"/>
    <row r="179" ht="13.8"/>
    <row r="180" ht="13.8"/>
    <row r="181" ht="13.8"/>
    <row r="182" ht="13.8"/>
    <row r="183" ht="13.8"/>
    <row r="184" ht="13.8"/>
    <row r="185" ht="13.8"/>
    <row r="186" ht="13.8"/>
    <row r="187" ht="13.8"/>
    <row r="188" ht="13.8"/>
    <row r="189" ht="13.8"/>
    <row r="190" ht="13.8"/>
    <row r="191" ht="13.8"/>
    <row r="192" ht="13.8"/>
    <row r="193" ht="13.8"/>
    <row r="194" ht="13.8"/>
    <row r="195" ht="13.8"/>
    <row r="196" ht="13.8"/>
    <row r="197" ht="13.8"/>
    <row r="198" ht="13.8"/>
    <row r="199" ht="13.8"/>
    <row r="200" ht="13.8"/>
    <row r="201" ht="13.8"/>
    <row r="202" ht="13.8"/>
    <row r="203" ht="13.8"/>
    <row r="204" ht="13.8"/>
    <row r="205" ht="13.8"/>
    <row r="206" ht="13.8"/>
    <row r="207" ht="13.8"/>
    <row r="208" ht="13.8"/>
    <row r="209" ht="13.8"/>
    <row r="210" ht="13.8"/>
    <row r="211" ht="13.8"/>
    <row r="212" ht="13.8"/>
    <row r="213" ht="13.8"/>
    <row r="214" ht="13.8"/>
    <row r="215" ht="13.8"/>
    <row r="216" ht="13.8"/>
    <row r="217" ht="13.8"/>
    <row r="218" ht="13.8"/>
    <row r="219" ht="13.8"/>
    <row r="220" ht="13.8"/>
    <row r="221" ht="13.8"/>
    <row r="222" ht="13.8"/>
    <row r="223" ht="13.8"/>
    <row r="224" ht="13.8"/>
    <row r="225" ht="13.8"/>
    <row r="226" ht="13.8"/>
    <row r="227" ht="13.8"/>
    <row r="228" ht="13.8"/>
    <row r="229" ht="13.8"/>
    <row r="230" ht="13.8"/>
    <row r="231" ht="13.8"/>
    <row r="232" ht="13.8"/>
    <row r="233" ht="13.8"/>
    <row r="234" ht="13.8"/>
    <row r="235" ht="13.8"/>
    <row r="236" ht="13.8"/>
    <row r="237" ht="13.8"/>
    <row r="238" ht="13.8"/>
    <row r="239" ht="13.8"/>
    <row r="240" ht="13.8"/>
    <row r="241" ht="13.8"/>
    <row r="242" ht="13.8"/>
    <row r="243" ht="13.8"/>
    <row r="244" ht="13.8"/>
    <row r="245" ht="13.8"/>
    <row r="246" ht="13.8"/>
    <row r="247" ht="13.8"/>
    <row r="248" ht="13.8"/>
    <row r="249" ht="13.8"/>
    <row r="250" ht="13.8"/>
    <row r="251" ht="13.8"/>
    <row r="252" ht="13.8"/>
    <row r="253" ht="13.8"/>
    <row r="254" ht="13.8"/>
    <row r="255" ht="13.8"/>
    <row r="256" ht="13.8"/>
    <row r="257" ht="13.8"/>
    <row r="258" ht="13.8"/>
    <row r="259" ht="13.8"/>
    <row r="260" ht="13.8"/>
    <row r="261" ht="13.8"/>
    <row r="262" ht="13.8"/>
    <row r="263" ht="13.8"/>
    <row r="264" ht="13.8"/>
    <row r="265" ht="13.8"/>
    <row r="266" ht="13.8"/>
    <row r="267" ht="13.8"/>
    <row r="268" ht="13.8"/>
    <row r="269" ht="13.8"/>
    <row r="270" ht="13.8"/>
    <row r="271" ht="13.8"/>
    <row r="272" ht="13.8"/>
    <row r="273" ht="13.8"/>
    <row r="274" ht="13.8"/>
    <row r="275" ht="13.8"/>
    <row r="276" ht="13.8"/>
    <row r="277" ht="13.8"/>
    <row r="278" ht="13.8"/>
    <row r="279" ht="13.8"/>
    <row r="280" ht="13.8"/>
    <row r="281" ht="13.8"/>
    <row r="282" ht="13.8"/>
    <row r="283" ht="13.8"/>
    <row r="284" ht="13.8"/>
    <row r="285" ht="13.8"/>
    <row r="286" ht="13.8"/>
    <row r="287" ht="13.8"/>
    <row r="288" ht="13.8"/>
    <row r="289" ht="13.8"/>
    <row r="290" ht="13.8"/>
    <row r="291" ht="13.8"/>
    <row r="292" ht="13.8"/>
    <row r="293" ht="13.8"/>
    <row r="294" ht="13.8"/>
    <row r="295" ht="13.8"/>
    <row r="296" ht="13.8"/>
    <row r="297" ht="13.8"/>
    <row r="298" ht="13.8"/>
    <row r="299" ht="13.8"/>
    <row r="300" ht="13.8"/>
    <row r="301" ht="13.8"/>
    <row r="302" ht="13.8"/>
    <row r="303" ht="13.8"/>
    <row r="304" ht="13.8"/>
    <row r="305" ht="13.8"/>
    <row r="306" ht="13.8"/>
    <row r="307" ht="13.8"/>
    <row r="308" ht="13.8"/>
    <row r="309" ht="13.8"/>
    <row r="310" ht="13.8"/>
    <row r="311" ht="13.8"/>
    <row r="312" ht="13.8"/>
    <row r="313" ht="13.8"/>
    <row r="314" ht="13.8"/>
    <row r="315" ht="13.8"/>
    <row r="316" ht="13.8"/>
    <row r="317" ht="13.8"/>
    <row r="318" ht="13.8"/>
    <row r="319" ht="13.8"/>
    <row r="320" ht="13.8"/>
    <row r="321" ht="13.8"/>
    <row r="322" ht="13.8"/>
    <row r="323" ht="13.8"/>
    <row r="324" ht="13.8"/>
    <row r="325" ht="13.8"/>
    <row r="326" ht="13.8"/>
    <row r="327" ht="13.8"/>
    <row r="328" ht="13.8"/>
    <row r="329" ht="13.8"/>
    <row r="330" ht="13.8"/>
    <row r="331" ht="13.8"/>
    <row r="332" ht="13.8"/>
    <row r="333" ht="13.8"/>
    <row r="334" ht="13.8"/>
    <row r="335" ht="13.8"/>
    <row r="336" ht="13.8"/>
    <row r="337" ht="13.8"/>
    <row r="338" ht="13.8"/>
    <row r="339" ht="13.8"/>
    <row r="340" ht="13.8"/>
    <row r="341" ht="13.8"/>
    <row r="342" ht="13.8"/>
    <row r="343" ht="13.8"/>
    <row r="344" ht="13.8"/>
    <row r="345" ht="13.8"/>
    <row r="346" ht="13.8"/>
    <row r="347" ht="13.8"/>
    <row r="348" ht="13.8"/>
    <row r="349" ht="13.8"/>
    <row r="350" ht="13.8"/>
    <row r="351" ht="13.8"/>
    <row r="352" ht="13.8"/>
    <row r="353" ht="13.8"/>
    <row r="354" ht="13.8"/>
    <row r="355" ht="13.8"/>
    <row r="356" ht="13.8"/>
    <row r="357" ht="13.8"/>
    <row r="358" ht="13.8"/>
    <row r="359" ht="13.8"/>
    <row r="360" ht="13.8"/>
    <row r="361" ht="13.8"/>
    <row r="362" ht="13.8"/>
    <row r="363" ht="13.8"/>
    <row r="364" ht="13.8"/>
    <row r="365" ht="13.8"/>
    <row r="366" ht="13.8"/>
    <row r="367" ht="13.8"/>
    <row r="368" ht="13.8"/>
    <row r="369" ht="13.8"/>
    <row r="370" ht="13.8"/>
    <row r="371" ht="13.8"/>
    <row r="372" ht="13.8"/>
    <row r="373" ht="13.8"/>
    <row r="374" ht="13.8"/>
    <row r="375" ht="13.8"/>
    <row r="376" ht="13.8"/>
    <row r="377" ht="13.8"/>
    <row r="378" ht="13.8"/>
    <row r="379" ht="13.8"/>
    <row r="380" ht="13.8"/>
    <row r="381" ht="13.8"/>
    <row r="382" ht="13.8"/>
    <row r="383" ht="13.8"/>
    <row r="384" ht="13.8"/>
    <row r="385" ht="13.8"/>
    <row r="386" ht="13.8"/>
    <row r="387" ht="13.8"/>
    <row r="388" ht="13.8"/>
    <row r="389" ht="13.8"/>
    <row r="390" ht="13.8"/>
    <row r="391" ht="13.8"/>
    <row r="392" ht="13.8"/>
    <row r="393" ht="13.8"/>
    <row r="394" ht="13.8"/>
    <row r="395" ht="13.8"/>
    <row r="396" ht="13.8"/>
    <row r="397" ht="13.8"/>
    <row r="398" ht="13.8"/>
    <row r="399" ht="13.8"/>
    <row r="400" ht="13.8"/>
    <row r="401" ht="13.8"/>
    <row r="402" ht="13.8"/>
    <row r="403" ht="13.8"/>
    <row r="404" ht="13.8"/>
    <row r="405" ht="13.8"/>
    <row r="406" ht="13.8"/>
    <row r="407" ht="13.8"/>
    <row r="408" ht="13.8"/>
    <row r="409" ht="13.8"/>
    <row r="410" ht="13.8"/>
    <row r="411" ht="13.8"/>
    <row r="412" ht="13.8"/>
    <row r="413" ht="13.8"/>
    <row r="414" ht="13.8"/>
    <row r="415" ht="13.8"/>
    <row r="416" ht="13.8"/>
    <row r="417" ht="13.8"/>
    <row r="418" ht="13.8"/>
    <row r="419" ht="13.8"/>
    <row r="420" ht="13.8"/>
    <row r="421" ht="13.8"/>
    <row r="422" ht="13.8"/>
    <row r="423" ht="13.8"/>
    <row r="424" ht="13.8"/>
    <row r="425" ht="13.8"/>
    <row r="426" ht="13.8"/>
    <row r="427" ht="13.8"/>
    <row r="428" ht="13.8"/>
    <row r="429" ht="13.8"/>
    <row r="430" ht="13.8"/>
    <row r="431" ht="13.8"/>
    <row r="432" ht="13.8"/>
    <row r="433" ht="13.8"/>
    <row r="434" ht="13.8"/>
    <row r="435" ht="13.8"/>
    <row r="436" ht="13.8"/>
    <row r="437" ht="13.8"/>
    <row r="438" ht="13.8"/>
    <row r="439" ht="13.8"/>
    <row r="440" ht="13.8"/>
    <row r="441" ht="13.8"/>
    <row r="442" ht="13.8"/>
    <row r="443" ht="13.8"/>
    <row r="444" ht="13.8"/>
    <row r="445" ht="13.8"/>
    <row r="446" ht="13.8"/>
    <row r="447" ht="13.8"/>
    <row r="448" ht="13.8"/>
    <row r="449" ht="13.8"/>
    <row r="450" ht="13.8"/>
    <row r="451" ht="13.8"/>
    <row r="452" ht="13.8"/>
    <row r="453" ht="13.8"/>
    <row r="454" ht="13.8"/>
    <row r="455" ht="13.8"/>
    <row r="456" ht="13.8"/>
    <row r="457" ht="13.8"/>
    <row r="458" ht="13.8"/>
    <row r="459" ht="13.8"/>
    <row r="460" ht="13.8"/>
    <row r="461" ht="13.8"/>
    <row r="462" ht="13.8"/>
    <row r="463" ht="13.8"/>
    <row r="464" ht="13.8"/>
    <row r="465" ht="13.8"/>
    <row r="466" ht="13.8"/>
    <row r="467" ht="13.8"/>
    <row r="468" ht="13.8"/>
    <row r="469" ht="13.8"/>
    <row r="470" ht="13.8"/>
    <row r="471" ht="13.8"/>
    <row r="472" ht="13.8"/>
    <row r="473" ht="13.8"/>
    <row r="474" ht="13.8"/>
    <row r="475" ht="13.8"/>
    <row r="476" ht="13.8"/>
    <row r="477" ht="13.8"/>
    <row r="478" ht="13.8"/>
    <row r="479" ht="13.8"/>
    <row r="480" ht="13.8"/>
    <row r="481" ht="13.8"/>
    <row r="482" ht="13.8"/>
    <row r="483" ht="13.8"/>
    <row r="484" ht="13.8"/>
    <row r="485" ht="13.8"/>
    <row r="486" ht="13.8"/>
    <row r="487" ht="13.8"/>
    <row r="488" ht="13.8"/>
    <row r="489" ht="13.8"/>
    <row r="490" ht="13.8"/>
    <row r="491" ht="13.8"/>
    <row r="492" ht="13.8"/>
    <row r="493" ht="13.8"/>
    <row r="494" ht="13.8"/>
    <row r="495" ht="13.8"/>
    <row r="496" ht="13.8"/>
    <row r="497" ht="13.8"/>
    <row r="498" ht="13.8"/>
    <row r="499" ht="13.8"/>
    <row r="500" ht="13.8"/>
    <row r="501" ht="13.8"/>
    <row r="502" ht="13.8"/>
    <row r="503" ht="13.8"/>
    <row r="504" ht="13.8"/>
    <row r="505" ht="13.8"/>
    <row r="506" ht="13.8"/>
    <row r="507" ht="13.8"/>
    <row r="508" ht="13.8"/>
    <row r="509" ht="13.8"/>
    <row r="510" ht="13.8"/>
    <row r="511" ht="13.8"/>
    <row r="512" ht="13.8"/>
    <row r="513" ht="13.8"/>
    <row r="514" ht="13.8"/>
    <row r="515" ht="13.8"/>
    <row r="516" ht="13.8"/>
    <row r="517" ht="13.8"/>
    <row r="518" ht="13.8"/>
    <row r="519" ht="13.8"/>
    <row r="520" ht="13.8"/>
    <row r="521" ht="13.8"/>
    <row r="522" ht="13.8"/>
    <row r="523" ht="13.8"/>
    <row r="524" ht="13.8"/>
    <row r="525" ht="13.8"/>
    <row r="526" ht="13.8"/>
    <row r="527" ht="13.8"/>
    <row r="528" ht="13.8"/>
    <row r="529" ht="13.8"/>
    <row r="530" ht="13.8"/>
    <row r="531" ht="13.8"/>
    <row r="532" ht="13.8"/>
    <row r="533" ht="13.8"/>
    <row r="534" ht="13.8"/>
    <row r="535" ht="13.8"/>
    <row r="536" ht="13.8"/>
    <row r="537" ht="13.8"/>
    <row r="538" ht="13.8"/>
    <row r="539" ht="13.8"/>
    <row r="540" ht="13.8"/>
    <row r="541" ht="13.8"/>
    <row r="542" ht="13.8"/>
    <row r="543" ht="13.8"/>
    <row r="544" ht="13.8"/>
    <row r="545" ht="13.8"/>
    <row r="546" ht="13.8"/>
    <row r="547" ht="13.8"/>
    <row r="548" ht="13.8"/>
    <row r="549" ht="13.8"/>
    <row r="550" ht="13.8"/>
    <row r="551" ht="13.8"/>
    <row r="552" ht="13.8"/>
    <row r="553" ht="13.8"/>
    <row r="554" ht="13.8"/>
    <row r="555" ht="13.8"/>
    <row r="556" ht="13.8"/>
    <row r="557" ht="13.8"/>
    <row r="558" ht="13.8"/>
    <row r="559" ht="13.8"/>
    <row r="560" ht="13.8"/>
    <row r="561" ht="13.8"/>
    <row r="562" ht="13.8"/>
    <row r="563" ht="13.8"/>
    <row r="564" ht="13.8"/>
    <row r="565" ht="13.8"/>
    <row r="566" ht="13.8"/>
    <row r="567" ht="13.8"/>
    <row r="568" ht="13.8"/>
    <row r="569" ht="13.8"/>
    <row r="570" ht="13.8"/>
    <row r="571" ht="13.8"/>
    <row r="572" ht="13.8"/>
    <row r="573" ht="13.8"/>
    <row r="574" ht="13.8"/>
    <row r="575" ht="13.8"/>
    <row r="576" ht="13.8"/>
    <row r="577" ht="13.8"/>
    <row r="578" ht="13.8"/>
    <row r="579" ht="13.8"/>
    <row r="580" ht="13.8"/>
    <row r="581" ht="13.8"/>
    <row r="582" ht="13.8"/>
    <row r="583" ht="13.8"/>
    <row r="584" ht="13.8"/>
    <row r="585" ht="13.8"/>
    <row r="586" ht="13.8"/>
    <row r="587" ht="13.8"/>
    <row r="588" ht="13.8"/>
    <row r="589" ht="13.8"/>
    <row r="590" ht="13.8"/>
    <row r="591" ht="13.8"/>
    <row r="592" ht="13.8"/>
    <row r="593" ht="13.8"/>
    <row r="594" ht="13.8"/>
    <row r="595" ht="13.8"/>
    <row r="596" ht="13.8"/>
    <row r="597" ht="13.8"/>
    <row r="598" ht="13.8"/>
    <row r="599" ht="13.8"/>
    <row r="600" ht="13.8"/>
    <row r="601" ht="13.8"/>
    <row r="602" ht="13.8"/>
    <row r="603" ht="13.8"/>
    <row r="604" ht="13.8"/>
    <row r="605" ht="13.8"/>
    <row r="606" ht="13.8"/>
    <row r="607" ht="13.8"/>
    <row r="608" ht="13.8"/>
    <row r="609" ht="13.8"/>
    <row r="610" ht="13.8"/>
    <row r="611" ht="13.8"/>
    <row r="612" ht="13.8"/>
    <row r="613" ht="13.8"/>
    <row r="614" ht="13.8"/>
    <row r="615" ht="13.8"/>
    <row r="616" ht="13.8"/>
    <row r="617" ht="13.8"/>
    <row r="618" ht="13.8"/>
    <row r="619" ht="13.8"/>
    <row r="620" ht="13.8"/>
    <row r="621" ht="13.8"/>
    <row r="622" ht="13.8"/>
    <row r="623" ht="13.8"/>
    <row r="624" ht="13.8"/>
    <row r="625" ht="13.8"/>
    <row r="626" ht="13.8"/>
    <row r="627" ht="13.8"/>
    <row r="628" ht="13.8"/>
    <row r="629" ht="13.8"/>
    <row r="630" ht="13.8"/>
    <row r="631" ht="13.8"/>
    <row r="632" ht="13.8"/>
    <row r="633" ht="13.8"/>
    <row r="634" ht="13.8"/>
    <row r="635" ht="13.8"/>
    <row r="636" ht="13.8"/>
    <row r="637" ht="13.8"/>
    <row r="638" ht="13.8"/>
    <row r="639" ht="13.8"/>
    <row r="640" ht="13.8"/>
    <row r="641" ht="13.8"/>
    <row r="642" ht="13.8"/>
    <row r="643" ht="13.8"/>
    <row r="644" ht="13.8"/>
    <row r="645" ht="13.8"/>
    <row r="646" ht="13.8"/>
    <row r="647" ht="13.8"/>
    <row r="648" ht="13.8"/>
    <row r="649" ht="13.8"/>
    <row r="650" ht="13.8"/>
    <row r="651" ht="13.8"/>
    <row r="652" ht="13.8"/>
    <row r="653" ht="13.8"/>
    <row r="654" ht="13.8"/>
    <row r="655" ht="13.8"/>
    <row r="656" ht="13.8"/>
    <row r="657" ht="13.8"/>
    <row r="658" ht="13.8"/>
    <row r="659" ht="13.8"/>
    <row r="660" ht="13.8"/>
    <row r="661" ht="13.8"/>
    <row r="662" ht="13.8"/>
    <row r="663" ht="13.8"/>
    <row r="664" ht="13.8"/>
    <row r="665" ht="13.8"/>
    <row r="666" ht="13.8"/>
    <row r="667" ht="13.8"/>
    <row r="668" ht="13.8"/>
    <row r="669" ht="13.8"/>
    <row r="670" ht="13.8"/>
    <row r="671" ht="13.8"/>
    <row r="672" ht="13.8"/>
    <row r="673" ht="13.8"/>
    <row r="674" ht="13.8"/>
    <row r="675" ht="13.8"/>
    <row r="676" ht="13.8"/>
    <row r="677" ht="13.8"/>
    <row r="678" ht="13.8"/>
    <row r="679" ht="13.8"/>
    <row r="680" ht="13.8"/>
    <row r="681" ht="13.8"/>
    <row r="682" ht="13.8"/>
    <row r="683" ht="13.8"/>
    <row r="684" ht="13.8"/>
    <row r="685" ht="13.8"/>
    <row r="686" ht="13.8"/>
    <row r="687" ht="13.8"/>
    <row r="688" ht="13.8"/>
    <row r="689" ht="13.8"/>
    <row r="690" ht="13.8"/>
    <row r="691" ht="13.8"/>
    <row r="692" ht="13.8"/>
    <row r="693" ht="13.8"/>
    <row r="694" ht="13.8"/>
    <row r="695" ht="13.8"/>
    <row r="696" ht="13.8"/>
    <row r="697" ht="13.8"/>
    <row r="698" ht="13.8"/>
    <row r="699" ht="13.8"/>
    <row r="700" ht="13.8"/>
    <row r="701" ht="13.8"/>
    <row r="702" ht="13.8"/>
    <row r="703" ht="13.8"/>
    <row r="704" ht="13.8"/>
    <row r="705" ht="13.8"/>
    <row r="706" ht="13.8"/>
    <row r="707" ht="13.8"/>
    <row r="708" ht="13.8"/>
    <row r="709" ht="13.8"/>
    <row r="710" ht="13.8"/>
    <row r="711" ht="13.8"/>
    <row r="712" ht="13.8"/>
    <row r="713" ht="13.8"/>
    <row r="714" ht="13.8"/>
    <row r="715" ht="13.8"/>
    <row r="716" ht="13.8"/>
    <row r="717" ht="13.8"/>
    <row r="718" ht="13.8"/>
    <row r="719" ht="13.8"/>
    <row r="720" ht="13.8"/>
    <row r="721" ht="13.8"/>
    <row r="722" ht="13.8"/>
    <row r="723" ht="13.8"/>
    <row r="724" ht="13.8"/>
    <row r="725" ht="13.8"/>
    <row r="726" ht="13.8"/>
    <row r="727" ht="13.8"/>
    <row r="728" ht="13.8"/>
    <row r="729" ht="13.8"/>
    <row r="730" ht="13.8"/>
    <row r="731" ht="13.8"/>
    <row r="732" ht="13.8"/>
    <row r="733" ht="13.8"/>
    <row r="734" ht="13.8"/>
    <row r="735" ht="13.8"/>
    <row r="736" ht="13.8"/>
    <row r="737" ht="13.8"/>
    <row r="738" ht="13.8"/>
    <row r="739" ht="13.8"/>
    <row r="740" ht="13.8"/>
    <row r="741" ht="13.8"/>
    <row r="742" ht="13.8"/>
    <row r="743" ht="13.8"/>
    <row r="744" ht="13.8"/>
    <row r="745" ht="13.8"/>
    <row r="746" ht="13.8"/>
    <row r="747" ht="13.8"/>
    <row r="748" ht="13.8"/>
    <row r="749" ht="13.8"/>
    <row r="750" ht="13.8"/>
    <row r="751" ht="13.8"/>
    <row r="752" ht="13.8"/>
    <row r="753" ht="13.8"/>
    <row r="754" ht="13.8"/>
    <row r="755" ht="13.8"/>
    <row r="756" ht="13.8"/>
    <row r="757" ht="13.8"/>
    <row r="758" ht="13.8"/>
    <row r="759" ht="13.8"/>
    <row r="760" ht="13.8"/>
    <row r="761" ht="13.8"/>
    <row r="762" ht="13.8"/>
    <row r="763" ht="13.8"/>
    <row r="764" ht="13.8"/>
    <row r="765" ht="13.8"/>
    <row r="766" ht="13.8"/>
    <row r="767" ht="13.8"/>
    <row r="768" ht="13.8"/>
    <row r="769" ht="13.8"/>
    <row r="770" ht="13.8"/>
    <row r="771" ht="13.8"/>
    <row r="772" ht="13.8"/>
    <row r="773" ht="13.8"/>
    <row r="774" ht="13.8"/>
    <row r="775" ht="13.8"/>
    <row r="776" ht="13.8"/>
    <row r="777" ht="13.8"/>
    <row r="778" ht="13.8"/>
    <row r="779" ht="13.8"/>
    <row r="780" ht="13.8"/>
    <row r="781" ht="13.8"/>
    <row r="782" ht="13.8"/>
    <row r="783" ht="13.8"/>
    <row r="784" ht="13.8"/>
    <row r="785" ht="13.8"/>
    <row r="786" ht="13.8"/>
    <row r="787" ht="13.8"/>
    <row r="788" ht="13.8"/>
    <row r="789" ht="13.8"/>
    <row r="790" ht="13.8"/>
    <row r="791" ht="13.8"/>
    <row r="792" ht="13.8"/>
    <row r="793" ht="13.8"/>
    <row r="794" ht="13.8"/>
    <row r="795" ht="13.8"/>
    <row r="796" ht="13.8"/>
    <row r="797" ht="13.8"/>
    <row r="798" ht="13.8"/>
    <row r="799" ht="13.8"/>
    <row r="800" ht="13.8"/>
    <row r="801" ht="13.8"/>
    <row r="802" ht="13.8"/>
    <row r="803" ht="13.8"/>
    <row r="804" ht="13.8"/>
    <row r="805" ht="13.8"/>
    <row r="806" ht="13.8"/>
    <row r="807" ht="13.8"/>
    <row r="808" ht="13.8"/>
    <row r="809" ht="13.8"/>
    <row r="810" ht="13.8"/>
    <row r="811" ht="13.8"/>
    <row r="812" ht="13.8"/>
    <row r="813" ht="13.8"/>
    <row r="814" ht="13.8"/>
    <row r="815" ht="13.8"/>
    <row r="816" ht="13.8"/>
    <row r="817" ht="13.8"/>
    <row r="818" ht="13.8"/>
    <row r="819" ht="13.8"/>
    <row r="820" ht="13.8"/>
    <row r="821" ht="13.8"/>
    <row r="822" ht="13.8"/>
    <row r="823" ht="13.8"/>
    <row r="824" ht="13.8"/>
    <row r="825" ht="13.8"/>
    <row r="826" ht="13.8"/>
    <row r="827" ht="13.8"/>
    <row r="828" ht="13.8"/>
    <row r="829" ht="13.8"/>
    <row r="830" ht="13.8"/>
    <row r="831" ht="13.8"/>
    <row r="832" ht="13.8"/>
    <row r="833" ht="13.8"/>
    <row r="834" ht="13.8"/>
    <row r="835" ht="13.8"/>
    <row r="836" ht="13.8"/>
    <row r="837" ht="13.8"/>
    <row r="838" ht="13.8"/>
    <row r="839" ht="13.8"/>
    <row r="840" ht="13.8"/>
    <row r="841" ht="13.8"/>
    <row r="842" ht="13.8"/>
    <row r="843" ht="13.8"/>
    <row r="844" ht="13.8"/>
    <row r="845" ht="13.8"/>
    <row r="846" ht="13.8"/>
    <row r="847" ht="13.8"/>
    <row r="848" ht="13.8"/>
    <row r="849" ht="13.8"/>
    <row r="850" ht="13.8"/>
    <row r="851" ht="13.8"/>
    <row r="852" ht="13.8"/>
    <row r="853" ht="13.8"/>
    <row r="854" ht="13.8"/>
    <row r="855" ht="13.8"/>
    <row r="856" ht="13.8"/>
    <row r="857" ht="13.8"/>
    <row r="858" ht="13.8"/>
    <row r="859" ht="13.8"/>
    <row r="860" ht="13.8"/>
    <row r="861" ht="13.8"/>
    <row r="862" ht="13.8"/>
    <row r="863" ht="13.8"/>
    <row r="864" ht="13.8"/>
    <row r="865" ht="13.8"/>
    <row r="866" ht="13.8"/>
    <row r="867" ht="13.8"/>
    <row r="868" ht="13.8"/>
    <row r="869" ht="13.8"/>
    <row r="870" ht="13.8"/>
    <row r="871" ht="13.8"/>
    <row r="872" ht="13.8"/>
    <row r="873" ht="13.8"/>
    <row r="874" ht="13.8"/>
    <row r="875" ht="13.8"/>
    <row r="876" ht="13.8"/>
    <row r="877" ht="13.8"/>
    <row r="878" ht="13.8"/>
    <row r="879" ht="13.8"/>
    <row r="880" ht="13.8"/>
    <row r="881" ht="13.8"/>
    <row r="882" ht="13.8"/>
    <row r="883" ht="13.8"/>
    <row r="884" ht="13.8"/>
    <row r="885" ht="13.8"/>
    <row r="886" ht="13.8"/>
    <row r="887" ht="13.8"/>
    <row r="888" ht="13.8"/>
    <row r="889" ht="13.8"/>
    <row r="890" ht="13.8"/>
    <row r="891" ht="13.8"/>
    <row r="892" ht="13.8"/>
    <row r="893" ht="13.8"/>
    <row r="894" ht="13.8"/>
    <row r="895" ht="13.8"/>
    <row r="896" ht="13.8"/>
    <row r="897" ht="13.8"/>
    <row r="898" ht="13.8"/>
    <row r="899" ht="13.8"/>
    <row r="900" ht="13.8"/>
    <row r="901" ht="13.8"/>
    <row r="902" ht="13.8"/>
    <row r="903" ht="13.8"/>
    <row r="904" ht="13.8"/>
    <row r="905" ht="13.8"/>
    <row r="906" ht="13.8"/>
    <row r="907" ht="13.8"/>
    <row r="908" ht="13.8"/>
    <row r="909" ht="13.8"/>
    <row r="910" ht="13.8"/>
    <row r="911" ht="13.8"/>
    <row r="912" ht="13.8"/>
    <row r="913" ht="13.8"/>
    <row r="914" ht="13.8"/>
    <row r="915" ht="13.8"/>
    <row r="916" ht="13.8"/>
    <row r="917" ht="13.8"/>
    <row r="918" ht="13.8"/>
    <row r="919" ht="13.8"/>
    <row r="920" ht="13.8"/>
    <row r="921" ht="13.8"/>
    <row r="922" ht="13.8"/>
    <row r="923" ht="13.8"/>
    <row r="924" ht="13.8"/>
    <row r="925" ht="13.8"/>
    <row r="926" ht="13.8"/>
    <row r="927" ht="13.8"/>
    <row r="928" ht="13.8"/>
    <row r="929" ht="13.8"/>
    <row r="930" ht="13.8"/>
    <row r="931" ht="13.8"/>
    <row r="932" ht="13.8"/>
    <row r="933" ht="13.8"/>
    <row r="934" ht="13.8"/>
    <row r="935" ht="13.8"/>
    <row r="936" ht="13.8"/>
    <row r="937" ht="13.8"/>
    <row r="938" ht="13.8"/>
    <row r="939" ht="13.8"/>
    <row r="940" ht="13.8"/>
    <row r="941" ht="13.8"/>
    <row r="942" ht="13.8"/>
    <row r="943" ht="13.8"/>
    <row r="944" ht="13.8"/>
    <row r="945" ht="13.8"/>
    <row r="946" ht="13.8"/>
    <row r="947" ht="13.8"/>
    <row r="948" ht="13.8"/>
    <row r="949" ht="13.8"/>
    <row r="950" ht="13.8"/>
    <row r="951" ht="13.8"/>
    <row r="952" ht="13.8"/>
    <row r="953" ht="13.8"/>
    <row r="954" ht="13.8"/>
    <row r="955" ht="13.8"/>
    <row r="956" ht="13.8"/>
    <row r="957" ht="13.8"/>
    <row r="958" ht="13.8"/>
    <row r="959" ht="13.8"/>
    <row r="960" ht="13.8"/>
    <row r="961" ht="13.8"/>
    <row r="962" ht="13.8"/>
    <row r="963" ht="13.8"/>
    <row r="964" ht="13.8"/>
    <row r="965" ht="13.8"/>
    <row r="966" ht="13.8"/>
    <row r="967" ht="13.8"/>
    <row r="968" ht="13.8"/>
    <row r="969" ht="13.8"/>
    <row r="970" ht="13.8"/>
    <row r="971" ht="13.8"/>
    <row r="972" ht="13.8"/>
    <row r="973" ht="13.8"/>
    <row r="974" ht="13.8"/>
    <row r="975" ht="13.8"/>
    <row r="976" ht="13.8"/>
    <row r="977" ht="13.8"/>
    <row r="978" ht="13.8"/>
    <row r="979" ht="13.8"/>
    <row r="980" ht="13.8"/>
    <row r="981" ht="13.8"/>
    <row r="982" ht="13.8"/>
    <row r="983" ht="13.8"/>
    <row r="984" ht="13.8"/>
    <row r="985" ht="13.8"/>
    <row r="986" ht="13.8"/>
    <row r="987" ht="13.8"/>
    <row r="988" ht="13.8"/>
    <row r="989" ht="13.8"/>
    <row r="990" ht="13.8"/>
    <row r="991" ht="13.8"/>
    <row r="992" ht="13.8"/>
    <row r="993" ht="13.8"/>
    <row r="994" ht="13.8"/>
    <row r="995" ht="13.8"/>
    <row r="996" ht="13.8"/>
    <row r="997" ht="13.8"/>
    <row r="998" ht="13.8"/>
    <row r="999" ht="13.8"/>
    <row r="1000" ht="13.8"/>
    <row r="1001" ht="13.8"/>
    <row r="1002" ht="13.8"/>
    <row r="1003" ht="13.8"/>
    <row r="1004" ht="13.8"/>
  </sheetData>
  <mergeCells count="1">
    <mergeCell ref="L36:L38"/>
  </mergeCells>
  <conditionalFormatting sqref="C14:C21">
    <cfRule type="colorScale" priority="1">
      <colorScale>
        <cfvo type="min"/>
        <cfvo type="max"/>
        <color rgb="FFFFFFFF"/>
        <color rgb="FF57BB8A"/>
      </colorScale>
    </cfRule>
  </conditionalFormatting>
  <conditionalFormatting sqref="C27:F30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23:I25 K23:L25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2:D21">
    <cfRule type="colorScale" priority="2">
      <colorScale>
        <cfvo type="min"/>
        <cfvo type="max"/>
        <color rgb="FFFFFFFF"/>
        <color rgb="FF57BB8A"/>
      </colorScale>
    </cfRule>
  </conditionalFormatting>
  <conditionalFormatting sqref="E12:E21">
    <cfRule type="colorScale" priority="3">
      <colorScale>
        <cfvo type="min"/>
        <cfvo type="max"/>
        <color rgb="FFFFFFFF"/>
        <color rgb="FF57BB8A"/>
      </colorScale>
    </cfRule>
  </conditionalFormatting>
  <conditionalFormatting sqref="F12:F21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2:G21">
    <cfRule type="colorScale" priority="4">
      <colorScale>
        <cfvo type="min"/>
        <cfvo type="max"/>
        <color rgb="FFFFFFFF"/>
        <color rgb="FF57BB8A"/>
      </colorScale>
    </cfRule>
  </conditionalFormatting>
  <conditionalFormatting sqref="G27:G30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5:H21">
    <cfRule type="colorScale" priority="5">
      <colorScale>
        <cfvo type="min"/>
        <cfvo type="max"/>
        <color rgb="FFFFFFFF"/>
        <color rgb="FF57BB8A"/>
      </colorScale>
    </cfRule>
  </conditionalFormatting>
  <conditionalFormatting sqref="H36:K36">
    <cfRule type="colorScale" priority="11">
      <colorScale>
        <cfvo type="min"/>
        <cfvo type="max"/>
        <color rgb="FFFFFFFF"/>
        <color rgb="FF57BB8A"/>
      </colorScale>
    </cfRule>
  </conditionalFormatting>
  <conditionalFormatting sqref="H38:K38">
    <cfRule type="colorScale" priority="12">
      <colorScale>
        <cfvo type="min"/>
        <cfvo type="max"/>
        <color rgb="FFFFFFFF"/>
        <color rgb="FFE67C73"/>
      </colorScale>
    </cfRule>
  </conditionalFormatting>
  <conditionalFormatting sqref="H33:L33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12:I21">
    <cfRule type="colorScale" priority="19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I28:M28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29:M29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30:M30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12:J21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23:J25 M24:M25 N25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6:L21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M16:N21">
    <cfRule type="colorScale" priority="21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M23:O25">
    <cfRule type="colorScale" priority="17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T27:T36">
    <cfRule type="colorScale" priority="2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2BBA4-12C4-4F82-A250-46D7F1122D4B}">
  <sheetPr>
    <outlinePr summaryBelow="0" summaryRight="0"/>
  </sheetPr>
  <dimension ref="B2:N49"/>
  <sheetViews>
    <sheetView showGridLines="0" workbookViewId="0"/>
  </sheetViews>
  <sheetFormatPr defaultColWidth="12.6640625" defaultRowHeight="15.75" customHeight="1"/>
  <cols>
    <col min="1" max="1" width="4.6640625" customWidth="1"/>
  </cols>
  <sheetData>
    <row r="2" spans="9:14" ht="15.75" customHeight="1">
      <c r="I2" s="83" t="s">
        <v>148</v>
      </c>
    </row>
    <row r="3" spans="9:14" ht="15.75" customHeight="1">
      <c r="I3" s="84" t="s">
        <v>147</v>
      </c>
      <c r="J3" s="84" t="s">
        <v>149</v>
      </c>
      <c r="K3" s="84" t="s">
        <v>150</v>
      </c>
      <c r="L3" s="84" t="s">
        <v>151</v>
      </c>
      <c r="M3" s="84" t="s">
        <v>152</v>
      </c>
      <c r="N3" s="84" t="s">
        <v>153</v>
      </c>
    </row>
    <row r="4" spans="9:14" ht="15.75" customHeight="1">
      <c r="I4" s="24" t="s">
        <v>154</v>
      </c>
      <c r="J4" s="24">
        <v>3585</v>
      </c>
      <c r="K4" s="24">
        <v>2646</v>
      </c>
      <c r="L4" s="24">
        <v>1757</v>
      </c>
      <c r="M4" s="46">
        <f t="shared" ref="M4:M5" si="0">(J4/K4)^(1/5)-1</f>
        <v>6.262459590119307E-2</v>
      </c>
      <c r="N4" s="46">
        <f t="shared" ref="N4:N5" si="1">(J4/L4)^(1/10)-1</f>
        <v>7.3919528622322428E-2</v>
      </c>
    </row>
    <row r="5" spans="9:14" ht="15.75" customHeight="1">
      <c r="I5" s="24" t="s">
        <v>155</v>
      </c>
      <c r="J5" s="24">
        <v>8189</v>
      </c>
      <c r="K5" s="24">
        <v>6434</v>
      </c>
      <c r="L5" s="24">
        <v>3041</v>
      </c>
      <c r="M5" s="46">
        <f t="shared" si="0"/>
        <v>4.9421512945450274E-2</v>
      </c>
      <c r="N5" s="46">
        <f t="shared" si="1"/>
        <v>0.10413313972355276</v>
      </c>
    </row>
    <row r="7" spans="9:14" ht="15.75" customHeight="1">
      <c r="I7" s="83" t="s">
        <v>156</v>
      </c>
    </row>
    <row r="8" spans="9:14" ht="15.75" customHeight="1">
      <c r="I8" s="84" t="s">
        <v>147</v>
      </c>
      <c r="J8" s="84" t="s">
        <v>149</v>
      </c>
      <c r="K8" s="84" t="s">
        <v>150</v>
      </c>
      <c r="L8" s="84" t="s">
        <v>151</v>
      </c>
      <c r="M8" s="84" t="s">
        <v>152</v>
      </c>
      <c r="N8" s="84" t="s">
        <v>153</v>
      </c>
    </row>
    <row r="9" spans="9:14" ht="15.75" customHeight="1">
      <c r="I9" s="24" t="s">
        <v>157</v>
      </c>
      <c r="J9" s="24">
        <v>1769</v>
      </c>
      <c r="K9" s="24">
        <v>2258</v>
      </c>
      <c r="L9" s="24">
        <v>1442</v>
      </c>
      <c r="M9" s="46">
        <f t="shared" ref="M9:M10" si="2">(J9/K9)^(1/5)-1</f>
        <v>-4.764080540911042E-2</v>
      </c>
      <c r="N9" s="46">
        <f t="shared" ref="N9:N10" si="3">(J9/L9)^(1/10)-1</f>
        <v>2.0648630690788483E-2</v>
      </c>
    </row>
    <row r="10" spans="9:14" ht="15.75" customHeight="1">
      <c r="I10" s="24" t="s">
        <v>158</v>
      </c>
      <c r="J10" s="24">
        <v>1616</v>
      </c>
      <c r="K10" s="24">
        <v>2283</v>
      </c>
      <c r="L10" s="24">
        <v>1244</v>
      </c>
      <c r="M10" s="46">
        <f t="shared" si="2"/>
        <v>-6.6773443227676421E-2</v>
      </c>
      <c r="N10" s="46">
        <f t="shared" si="3"/>
        <v>2.6507430964422651E-2</v>
      </c>
    </row>
    <row r="12" spans="9:14" ht="15.75" customHeight="1">
      <c r="I12" s="83" t="s">
        <v>159</v>
      </c>
    </row>
    <row r="13" spans="9:14" ht="15.75" customHeight="1">
      <c r="I13" s="84" t="s">
        <v>147</v>
      </c>
      <c r="J13" s="84" t="s">
        <v>149</v>
      </c>
      <c r="K13" s="84" t="s">
        <v>150</v>
      </c>
      <c r="L13" s="84" t="s">
        <v>160</v>
      </c>
      <c r="M13" s="84" t="s">
        <v>152</v>
      </c>
      <c r="N13" s="84" t="s">
        <v>161</v>
      </c>
    </row>
    <row r="14" spans="9:14" ht="15.75" customHeight="1">
      <c r="I14" s="24" t="s">
        <v>25</v>
      </c>
      <c r="J14" s="24">
        <v>1082</v>
      </c>
      <c r="K14" s="24">
        <v>66</v>
      </c>
      <c r="L14" s="24">
        <v>72</v>
      </c>
      <c r="M14" s="46">
        <f>(J14/K14)^(1/5)-1</f>
        <v>0.74959151987657657</v>
      </c>
      <c r="N14" s="46">
        <f>(J14/L14)^(1/6)-1</f>
        <v>0.57090212575584087</v>
      </c>
    </row>
    <row r="21" spans="2:14" ht="15.75" customHeight="1">
      <c r="B21" s="83" t="s">
        <v>154</v>
      </c>
      <c r="C21" s="46">
        <f>(430/390)^(1/10)-1</f>
        <v>9.8116688251672635E-3</v>
      </c>
      <c r="D21" s="85" t="str">
        <f ca="1">IFERROR(__xludf.DUMMYFUNCTION("SPARKLINE(GOOGLEFINANCE(B21,""PRICE"",TODAY()-3650,TODAY()))"),"")</f>
        <v/>
      </c>
      <c r="E21" s="76"/>
      <c r="F21" s="76"/>
      <c r="G21" s="76"/>
      <c r="H21" s="76"/>
      <c r="I21" s="76"/>
      <c r="J21" s="76"/>
      <c r="K21" s="76"/>
      <c r="L21" s="76"/>
      <c r="M21" s="76"/>
      <c r="N21" s="77"/>
    </row>
    <row r="22" spans="2:14" ht="15.75" customHeight="1">
      <c r="C22" s="86"/>
      <c r="D22" s="78"/>
      <c r="E22" s="68"/>
      <c r="F22" s="68"/>
      <c r="G22" s="68"/>
      <c r="H22" s="68"/>
      <c r="I22" s="68"/>
      <c r="J22" s="68"/>
      <c r="K22" s="68"/>
      <c r="L22" s="68"/>
      <c r="M22" s="68"/>
      <c r="N22" s="79"/>
    </row>
    <row r="23" spans="2:14" ht="15.75" customHeight="1">
      <c r="D23" s="78"/>
      <c r="E23" s="68"/>
      <c r="F23" s="68"/>
      <c r="G23" s="68"/>
      <c r="H23" s="68"/>
      <c r="I23" s="68"/>
      <c r="J23" s="68"/>
      <c r="K23" s="68"/>
      <c r="L23" s="68"/>
      <c r="M23" s="68"/>
      <c r="N23" s="79"/>
    </row>
    <row r="24" spans="2:14" ht="15.75" customHeight="1">
      <c r="D24" s="78"/>
      <c r="E24" s="68"/>
      <c r="F24" s="68"/>
      <c r="G24" s="68"/>
      <c r="H24" s="68"/>
      <c r="I24" s="68"/>
      <c r="J24" s="68"/>
      <c r="K24" s="68"/>
      <c r="L24" s="68"/>
      <c r="M24" s="68"/>
      <c r="N24" s="79"/>
    </row>
    <row r="25" spans="2:14" ht="15.75" customHeight="1">
      <c r="D25" s="80"/>
      <c r="E25" s="81"/>
      <c r="F25" s="81"/>
      <c r="G25" s="81"/>
      <c r="H25" s="81"/>
      <c r="I25" s="81"/>
      <c r="J25" s="81"/>
      <c r="K25" s="81"/>
      <c r="L25" s="81"/>
      <c r="M25" s="81"/>
      <c r="N25" s="82"/>
    </row>
    <row r="27" spans="2:14" ht="15.75" customHeight="1">
      <c r="B27" s="83" t="s">
        <v>155</v>
      </c>
      <c r="C27" s="46">
        <f>(185/126)^(1/10)-1</f>
        <v>3.9154489688177918E-2</v>
      </c>
      <c r="D27" s="85" t="str">
        <f ca="1">IFERROR(__xludf.DUMMYFUNCTION("SPARKLINE(GOOGLEFINANCE(B27,""PRICE"",TODAY()-3650,TODAY()))"),"")</f>
        <v/>
      </c>
      <c r="E27" s="76"/>
      <c r="F27" s="76"/>
      <c r="G27" s="76"/>
      <c r="H27" s="76"/>
      <c r="I27" s="76"/>
      <c r="J27" s="76"/>
      <c r="K27" s="76"/>
      <c r="L27" s="76"/>
      <c r="M27" s="76"/>
      <c r="N27" s="77"/>
    </row>
    <row r="28" spans="2:14" ht="15.75" customHeight="1">
      <c r="D28" s="78"/>
      <c r="E28" s="68"/>
      <c r="F28" s="68"/>
      <c r="G28" s="68"/>
      <c r="H28" s="68"/>
      <c r="I28" s="68"/>
      <c r="J28" s="68"/>
      <c r="K28" s="68"/>
      <c r="L28" s="68"/>
      <c r="M28" s="68"/>
      <c r="N28" s="79"/>
    </row>
    <row r="29" spans="2:14" ht="15.75" customHeight="1">
      <c r="D29" s="78"/>
      <c r="E29" s="68"/>
      <c r="F29" s="68"/>
      <c r="G29" s="68"/>
      <c r="H29" s="68"/>
      <c r="I29" s="68"/>
      <c r="J29" s="68"/>
      <c r="K29" s="68"/>
      <c r="L29" s="68"/>
      <c r="M29" s="68"/>
      <c r="N29" s="79"/>
    </row>
    <row r="30" spans="2:14" ht="15.75" customHeight="1">
      <c r="D30" s="78"/>
      <c r="E30" s="68"/>
      <c r="F30" s="68"/>
      <c r="G30" s="68"/>
      <c r="H30" s="68"/>
      <c r="I30" s="68"/>
      <c r="J30" s="68"/>
      <c r="K30" s="68"/>
      <c r="L30" s="68"/>
      <c r="M30" s="68"/>
      <c r="N30" s="79"/>
    </row>
    <row r="31" spans="2:14" ht="15.75" customHeight="1">
      <c r="D31" s="80"/>
      <c r="E31" s="81"/>
      <c r="F31" s="81"/>
      <c r="G31" s="81"/>
      <c r="H31" s="81"/>
      <c r="I31" s="81"/>
      <c r="J31" s="81"/>
      <c r="K31" s="81"/>
      <c r="L31" s="81"/>
      <c r="M31" s="81"/>
      <c r="N31" s="82"/>
    </row>
    <row r="33" spans="2:14" ht="15.75" customHeight="1">
      <c r="B33" s="83" t="s">
        <v>157</v>
      </c>
      <c r="C33" s="46">
        <f>(120/213)^(1/10)-1</f>
        <v>-5.5764848123072586E-2</v>
      </c>
      <c r="D33" s="85" t="str">
        <f ca="1">IFERROR(__xludf.DUMMYFUNCTION("SPARKLINE(GOOGLEFINANCE(B33,""PRICE"",TODAY()-3650,TODAY()))"),"")</f>
        <v/>
      </c>
      <c r="E33" s="76"/>
      <c r="F33" s="76"/>
      <c r="G33" s="76"/>
      <c r="H33" s="76"/>
      <c r="I33" s="76"/>
      <c r="J33" s="76"/>
      <c r="K33" s="76"/>
      <c r="L33" s="76"/>
      <c r="M33" s="76"/>
      <c r="N33" s="77"/>
    </row>
    <row r="34" spans="2:14" ht="15.75" customHeight="1">
      <c r="D34" s="78"/>
      <c r="E34" s="68"/>
      <c r="F34" s="68"/>
      <c r="G34" s="68"/>
      <c r="H34" s="68"/>
      <c r="I34" s="68"/>
      <c r="J34" s="68"/>
      <c r="K34" s="68"/>
      <c r="L34" s="68"/>
      <c r="M34" s="68"/>
      <c r="N34" s="79"/>
    </row>
    <row r="35" spans="2:14" ht="15.75" customHeight="1">
      <c r="D35" s="78"/>
      <c r="E35" s="68"/>
      <c r="F35" s="68"/>
      <c r="G35" s="68"/>
      <c r="H35" s="68"/>
      <c r="I35" s="68"/>
      <c r="J35" s="68"/>
      <c r="K35" s="68"/>
      <c r="L35" s="68"/>
      <c r="M35" s="68"/>
      <c r="N35" s="79"/>
    </row>
    <row r="36" spans="2:14" ht="15.75" customHeight="1">
      <c r="D36" s="78"/>
      <c r="E36" s="68"/>
      <c r="F36" s="68"/>
      <c r="G36" s="68"/>
      <c r="H36" s="68"/>
      <c r="I36" s="68"/>
      <c r="J36" s="68"/>
      <c r="K36" s="68"/>
      <c r="L36" s="68"/>
      <c r="M36" s="68"/>
      <c r="N36" s="79"/>
    </row>
    <row r="37" spans="2:14" ht="15.75" customHeight="1">
      <c r="D37" s="80"/>
      <c r="E37" s="81"/>
      <c r="F37" s="81"/>
      <c r="G37" s="81"/>
      <c r="H37" s="81"/>
      <c r="I37" s="81"/>
      <c r="J37" s="81"/>
      <c r="K37" s="81"/>
      <c r="L37" s="81"/>
      <c r="M37" s="81"/>
      <c r="N37" s="82"/>
    </row>
    <row r="39" spans="2:14" ht="15.75" customHeight="1">
      <c r="B39" s="83" t="s">
        <v>158</v>
      </c>
      <c r="C39" s="46">
        <f>(68/101)^(1/10)-1</f>
        <v>-3.8788951948587669E-2</v>
      </c>
      <c r="D39" s="85" t="str">
        <f ca="1">IFERROR(__xludf.DUMMYFUNCTION("SPARKLINE(GOOGLEFINANCE(B39,""PRICE"",TODAY()-3650,TODAY()))"),"")</f>
        <v/>
      </c>
      <c r="E39" s="76"/>
      <c r="F39" s="76"/>
      <c r="G39" s="76"/>
      <c r="H39" s="76"/>
      <c r="I39" s="76"/>
      <c r="J39" s="76"/>
      <c r="K39" s="76"/>
      <c r="L39" s="76"/>
      <c r="M39" s="76"/>
      <c r="N39" s="77"/>
    </row>
    <row r="40" spans="2:14" ht="15.75" customHeight="1">
      <c r="D40" s="78"/>
      <c r="E40" s="68"/>
      <c r="F40" s="68"/>
      <c r="G40" s="68"/>
      <c r="H40" s="68"/>
      <c r="I40" s="68"/>
      <c r="J40" s="68"/>
      <c r="K40" s="68"/>
      <c r="L40" s="68"/>
      <c r="M40" s="68"/>
      <c r="N40" s="79"/>
    </row>
    <row r="41" spans="2:14" ht="15.75" customHeight="1">
      <c r="D41" s="78"/>
      <c r="E41" s="68"/>
      <c r="F41" s="68"/>
      <c r="G41" s="68"/>
      <c r="H41" s="68"/>
      <c r="I41" s="68"/>
      <c r="J41" s="68"/>
      <c r="K41" s="68"/>
      <c r="L41" s="68"/>
      <c r="M41" s="68"/>
      <c r="N41" s="79"/>
    </row>
    <row r="42" spans="2:14" ht="15.75" customHeight="1">
      <c r="D42" s="78"/>
      <c r="E42" s="68"/>
      <c r="F42" s="68"/>
      <c r="G42" s="68"/>
      <c r="H42" s="68"/>
      <c r="I42" s="68"/>
      <c r="J42" s="68"/>
      <c r="K42" s="68"/>
      <c r="L42" s="68"/>
      <c r="M42" s="68"/>
      <c r="N42" s="79"/>
    </row>
    <row r="43" spans="2:14" ht="15.75" customHeight="1">
      <c r="D43" s="80"/>
      <c r="E43" s="81"/>
      <c r="F43" s="81"/>
      <c r="G43" s="81"/>
      <c r="H43" s="81"/>
      <c r="I43" s="81"/>
      <c r="J43" s="81"/>
      <c r="K43" s="81"/>
      <c r="L43" s="81"/>
      <c r="M43" s="81"/>
      <c r="N43" s="82"/>
    </row>
    <row r="45" spans="2:14" ht="15.75" customHeight="1">
      <c r="B45" s="83" t="s">
        <v>25</v>
      </c>
      <c r="C45" s="46">
        <f>(915/168)^(1/4)-1</f>
        <v>0.52766438220967804</v>
      </c>
      <c r="D45" s="85" t="str">
        <f ca="1">IFERROR(__xludf.DUMMYFUNCTION("SPARKLINE(GOOGLEFINANCE(B45,""PRICE"",TODAY()-3650,TODAY()))"),"")</f>
        <v/>
      </c>
      <c r="E45" s="76"/>
      <c r="F45" s="76"/>
      <c r="G45" s="76"/>
      <c r="H45" s="76"/>
      <c r="I45" s="76"/>
      <c r="J45" s="76"/>
      <c r="K45" s="76"/>
      <c r="L45" s="76"/>
      <c r="M45" s="76"/>
      <c r="N45" s="77"/>
    </row>
    <row r="46" spans="2:14" ht="15.75" customHeight="1">
      <c r="D46" s="78"/>
      <c r="E46" s="68"/>
      <c r="F46" s="68"/>
      <c r="G46" s="68"/>
      <c r="H46" s="68"/>
      <c r="I46" s="68"/>
      <c r="J46" s="68"/>
      <c r="K46" s="68"/>
      <c r="L46" s="68"/>
      <c r="M46" s="68"/>
      <c r="N46" s="79"/>
    </row>
    <row r="47" spans="2:14" ht="15.75" customHeight="1">
      <c r="D47" s="78"/>
      <c r="E47" s="68"/>
      <c r="F47" s="68"/>
      <c r="G47" s="68"/>
      <c r="H47" s="68"/>
      <c r="I47" s="68"/>
      <c r="J47" s="68"/>
      <c r="K47" s="68"/>
      <c r="L47" s="68"/>
      <c r="M47" s="68"/>
      <c r="N47" s="79"/>
    </row>
    <row r="48" spans="2:14" ht="15.75" customHeight="1">
      <c r="D48" s="78"/>
      <c r="E48" s="68"/>
      <c r="F48" s="68"/>
      <c r="G48" s="68"/>
      <c r="H48" s="68"/>
      <c r="I48" s="68"/>
      <c r="J48" s="68"/>
      <c r="K48" s="68"/>
      <c r="L48" s="68"/>
      <c r="M48" s="68"/>
      <c r="N48" s="79"/>
    </row>
    <row r="49" spans="4:14" ht="15.75" customHeight="1">
      <c r="D49" s="80"/>
      <c r="E49" s="81"/>
      <c r="F49" s="81"/>
      <c r="G49" s="81"/>
      <c r="H49" s="81"/>
      <c r="I49" s="81"/>
      <c r="J49" s="81"/>
      <c r="K49" s="81"/>
      <c r="L49" s="81"/>
      <c r="M49" s="81"/>
      <c r="N49" s="82"/>
    </row>
  </sheetData>
  <mergeCells count="5">
    <mergeCell ref="D21:N25"/>
    <mergeCell ref="D27:N31"/>
    <mergeCell ref="D33:N37"/>
    <mergeCell ref="D39:N43"/>
    <mergeCell ref="D45:N49"/>
  </mergeCells>
  <conditionalFormatting sqref="M4:M5 M9:M10 M14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N4:N5 N9:N10 N14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AFFLE</vt:lpstr>
      <vt:lpstr>ADVERTISIMENT INDUSTRY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2024-08-13T08:52:23Z</dcterms:created>
  <dcterms:modified xsi:type="dcterms:W3CDTF">2024-08-13T08:53:10Z</dcterms:modified>
</cp:coreProperties>
</file>