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1F2CCA78-5AF1-46B1-80B7-A0F3A194EB33}" xr6:coauthVersionLast="47" xr6:coauthVersionMax="47" xr10:uidLastSave="{00000000-0000-0000-0000-000000000000}"/>
  <bookViews>
    <workbookView xWindow="-108" yWindow="-108" windowWidth="23256" windowHeight="12456" xr2:uid="{26B43A75-6AE3-499D-AC5A-8595E43802DC}"/>
  </bookViews>
  <sheets>
    <sheet name="HDFCLIF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8" i="1" s="1"/>
  <c r="D6" i="1"/>
  <c r="S6" i="1"/>
  <c r="S8" i="1" s="1"/>
  <c r="D7" i="1"/>
  <c r="D8" i="1" s="1"/>
  <c r="E7" i="1"/>
  <c r="F7" i="1"/>
  <c r="G7" i="1"/>
  <c r="S7" i="1"/>
  <c r="H8" i="1"/>
  <c r="I8" i="1"/>
  <c r="J8" i="1"/>
  <c r="K8" i="1"/>
  <c r="L8" i="1"/>
  <c r="M8" i="1"/>
  <c r="N8" i="1"/>
  <c r="O8" i="1"/>
  <c r="P8" i="1"/>
  <c r="Q8" i="1"/>
  <c r="R8" i="1"/>
  <c r="C12" i="1"/>
  <c r="P12" i="1"/>
  <c r="N16" i="1"/>
  <c r="F29" i="1" s="1"/>
  <c r="D17" i="1"/>
  <c r="D16" i="1" s="1"/>
  <c r="F17" i="1"/>
  <c r="G17" i="1" s="1"/>
  <c r="M18" i="1"/>
  <c r="Q21" i="1"/>
  <c r="D24" i="1"/>
  <c r="E24" i="1"/>
  <c r="D25" i="1"/>
  <c r="E25" i="1"/>
  <c r="F25" i="1"/>
  <c r="H25" i="1"/>
  <c r="I25" i="1"/>
  <c r="K25" i="1"/>
  <c r="D26" i="1"/>
  <c r="E26" i="1"/>
  <c r="F26" i="1"/>
  <c r="G26" i="1"/>
  <c r="H26" i="1"/>
  <c r="I26" i="1"/>
  <c r="J26" i="1"/>
  <c r="K26" i="1"/>
  <c r="D29" i="1"/>
  <c r="E6" i="1" s="1"/>
  <c r="E8" i="1" s="1"/>
  <c r="E29" i="1"/>
  <c r="G29" i="1" s="1"/>
  <c r="P29" i="1"/>
  <c r="B12" i="1" s="1"/>
  <c r="U29" i="1"/>
  <c r="AA29" i="1"/>
  <c r="J30" i="1"/>
  <c r="K30" i="1"/>
  <c r="P30" i="1"/>
  <c r="U30" i="1"/>
  <c r="AA30" i="1"/>
  <c r="G31" i="1"/>
  <c r="G25" i="1" s="1"/>
  <c r="J31" i="1"/>
  <c r="K31" i="1"/>
  <c r="P31" i="1"/>
  <c r="U31" i="1"/>
  <c r="AA31" i="1"/>
  <c r="G32" i="1"/>
  <c r="J32" i="1"/>
  <c r="K32" i="1"/>
  <c r="P32" i="1"/>
  <c r="U32" i="1"/>
  <c r="AA32" i="1"/>
  <c r="G33" i="1"/>
  <c r="J33" i="1"/>
  <c r="K33" i="1"/>
  <c r="P33" i="1"/>
  <c r="U33" i="1"/>
  <c r="AA33" i="1"/>
  <c r="G34" i="1"/>
  <c r="J34" i="1"/>
  <c r="K34" i="1"/>
  <c r="P34" i="1"/>
  <c r="U34" i="1"/>
  <c r="AA34" i="1"/>
  <c r="G35" i="1"/>
  <c r="J35" i="1"/>
  <c r="J25" i="1" s="1"/>
  <c r="K24" i="1" s="1"/>
  <c r="K35" i="1"/>
  <c r="N35" i="1"/>
  <c r="P35" i="1" s="1"/>
  <c r="O35" i="1"/>
  <c r="S35" i="1"/>
  <c r="T35" i="1"/>
  <c r="U35" i="1"/>
  <c r="Y35" i="1"/>
  <c r="AA35" i="1" s="1"/>
  <c r="Z35" i="1"/>
  <c r="G36" i="1"/>
  <c r="J36" i="1"/>
  <c r="K36" i="1"/>
  <c r="G37" i="1"/>
  <c r="G38" i="1"/>
  <c r="G39" i="1"/>
  <c r="G40" i="1"/>
  <c r="Q40" i="1"/>
  <c r="G41" i="1"/>
  <c r="Q41" i="1"/>
  <c r="G42" i="1"/>
  <c r="P42" i="1"/>
  <c r="Q42" i="1"/>
  <c r="G43" i="1"/>
  <c r="Q43" i="1"/>
  <c r="G44" i="1"/>
  <c r="Q44" i="1"/>
  <c r="G45" i="1"/>
  <c r="Q45" i="1"/>
  <c r="Q46" i="1"/>
  <c r="Q47" i="1"/>
  <c r="N49" i="1"/>
  <c r="P43" i="1" s="1"/>
  <c r="O49" i="1"/>
  <c r="N54" i="1"/>
  <c r="N59" i="1" s="1"/>
  <c r="O54" i="1"/>
  <c r="O56" i="1"/>
  <c r="O59" i="1"/>
  <c r="D15" i="1" l="1"/>
  <c r="J29" i="1"/>
  <c r="K29" i="1"/>
  <c r="G6" i="1"/>
  <c r="Q49" i="1"/>
  <c r="P40" i="1"/>
  <c r="P49" i="1"/>
  <c r="P45" i="1"/>
  <c r="O16" i="1"/>
  <c r="O18" i="1" s="1"/>
  <c r="P16" i="1" s="1"/>
  <c r="Q12" i="1" s="1"/>
  <c r="E12" i="1"/>
  <c r="G24" i="1"/>
  <c r="G20" i="1" s="1"/>
  <c r="E16" i="1" s="1"/>
  <c r="P44" i="1"/>
  <c r="F6" i="1"/>
  <c r="E17" i="1"/>
  <c r="E21" i="1" s="1"/>
  <c r="N18" i="1"/>
  <c r="P47" i="1"/>
  <c r="P41" i="1"/>
  <c r="P46" i="1"/>
  <c r="F16" i="1" l="1"/>
  <c r="E15" i="1"/>
  <c r="L12" i="1"/>
  <c r="F8" i="1"/>
  <c r="K12" i="1"/>
  <c r="M12" i="1"/>
  <c r="N12" i="1"/>
  <c r="G8" i="1"/>
  <c r="G16" i="1" l="1"/>
  <c r="F15" i="1"/>
  <c r="G15" i="1" s="1"/>
</calcChain>
</file>

<file path=xl/sharedStrings.xml><?xml version="1.0" encoding="utf-8"?>
<sst xmlns="http://schemas.openxmlformats.org/spreadsheetml/2006/main" count="185" uniqueCount="126">
  <si>
    <t>Year</t>
  </si>
  <si>
    <t>PREMIUM</t>
  </si>
  <si>
    <t>PREMIUM IN CR</t>
  </si>
  <si>
    <t>WWW.PROFITFROMIT.IN</t>
  </si>
  <si>
    <t>TOTAL</t>
  </si>
  <si>
    <t>EXIDE</t>
  </si>
  <si>
    <t>NON INSTITUTION</t>
  </si>
  <si>
    <t>FPI</t>
  </si>
  <si>
    <t>MF, AIF</t>
  </si>
  <si>
    <t>PROMOTER</t>
  </si>
  <si>
    <t>SHP</t>
  </si>
  <si>
    <t>ACTURIAL LIABILITY</t>
  </si>
  <si>
    <t>BENEFITS PAID</t>
  </si>
  <si>
    <t>TAX</t>
  </si>
  <si>
    <t>FY_2009</t>
  </si>
  <si>
    <t>GST</t>
  </si>
  <si>
    <t>FY_2010</t>
  </si>
  <si>
    <t xml:space="preserve">DIMINUTION </t>
  </si>
  <si>
    <t>FY_2011</t>
  </si>
  <si>
    <t>OPRTG. COST</t>
  </si>
  <si>
    <t>FY_2012</t>
  </si>
  <si>
    <t>EMPLOYEE BEN</t>
  </si>
  <si>
    <t>FY_2013</t>
  </si>
  <si>
    <t>COMMISION</t>
  </si>
  <si>
    <t>FY_2014</t>
  </si>
  <si>
    <t>GROWTH</t>
  </si>
  <si>
    <t>SHARE</t>
  </si>
  <si>
    <t>H1_FY_24</t>
  </si>
  <si>
    <t>H1_FY_25</t>
  </si>
  <si>
    <t>COST</t>
  </si>
  <si>
    <t>FY_2015</t>
  </si>
  <si>
    <t>FY_2016</t>
  </si>
  <si>
    <t>FY_2017</t>
  </si>
  <si>
    <t>FY_2018</t>
  </si>
  <si>
    <t>IPO</t>
  </si>
  <si>
    <t>Margin</t>
  </si>
  <si>
    <t>FY_2019</t>
  </si>
  <si>
    <t>EPS</t>
  </si>
  <si>
    <t>FY_2020</t>
  </si>
  <si>
    <t>PROFIT</t>
  </si>
  <si>
    <t>FY_2021</t>
  </si>
  <si>
    <t>FY_2022</t>
  </si>
  <si>
    <t>TOTALINCOME</t>
  </si>
  <si>
    <t>FY_2023</t>
  </si>
  <si>
    <t>INV. INCOME</t>
  </si>
  <si>
    <t>FY_2024</t>
  </si>
  <si>
    <t>T_FY_2025</t>
  </si>
  <si>
    <t>Q1_FY_24</t>
  </si>
  <si>
    <t>Q1_FY_25</t>
  </si>
  <si>
    <t>RESULT</t>
  </si>
  <si>
    <t>Q2_FY24</t>
  </si>
  <si>
    <t>Q2_FY25</t>
  </si>
  <si>
    <t>LOW PE</t>
  </si>
  <si>
    <t>HIGH PE</t>
  </si>
  <si>
    <t>LOW PRICE</t>
  </si>
  <si>
    <t>HIGH PRICE</t>
  </si>
  <si>
    <t>Profit</t>
  </si>
  <si>
    <t>Gross Premium</t>
  </si>
  <si>
    <t>Actual</t>
  </si>
  <si>
    <t>MARGIN</t>
  </si>
  <si>
    <t>LAST YEAR</t>
  </si>
  <si>
    <t>5 YEAR</t>
  </si>
  <si>
    <t>10 Years</t>
  </si>
  <si>
    <t>EST_FY_25</t>
  </si>
  <si>
    <t>FY_24</t>
  </si>
  <si>
    <t>9M_FY24</t>
  </si>
  <si>
    <t>TREND</t>
  </si>
  <si>
    <t>LOWPE</t>
  </si>
  <si>
    <t>HIGHPE</t>
  </si>
  <si>
    <t>EST_2025</t>
  </si>
  <si>
    <t>TRAILEPS</t>
  </si>
  <si>
    <t>Q2_FY_25</t>
  </si>
  <si>
    <t>Q3_FY_24</t>
  </si>
  <si>
    <t>LONGTERM</t>
  </si>
  <si>
    <t>EXPECTED</t>
  </si>
  <si>
    <t>F_PE_25</t>
  </si>
  <si>
    <t>TRAIL_PE</t>
  </si>
  <si>
    <t>PE_24</t>
  </si>
  <si>
    <t>FY_2025</t>
  </si>
  <si>
    <t>FY_2030</t>
  </si>
  <si>
    <t>F_PEG</t>
  </si>
  <si>
    <t>F_EPS_25</t>
  </si>
  <si>
    <t>T_EPS</t>
  </si>
  <si>
    <t>EPS_24</t>
  </si>
  <si>
    <t>FY_2035</t>
  </si>
  <si>
    <t>FAIRVALUE</t>
  </si>
  <si>
    <t>ESTIMATES</t>
  </si>
  <si>
    <t>PEG</t>
  </si>
  <si>
    <t>PEV</t>
  </si>
  <si>
    <t>EBD_VALUE</t>
  </si>
  <si>
    <t>YIELD_23</t>
  </si>
  <si>
    <t>ROEV</t>
  </si>
  <si>
    <t>ROAE</t>
  </si>
  <si>
    <t>CONSRV.RATIO</t>
  </si>
  <si>
    <t>31_ST M-PER</t>
  </si>
  <si>
    <t>PH_L_SH_L</t>
  </si>
  <si>
    <t>SOLVENCY RATIO</t>
  </si>
  <si>
    <t>E_MANGT.RATIO</t>
  </si>
  <si>
    <t>P-MARGIN</t>
  </si>
  <si>
    <t>Pvt.MShare</t>
  </si>
  <si>
    <t>TOTAL INC</t>
  </si>
  <si>
    <t>PREM. GROWTH</t>
  </si>
  <si>
    <t>VALUATIONS</t>
  </si>
  <si>
    <t>PROFITABILITY</t>
  </si>
  <si>
    <t>SOLVENCY</t>
  </si>
  <si>
    <t>LIQUIDITY</t>
  </si>
  <si>
    <t>Last Year</t>
  </si>
  <si>
    <t>HDFCLIFE</t>
  </si>
  <si>
    <t>NETCASHFLOW</t>
  </si>
  <si>
    <t>CFF</t>
  </si>
  <si>
    <t>CFI</t>
  </si>
  <si>
    <t>CFO</t>
  </si>
  <si>
    <t>IEV</t>
  </si>
  <si>
    <t>AUM</t>
  </si>
  <si>
    <t>ASSETS</t>
  </si>
  <si>
    <t>NETWORTH</t>
  </si>
  <si>
    <t>Debt</t>
  </si>
  <si>
    <t>OTHER EQ</t>
  </si>
  <si>
    <t>Equity</t>
  </si>
  <si>
    <t>FV</t>
  </si>
  <si>
    <t>TRAIL_EPS</t>
  </si>
  <si>
    <t>Marketcap in Cr</t>
  </si>
  <si>
    <t>Price</t>
  </si>
  <si>
    <t>Company</t>
  </si>
  <si>
    <t>CASHFLOW</t>
  </si>
  <si>
    <t>HDFC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</si>
</sst>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[$₹]#,##0"/>
    <numFmt numFmtId="167" formatCode="[$₹]#,##0.0"/>
    <numFmt numFmtId="168" formatCode="#,##0.0"/>
  </numFmts>
  <fonts count="12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  <scheme val="minor"/>
    </font>
    <font>
      <sz val="11"/>
      <color rgb="FFFFFFFF"/>
      <name val="Calibri"/>
      <scheme val="minor"/>
    </font>
    <font>
      <sz val="8"/>
      <color rgb="FFFFFFFF"/>
      <name val="Calibri"/>
      <scheme val="minor"/>
    </font>
    <font>
      <u/>
      <sz val="36"/>
      <color rgb="FFFFFFFF"/>
      <name val="Arial"/>
    </font>
    <font>
      <b/>
      <i/>
      <sz val="11"/>
      <color theme="1"/>
      <name val="Calibri"/>
      <scheme val="minor"/>
    </font>
    <font>
      <sz val="22"/>
      <color theme="1"/>
      <name val="Calibri"/>
      <scheme val="minor"/>
    </font>
    <font>
      <sz val="11"/>
      <color theme="1"/>
      <name val="Calibri"/>
    </font>
    <font>
      <b/>
      <i/>
      <sz val="11"/>
      <color theme="1"/>
      <name val="Calibri"/>
    </font>
    <font>
      <sz val="12"/>
      <color theme="1"/>
      <name val="&quot;Helvetica Neue&quot;"/>
    </font>
    <font>
      <sz val="36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660000"/>
        <bgColor rgb="FF6600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0" borderId="0" xfId="0" applyFont="1"/>
    <xf numFmtId="1" fontId="4" fillId="3" borderId="1" xfId="0" applyNumberFormat="1" applyFont="1" applyFill="1" applyBorder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/>
    </xf>
    <xf numFmtId="9" fontId="6" fillId="0" borderId="2" xfId="0" applyNumberFormat="1" applyFont="1" applyBorder="1"/>
    <xf numFmtId="0" fontId="6" fillId="0" borderId="2" xfId="0" applyFont="1" applyBorder="1"/>
    <xf numFmtId="9" fontId="1" fillId="0" borderId="1" xfId="0" applyNumberFormat="1" applyFont="1" applyBorder="1"/>
    <xf numFmtId="9" fontId="2" fillId="2" borderId="1" xfId="0" applyNumberFormat="1" applyFont="1" applyFill="1" applyBorder="1" applyAlignment="1">
      <alignment horizontal="left"/>
    </xf>
    <xf numFmtId="9" fontId="6" fillId="4" borderId="1" xfId="0" applyNumberFormat="1" applyFont="1" applyFill="1" applyBorder="1"/>
    <xf numFmtId="1" fontId="6" fillId="4" borderId="1" xfId="0" applyNumberFormat="1" applyFont="1" applyFill="1" applyBorder="1"/>
    <xf numFmtId="0" fontId="6" fillId="4" borderId="1" xfId="0" applyFont="1" applyFill="1" applyBorder="1"/>
    <xf numFmtId="9" fontId="0" fillId="0" borderId="0" xfId="0" applyNumberFormat="1"/>
    <xf numFmtId="1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1" fillId="0" borderId="0" xfId="0" applyNumberFormat="1" applyFont="1"/>
    <xf numFmtId="0" fontId="0" fillId="0" borderId="1" xfId="0" applyBorder="1"/>
    <xf numFmtId="1" fontId="0" fillId="0" borderId="1" xfId="0" applyNumberFormat="1" applyBorder="1"/>
    <xf numFmtId="165" fontId="0" fillId="0" borderId="1" xfId="0" applyNumberFormat="1" applyBorder="1"/>
    <xf numFmtId="9" fontId="1" fillId="0" borderId="0" xfId="0" applyNumberFormat="1" applyFont="1"/>
    <xf numFmtId="2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1" fillId="0" borderId="1" xfId="0" applyNumberFormat="1" applyFont="1" applyBorder="1"/>
    <xf numFmtId="167" fontId="1" fillId="0" borderId="1" xfId="0" applyNumberFormat="1" applyFont="1" applyBorder="1"/>
    <xf numFmtId="1" fontId="7" fillId="4" borderId="0" xfId="0" applyNumberFormat="1" applyFont="1" applyFill="1" applyAlignment="1">
      <alignment horizontal="center" vertical="center"/>
    </xf>
    <xf numFmtId="16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9" fontId="8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8" fillId="0" borderId="0" xfId="0" applyFont="1"/>
    <xf numFmtId="0" fontId="8" fillId="5" borderId="0" xfId="0" applyFont="1" applyFill="1"/>
    <xf numFmtId="164" fontId="9" fillId="4" borderId="1" xfId="0" applyNumberFormat="1" applyFont="1" applyFill="1" applyBorder="1"/>
    <xf numFmtId="164" fontId="9" fillId="4" borderId="2" xfId="0" applyNumberFormat="1" applyFont="1" applyFill="1" applyBorder="1"/>
    <xf numFmtId="9" fontId="9" fillId="4" borderId="2" xfId="0" applyNumberFormat="1" applyFont="1" applyFill="1" applyBorder="1"/>
    <xf numFmtId="0" fontId="9" fillId="4" borderId="2" xfId="0" applyFont="1" applyFill="1" applyBorder="1"/>
    <xf numFmtId="0" fontId="8" fillId="5" borderId="1" xfId="0" applyFont="1" applyFill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/>
    <xf numFmtId="1" fontId="10" fillId="5" borderId="1" xfId="0" applyNumberFormat="1" applyFont="1" applyFill="1" applyBorder="1" applyAlignment="1">
      <alignment horizontal="right"/>
    </xf>
    <xf numFmtId="168" fontId="1" fillId="0" borderId="0" xfId="0" applyNumberFormat="1" applyFont="1"/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638175</xdr:colOff>
      <xdr:row>0</xdr:row>
      <xdr:rowOff>0</xdr:rowOff>
    </xdr:from>
    <xdr:ext cx="523875" cy="523875"/>
    <xdr:pic>
      <xdr:nvPicPr>
        <xdr:cNvPr id="2" name="image7.jpg" title="Image">
          <a:extLst>
            <a:ext uri="{FF2B5EF4-FFF2-40B4-BE49-F238E27FC236}">
              <a16:creationId xmlns:a16="http://schemas.microsoft.com/office/drawing/2014/main" id="{45A397BF-7879-43C5-8D54-47935700B9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00095" y="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0</xdr:rowOff>
    </xdr:from>
    <xdr:ext cx="523875" cy="5238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53DEEAFE-0009-4F10-B665-4A8C47BAC3A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46</xdr:row>
      <xdr:rowOff>-28575</xdr:rowOff>
    </xdr:from>
    <xdr:ext cx="10067925" cy="4343400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5A42E855-F5FF-4B23-8050-84EACA3FEF62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00" y="8033385"/>
          <a:ext cx="10067925" cy="434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3BB2-6855-41BC-A81A-9BC9D3047944}">
  <dimension ref="B1:AA1009"/>
  <sheetViews>
    <sheetView showGridLines="0" tabSelected="1" workbookViewId="0"/>
  </sheetViews>
  <sheetFormatPr defaultColWidth="14" defaultRowHeight="15" customHeight="1"/>
  <cols>
    <col min="1" max="1" width="4.109375" customWidth="1"/>
    <col min="2" max="17" width="13.44140625" customWidth="1"/>
    <col min="18" max="18" width="16.33203125" customWidth="1"/>
    <col min="19" max="19" width="13.21875" customWidth="1"/>
    <col min="20" max="20" width="11.88671875" customWidth="1"/>
    <col min="21" max="21" width="8.44140625" customWidth="1"/>
    <col min="22" max="23" width="6.21875" customWidth="1"/>
    <col min="24" max="24" width="14" customWidth="1"/>
    <col min="25" max="25" width="11.21875" customWidth="1"/>
    <col min="26" max="26" width="10.77734375" customWidth="1"/>
    <col min="27" max="27" width="8.44140625" customWidth="1"/>
  </cols>
  <sheetData>
    <row r="1" spans="2:19" ht="14.4">
      <c r="B1" s="58" t="s">
        <v>125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2:19" ht="14.4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0"/>
    </row>
    <row r="3" spans="2:19" ht="14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7"/>
    </row>
    <row r="4" spans="2:19" ht="14.4">
      <c r="P4" s="4" t="s">
        <v>124</v>
      </c>
    </row>
    <row r="5" spans="2:19" ht="14.4">
      <c r="B5" s="4" t="s">
        <v>123</v>
      </c>
      <c r="C5" s="4" t="s">
        <v>122</v>
      </c>
      <c r="D5" s="4" t="s">
        <v>121</v>
      </c>
      <c r="E5" s="4" t="s">
        <v>1</v>
      </c>
      <c r="F5" s="4" t="s">
        <v>39</v>
      </c>
      <c r="G5" s="4" t="s">
        <v>120</v>
      </c>
      <c r="H5" s="4" t="s">
        <v>119</v>
      </c>
      <c r="I5" s="4" t="s">
        <v>118</v>
      </c>
      <c r="J5" s="4" t="s">
        <v>117</v>
      </c>
      <c r="K5" s="4" t="s">
        <v>116</v>
      </c>
      <c r="L5" s="4" t="s">
        <v>115</v>
      </c>
      <c r="M5" s="4" t="s">
        <v>114</v>
      </c>
      <c r="N5" s="4" t="s">
        <v>113</v>
      </c>
      <c r="O5" s="4" t="s">
        <v>112</v>
      </c>
      <c r="P5" s="4" t="s">
        <v>111</v>
      </c>
      <c r="Q5" s="4" t="s">
        <v>110</v>
      </c>
      <c r="R5" s="4" t="s">
        <v>109</v>
      </c>
      <c r="S5" s="4" t="s">
        <v>108</v>
      </c>
    </row>
    <row r="6" spans="2:19" ht="15.6">
      <c r="B6" s="23" t="s">
        <v>107</v>
      </c>
      <c r="C6" s="56">
        <f ca="1">IFERROR(__xludf.DUMMYFUNCTION("GOOGLEFINANCE(B6,""PRICE"")"),742.1)</f>
        <v>742.1</v>
      </c>
      <c r="D6" s="56">
        <f ca="1">IFERROR(__xludf.DUMMYFUNCTION("GOOGLEFINANCE(B6,""marketcap"")/10000000"),159868.365442)</f>
        <v>159868.36544200001</v>
      </c>
      <c r="E6" s="54">
        <f>D29</f>
        <v>64969</v>
      </c>
      <c r="F6" s="54">
        <f>E29</f>
        <v>1693</v>
      </c>
      <c r="G6" s="53">
        <f>F29</f>
        <v>7.8599999999999994</v>
      </c>
      <c r="H6" s="51">
        <v>10</v>
      </c>
      <c r="I6" s="51">
        <v>2150</v>
      </c>
      <c r="J6" s="51">
        <v>12615</v>
      </c>
      <c r="K6" s="51">
        <v>950</v>
      </c>
      <c r="L6" s="51">
        <v>14700</v>
      </c>
      <c r="M6" s="51">
        <v>327847</v>
      </c>
      <c r="N6" s="23">
        <v>324900</v>
      </c>
      <c r="O6" s="23">
        <v>52100</v>
      </c>
      <c r="P6" s="23">
        <v>3320</v>
      </c>
      <c r="Q6" s="23">
        <v>-4528</v>
      </c>
      <c r="R6" s="23">
        <v>-429</v>
      </c>
      <c r="S6" s="23">
        <f>SUM(P6:R6)</f>
        <v>-1637</v>
      </c>
    </row>
    <row r="7" spans="2:19" ht="14.4">
      <c r="B7" s="52" t="s">
        <v>106</v>
      </c>
      <c r="C7" s="52">
        <v>633.35</v>
      </c>
      <c r="D7" s="55">
        <f ca="1">(C7*D6)/C6</f>
        <v>136440.68084178778</v>
      </c>
      <c r="E7" s="54">
        <f>D30</f>
        <v>62112</v>
      </c>
      <c r="F7" s="54">
        <f>E30</f>
        <v>1574</v>
      </c>
      <c r="G7" s="53">
        <f>F30</f>
        <v>7.32</v>
      </c>
      <c r="H7" s="52">
        <v>10</v>
      </c>
      <c r="I7" s="50">
        <v>2149</v>
      </c>
      <c r="J7" s="51">
        <v>11240</v>
      </c>
      <c r="K7" s="50">
        <v>950</v>
      </c>
      <c r="L7" s="50">
        <v>13400</v>
      </c>
      <c r="M7" s="50">
        <v>265846</v>
      </c>
      <c r="N7" s="23">
        <v>264800</v>
      </c>
      <c r="O7" s="23">
        <v>42900</v>
      </c>
      <c r="P7" s="23">
        <v>3833</v>
      </c>
      <c r="Q7" s="23">
        <v>-8970</v>
      </c>
      <c r="R7" s="23">
        <v>-448</v>
      </c>
      <c r="S7" s="23">
        <f>SUM(P7:R7)</f>
        <v>-5585</v>
      </c>
    </row>
    <row r="8" spans="2:19" ht="14.4">
      <c r="B8" s="49" t="s">
        <v>25</v>
      </c>
      <c r="C8" s="47">
        <f ca="1">(C6/C7)-1</f>
        <v>0.17170600773663858</v>
      </c>
      <c r="D8" s="47">
        <f ca="1">(D6/D7)-1</f>
        <v>0.17170600773663858</v>
      </c>
      <c r="E8" s="47">
        <f>(E6/E7)-1</f>
        <v>4.599755280783091E-2</v>
      </c>
      <c r="F8" s="48">
        <f>(F6/F7)-1</f>
        <v>7.5603557814485356E-2</v>
      </c>
      <c r="G8" s="48">
        <f>(G6/G7)-1</f>
        <v>7.3770491803278659E-2</v>
      </c>
      <c r="H8" s="47">
        <f>(H6/H7)-1</f>
        <v>0</v>
      </c>
      <c r="I8" s="47">
        <f>(I6/I7)-1</f>
        <v>4.6533271288962119E-4</v>
      </c>
      <c r="J8" s="47">
        <f>(J6/J7)-1</f>
        <v>0.12233096085409256</v>
      </c>
      <c r="K8" s="47">
        <f>(K6/K7)-1</f>
        <v>0</v>
      </c>
      <c r="L8" s="47">
        <f>(L6/L7)-1</f>
        <v>9.7014925373134275E-2</v>
      </c>
      <c r="M8" s="47">
        <f>(M6/M7)-1</f>
        <v>0.23322148913280616</v>
      </c>
      <c r="N8" s="47">
        <f>(N6/N7)-1</f>
        <v>0.22696374622356497</v>
      </c>
      <c r="O8" s="47">
        <f>(O6/O7)-1</f>
        <v>0.21445221445221452</v>
      </c>
      <c r="P8" s="46">
        <f>(P6/P7)-1</f>
        <v>-0.13383772501956692</v>
      </c>
      <c r="Q8" s="46">
        <f>(Q6/Q7)-1</f>
        <v>-0.49520624303232996</v>
      </c>
      <c r="R8" s="46">
        <f>(R6/R7)-1</f>
        <v>-4.2410714285714302E-2</v>
      </c>
      <c r="S8" s="46">
        <f>(S6/S7)-1</f>
        <v>-0.70689346463742164</v>
      </c>
    </row>
    <row r="9" spans="2:19" ht="14.4">
      <c r="B9" s="44"/>
      <c r="C9" s="44"/>
      <c r="D9" s="44"/>
      <c r="E9" s="44"/>
      <c r="F9" s="44"/>
      <c r="G9" s="44"/>
      <c r="H9" s="44"/>
      <c r="I9" s="44"/>
      <c r="J9" s="45"/>
      <c r="K9" s="45"/>
      <c r="L9" s="45"/>
      <c r="M9" s="45"/>
      <c r="N9" s="45"/>
      <c r="O9" s="45"/>
    </row>
    <row r="10" spans="2:19" ht="14.4">
      <c r="B10" s="44" t="s">
        <v>25</v>
      </c>
      <c r="C10" s="44" t="s">
        <v>25</v>
      </c>
      <c r="D10" s="44"/>
      <c r="E10" s="44" t="s">
        <v>105</v>
      </c>
      <c r="G10" s="44" t="s">
        <v>104</v>
      </c>
      <c r="K10" s="44" t="s">
        <v>103</v>
      </c>
      <c r="M10" s="45" t="s">
        <v>102</v>
      </c>
      <c r="N10" s="45"/>
      <c r="O10" s="45"/>
      <c r="P10" s="45"/>
      <c r="Q10" s="44"/>
    </row>
    <row r="11" spans="2:19" ht="14.4">
      <c r="B11" s="4" t="s">
        <v>101</v>
      </c>
      <c r="C11" s="4" t="s">
        <v>100</v>
      </c>
      <c r="D11" s="4" t="s">
        <v>99</v>
      </c>
      <c r="E11" s="4" t="s">
        <v>98</v>
      </c>
      <c r="F11" s="4" t="s">
        <v>97</v>
      </c>
      <c r="G11" s="4" t="s">
        <v>96</v>
      </c>
      <c r="H11" s="4" t="s">
        <v>95</v>
      </c>
      <c r="I11" s="4" t="s">
        <v>94</v>
      </c>
      <c r="J11" s="4" t="s">
        <v>93</v>
      </c>
      <c r="K11" s="4" t="s">
        <v>92</v>
      </c>
      <c r="L11" s="4" t="s">
        <v>91</v>
      </c>
      <c r="M11" s="4" t="s">
        <v>76</v>
      </c>
      <c r="N11" s="4" t="s">
        <v>90</v>
      </c>
      <c r="O11" s="4" t="s">
        <v>89</v>
      </c>
      <c r="P11" s="4" t="s">
        <v>88</v>
      </c>
      <c r="Q11" s="4" t="s">
        <v>87</v>
      </c>
    </row>
    <row r="12" spans="2:19" ht="14.4">
      <c r="B12" s="42">
        <f>P29</f>
        <v>0.10861053031743007</v>
      </c>
      <c r="C12" s="42">
        <f>P31</f>
        <v>0.1940469499805455</v>
      </c>
      <c r="D12" s="43">
        <v>0.16300000000000001</v>
      </c>
      <c r="E12" s="41">
        <f>N35</f>
        <v>3.1342157602359234E-2</v>
      </c>
      <c r="F12" s="41">
        <v>0.19400000000000001</v>
      </c>
      <c r="G12" s="42">
        <v>1.87</v>
      </c>
      <c r="H12" s="16">
        <v>18.751999999999999</v>
      </c>
      <c r="I12" s="16">
        <v>0.87</v>
      </c>
      <c r="J12" s="16">
        <v>0.85799999999999998</v>
      </c>
      <c r="K12" s="42">
        <f>F6/L6</f>
        <v>0.11517006802721089</v>
      </c>
      <c r="L12" s="42">
        <f>F6/O6</f>
        <v>3.2495201535508639E-2</v>
      </c>
      <c r="M12" s="39">
        <f ca="1">C6/G6</f>
        <v>94.41475826972011</v>
      </c>
      <c r="N12" s="41">
        <f ca="1">G6/C6</f>
        <v>1.0591564479180702E-2</v>
      </c>
      <c r="O12" s="39">
        <v>475</v>
      </c>
      <c r="P12" s="40">
        <f ca="1">C6/O12</f>
        <v>1.5623157894736843</v>
      </c>
      <c r="Q12" s="39">
        <f ca="1">P16</f>
        <v>2.3098605928631812</v>
      </c>
    </row>
    <row r="13" spans="2:19" ht="14.4">
      <c r="I13" s="30"/>
    </row>
    <row r="14" spans="2:19" ht="14.4">
      <c r="B14" s="4" t="s">
        <v>86</v>
      </c>
      <c r="C14" s="4" t="s">
        <v>0</v>
      </c>
      <c r="D14" s="4" t="s">
        <v>1</v>
      </c>
      <c r="E14" s="4" t="s">
        <v>39</v>
      </c>
      <c r="F14" s="4" t="s">
        <v>37</v>
      </c>
      <c r="G14" s="4" t="s">
        <v>85</v>
      </c>
      <c r="I14" s="26"/>
    </row>
    <row r="15" spans="2:19" ht="14.4">
      <c r="C15" s="4" t="s">
        <v>84</v>
      </c>
      <c r="D15" s="34">
        <f>FV(12%,5,0,-D16,0)</f>
        <v>246588.51856491994</v>
      </c>
      <c r="E15" s="34">
        <f>FV(12%,5,0,-E16,0)</f>
        <v>8281.0865988310361</v>
      </c>
      <c r="F15" s="34">
        <f>FV(12%,5,0,-F16,0)</f>
        <v>38.630938337379128</v>
      </c>
      <c r="G15" s="34">
        <f>F15*40</f>
        <v>1545.2375334951651</v>
      </c>
      <c r="M15" s="33" t="s">
        <v>83</v>
      </c>
      <c r="N15" s="33" t="s">
        <v>82</v>
      </c>
      <c r="O15" s="33" t="s">
        <v>81</v>
      </c>
      <c r="P15" s="33" t="s">
        <v>80</v>
      </c>
    </row>
    <row r="16" spans="2:19" ht="14.4">
      <c r="C16" s="4" t="s">
        <v>79</v>
      </c>
      <c r="D16" s="34">
        <f>FV(D20,5,0,-D17,0)</f>
        <v>139920.94774559996</v>
      </c>
      <c r="E16" s="34">
        <f>D16*G20</f>
        <v>4698.9109307081235</v>
      </c>
      <c r="F16" s="34">
        <f>(E16*F17)/E17</f>
        <v>21.92023187423813</v>
      </c>
      <c r="G16" s="34">
        <f>F16*45</f>
        <v>986.41043434071582</v>
      </c>
      <c r="M16" s="38">
        <v>7.32</v>
      </c>
      <c r="N16" s="38">
        <f>Q21</f>
        <v>7.8599999999999994</v>
      </c>
      <c r="O16" s="37">
        <f>F17</f>
        <v>9.7356000000000016</v>
      </c>
      <c r="P16" s="36">
        <f ca="1">O18/33</f>
        <v>2.3098605928631812</v>
      </c>
    </row>
    <row r="17" spans="2:27" ht="14.4">
      <c r="C17" s="4" t="s">
        <v>78</v>
      </c>
      <c r="D17" s="34">
        <f>FV(D21,1,0,-D30,0)</f>
        <v>69565.440000000002</v>
      </c>
      <c r="E17" s="34">
        <f>D17*G21</f>
        <v>2086.9632000000001</v>
      </c>
      <c r="F17" s="35">
        <f>FV(F21,1,0,-F30,0)</f>
        <v>9.7356000000000016</v>
      </c>
      <c r="G17" s="34">
        <f>F17*50</f>
        <v>486.78000000000009</v>
      </c>
      <c r="M17" s="33" t="s">
        <v>77</v>
      </c>
      <c r="N17" s="33" t="s">
        <v>76</v>
      </c>
      <c r="O17" s="33" t="s">
        <v>75</v>
      </c>
      <c r="P17" s="12"/>
    </row>
    <row r="18" spans="2:27" ht="14.4">
      <c r="M18" s="8">
        <f>499/M16</f>
        <v>68.169398907103826</v>
      </c>
      <c r="N18" s="8">
        <f>C7/N16</f>
        <v>80.578880407124686</v>
      </c>
      <c r="O18" s="32">
        <f ca="1">C6/O16</f>
        <v>76.225399564484974</v>
      </c>
      <c r="P18" s="12"/>
    </row>
    <row r="19" spans="2:27" ht="14.4">
      <c r="B19" s="4" t="s">
        <v>74</v>
      </c>
      <c r="C19" s="4" t="s">
        <v>0</v>
      </c>
      <c r="D19" s="4" t="s">
        <v>57</v>
      </c>
      <c r="E19" s="4" t="s">
        <v>56</v>
      </c>
      <c r="F19" s="4" t="s">
        <v>37</v>
      </c>
      <c r="G19" s="4" t="s">
        <v>59</v>
      </c>
      <c r="H19" s="10"/>
      <c r="I19" s="10"/>
      <c r="J19" s="10"/>
      <c r="K19" s="10"/>
    </row>
    <row r="20" spans="2:27" ht="14.4">
      <c r="C20" s="4" t="s">
        <v>73</v>
      </c>
      <c r="D20" s="16">
        <v>0.15</v>
      </c>
      <c r="E20" s="16">
        <v>0.15</v>
      </c>
      <c r="F20" s="16">
        <v>0.15</v>
      </c>
      <c r="G20" s="24">
        <f>AVERAGE(G24:G26)</f>
        <v>3.3582612227952752E-2</v>
      </c>
      <c r="M20" s="4" t="s">
        <v>72</v>
      </c>
      <c r="N20" s="4" t="s">
        <v>72</v>
      </c>
      <c r="O20" s="4" t="s">
        <v>48</v>
      </c>
      <c r="P20" s="4" t="s">
        <v>71</v>
      </c>
      <c r="Q20" s="4" t="s">
        <v>70</v>
      </c>
    </row>
    <row r="21" spans="2:27" ht="14.4">
      <c r="C21" s="4" t="s">
        <v>69</v>
      </c>
      <c r="D21" s="16">
        <v>0.12</v>
      </c>
      <c r="E21" s="16">
        <f>(E17/E30)-1</f>
        <v>0.32589783989834831</v>
      </c>
      <c r="F21" s="16">
        <v>0.33</v>
      </c>
      <c r="G21" s="24">
        <v>0.03</v>
      </c>
      <c r="I21" s="30"/>
      <c r="J21" s="30"/>
      <c r="M21" s="23">
        <v>1.7</v>
      </c>
      <c r="N21" s="23">
        <v>1.91</v>
      </c>
      <c r="O21" s="23">
        <v>2.23</v>
      </c>
      <c r="P21" s="23">
        <v>2.02</v>
      </c>
      <c r="Q21" s="23">
        <f>SUM(M21:P21)</f>
        <v>7.8599999999999994</v>
      </c>
    </row>
    <row r="23" spans="2:27" ht="14.4">
      <c r="B23" s="4" t="s">
        <v>25</v>
      </c>
      <c r="C23" s="4" t="s">
        <v>0</v>
      </c>
      <c r="D23" s="4" t="s">
        <v>57</v>
      </c>
      <c r="E23" s="4" t="s">
        <v>56</v>
      </c>
      <c r="F23" s="4" t="s">
        <v>37</v>
      </c>
      <c r="G23" s="4" t="s">
        <v>35</v>
      </c>
      <c r="H23" s="4" t="s">
        <v>55</v>
      </c>
      <c r="I23" s="4" t="s">
        <v>54</v>
      </c>
      <c r="J23" s="4" t="s">
        <v>68</v>
      </c>
      <c r="K23" s="4" t="s">
        <v>67</v>
      </c>
      <c r="M23" s="4" t="s">
        <v>66</v>
      </c>
      <c r="N23" s="4" t="s">
        <v>65</v>
      </c>
      <c r="O23" s="4" t="s">
        <v>64</v>
      </c>
      <c r="P23" s="4" t="s">
        <v>48</v>
      </c>
      <c r="Q23" s="4" t="s">
        <v>28</v>
      </c>
      <c r="R23" s="4" t="s">
        <v>63</v>
      </c>
    </row>
    <row r="24" spans="2:27" ht="14.4">
      <c r="C24" s="4" t="s">
        <v>62</v>
      </c>
      <c r="D24" s="16">
        <f>(D30/D40)^(1/10)-1</f>
        <v>0.17807250084025394</v>
      </c>
      <c r="E24" s="16">
        <f>(E30/E40)^(1/10)-1</f>
        <v>8.0604252152550959E-2</v>
      </c>
      <c r="F24" s="16"/>
      <c r="G24" s="24">
        <f>MEDIAN(G30:G40)</f>
        <v>4.3753854587816075E-2</v>
      </c>
      <c r="H24" s="23"/>
      <c r="I24" s="23"/>
      <c r="J24" s="23"/>
      <c r="K24" s="1">
        <f>AVERAGE(J25:K25)</f>
        <v>73.273600695277906</v>
      </c>
      <c r="M24" s="23" t="s">
        <v>1</v>
      </c>
      <c r="N24" s="16">
        <v>0.11</v>
      </c>
      <c r="O24" s="16">
        <v>0.09</v>
      </c>
      <c r="P24" s="16">
        <v>0.09</v>
      </c>
      <c r="Q24" s="16">
        <v>0.11</v>
      </c>
      <c r="R24" s="16">
        <v>0.12</v>
      </c>
    </row>
    <row r="25" spans="2:27" ht="14.4">
      <c r="C25" s="4" t="s">
        <v>61</v>
      </c>
      <c r="D25" s="16">
        <f>(D30/D35)^(1/5)-1</f>
        <v>0.16305482442797148</v>
      </c>
      <c r="E25" s="16">
        <f>(E30/E35)^(1/5)-1</f>
        <v>4.2708145370182304E-2</v>
      </c>
      <c r="F25" s="16">
        <f>(F30/F35)^(1/5)-1</f>
        <v>2.9163474833496794E-2</v>
      </c>
      <c r="G25" s="24">
        <f>MEDIAN(G30:G35)</f>
        <v>3.1993982096042192E-2</v>
      </c>
      <c r="H25" s="16">
        <f>(H30/H35)^(1/5)-1</f>
        <v>5.3162915350768891E-2</v>
      </c>
      <c r="I25" s="16">
        <f>(I30/I35)^(1/5)-1</f>
        <v>7.8092082656037842E-2</v>
      </c>
      <c r="J25" s="22">
        <f>MEDIAN(J35:J40)</f>
        <v>87.883126736299275</v>
      </c>
      <c r="K25" s="22">
        <f>MEDIAN(K31:K36)</f>
        <v>58.664074654256531</v>
      </c>
      <c r="M25" s="23" t="s">
        <v>39</v>
      </c>
      <c r="N25" s="16">
        <v>0.15</v>
      </c>
      <c r="O25" s="16">
        <v>0.15</v>
      </c>
      <c r="P25" s="16">
        <v>0.15</v>
      </c>
      <c r="Q25" s="16">
        <v>0.15</v>
      </c>
      <c r="R25" s="16">
        <v>0.37</v>
      </c>
    </row>
    <row r="26" spans="2:27" ht="14.4">
      <c r="C26" s="4" t="s">
        <v>60</v>
      </c>
      <c r="D26" s="16">
        <f>(D30/D31)-1</f>
        <v>9.2021519744013514E-2</v>
      </c>
      <c r="E26" s="16">
        <f>(E30/E31)-1</f>
        <v>0.15058479532163749</v>
      </c>
      <c r="F26" s="16">
        <f>(F30/F31)-1</f>
        <v>0.14196567862714504</v>
      </c>
      <c r="G26" s="24">
        <f>G30</f>
        <v>2.5000000000000001E-2</v>
      </c>
      <c r="H26" s="16">
        <f>(H30/H31)-1</f>
        <v>0.14516129032258074</v>
      </c>
      <c r="I26" s="16">
        <f>(I30/I31)-1</f>
        <v>9.6280087527352398E-2</v>
      </c>
      <c r="J26" s="22">
        <f>J30</f>
        <v>96.994535519125677</v>
      </c>
      <c r="K26" s="22">
        <f>K30</f>
        <v>68.442622950819668</v>
      </c>
      <c r="M26" s="23" t="s">
        <v>59</v>
      </c>
      <c r="N26" s="24">
        <v>2.8000000000000001E-2</v>
      </c>
      <c r="O26" s="24">
        <v>2.5000000000000001E-2</v>
      </c>
      <c r="P26" s="24">
        <v>3.7999999999999999E-2</v>
      </c>
      <c r="Q26" s="24">
        <v>3.1E-2</v>
      </c>
      <c r="R26" s="24">
        <v>0.03</v>
      </c>
    </row>
    <row r="27" spans="2:27" ht="14.4">
      <c r="R27" s="30"/>
    </row>
    <row r="28" spans="2:27" ht="14.4">
      <c r="B28" s="4" t="s">
        <v>58</v>
      </c>
      <c r="C28" s="4" t="s">
        <v>0</v>
      </c>
      <c r="D28" s="4" t="s">
        <v>57</v>
      </c>
      <c r="E28" s="4" t="s">
        <v>56</v>
      </c>
      <c r="F28" s="4" t="s">
        <v>37</v>
      </c>
      <c r="G28" s="4" t="s">
        <v>35</v>
      </c>
      <c r="H28" s="4" t="s">
        <v>55</v>
      </c>
      <c r="I28" s="4" t="s">
        <v>54</v>
      </c>
      <c r="J28" s="4" t="s">
        <v>53</v>
      </c>
      <c r="K28" s="4" t="s">
        <v>52</v>
      </c>
      <c r="M28" s="4" t="s">
        <v>49</v>
      </c>
      <c r="N28" s="4" t="s">
        <v>28</v>
      </c>
      <c r="O28" s="4" t="s">
        <v>27</v>
      </c>
      <c r="P28" s="4" t="s">
        <v>25</v>
      </c>
      <c r="R28" s="4" t="s">
        <v>49</v>
      </c>
      <c r="S28" s="4" t="s">
        <v>51</v>
      </c>
      <c r="T28" s="4" t="s">
        <v>50</v>
      </c>
      <c r="U28" s="4" t="s">
        <v>25</v>
      </c>
      <c r="X28" s="4" t="s">
        <v>49</v>
      </c>
      <c r="Y28" s="4" t="s">
        <v>48</v>
      </c>
      <c r="Z28" s="4" t="s">
        <v>47</v>
      </c>
      <c r="AA28" s="4" t="s">
        <v>25</v>
      </c>
    </row>
    <row r="29" spans="2:27" ht="14.4">
      <c r="C29" s="4" t="s">
        <v>46</v>
      </c>
      <c r="D29" s="10">
        <f>D30+N29-O29</f>
        <v>64969</v>
      </c>
      <c r="E29" s="10">
        <f>E30+N33-O33</f>
        <v>1693</v>
      </c>
      <c r="F29" s="23">
        <f>N16</f>
        <v>7.8599999999999994</v>
      </c>
      <c r="G29" s="24">
        <f>E29/D29</f>
        <v>2.6058581785159077E-2</v>
      </c>
      <c r="H29" s="23">
        <v>761</v>
      </c>
      <c r="I29" s="23">
        <v>511</v>
      </c>
      <c r="J29" s="22">
        <f>H29/F29</f>
        <v>96.819338422391866</v>
      </c>
      <c r="K29" s="22">
        <f>I29/F29</f>
        <v>65.012722646310436</v>
      </c>
      <c r="M29" s="23" t="s">
        <v>1</v>
      </c>
      <c r="N29" s="23">
        <v>29162</v>
      </c>
      <c r="O29" s="23">
        <v>26305</v>
      </c>
      <c r="P29" s="16">
        <f>(N29/O29)^(1/1)-1</f>
        <v>0.10861053031743007</v>
      </c>
      <c r="R29" s="23" t="s">
        <v>1</v>
      </c>
      <c r="S29" s="23">
        <v>16614</v>
      </c>
      <c r="T29" s="23">
        <v>14797</v>
      </c>
      <c r="U29" s="16">
        <f>(S29/T29)^(1/1)-1</f>
        <v>0.1227951611813205</v>
      </c>
      <c r="X29" s="23" t="s">
        <v>1</v>
      </c>
      <c r="Y29" s="23">
        <v>12548</v>
      </c>
      <c r="Z29" s="23">
        <v>11507</v>
      </c>
      <c r="AA29" s="16">
        <f>(Y29/Z29)^(1/1)-1</f>
        <v>9.0466672460241648E-2</v>
      </c>
    </row>
    <row r="30" spans="2:27" ht="15.75" customHeight="1">
      <c r="C30" s="4" t="s">
        <v>45</v>
      </c>
      <c r="D30" s="10">
        <v>62112</v>
      </c>
      <c r="E30" s="10">
        <v>1574</v>
      </c>
      <c r="F30" s="25">
        <v>7.32</v>
      </c>
      <c r="G30" s="24">
        <v>2.5000000000000001E-2</v>
      </c>
      <c r="H30" s="23">
        <v>710</v>
      </c>
      <c r="I30" s="23">
        <v>501</v>
      </c>
      <c r="J30" s="22">
        <f>H30/F30</f>
        <v>96.994535519125677</v>
      </c>
      <c r="K30" s="22">
        <f>I30/F30</f>
        <v>68.442622950819668</v>
      </c>
      <c r="M30" s="23" t="s">
        <v>44</v>
      </c>
      <c r="N30" s="23">
        <v>25740</v>
      </c>
      <c r="O30" s="23">
        <v>19737</v>
      </c>
      <c r="P30" s="16">
        <f>(N30/O30)^(1/1)-1</f>
        <v>0.3041495668034655</v>
      </c>
      <c r="R30" s="23" t="s">
        <v>44</v>
      </c>
      <c r="S30" s="23">
        <v>11613</v>
      </c>
      <c r="T30" s="23">
        <v>8106</v>
      </c>
      <c r="U30" s="16">
        <f>(S30/T30)^(1/1)-1</f>
        <v>0.43264248704663211</v>
      </c>
      <c r="X30" s="23" t="s">
        <v>44</v>
      </c>
      <c r="Y30" s="23">
        <v>14127</v>
      </c>
      <c r="Z30" s="23">
        <v>11630</v>
      </c>
      <c r="AA30" s="16">
        <f>(Y30/Z30)^(1/1)-1</f>
        <v>0.21470335339638869</v>
      </c>
    </row>
    <row r="31" spans="2:27" ht="15.75" customHeight="1">
      <c r="C31" s="4" t="s">
        <v>43</v>
      </c>
      <c r="D31" s="10">
        <v>56878</v>
      </c>
      <c r="E31" s="10">
        <v>1368</v>
      </c>
      <c r="F31" s="25">
        <v>6.41</v>
      </c>
      <c r="G31" s="24">
        <f>E31/D31</f>
        <v>2.4051478603326418E-2</v>
      </c>
      <c r="H31" s="23">
        <v>620</v>
      </c>
      <c r="I31" s="23">
        <v>457</v>
      </c>
      <c r="J31" s="22">
        <f>H31/F31</f>
        <v>96.723868954758188</v>
      </c>
      <c r="K31" s="22">
        <f>I31/F31</f>
        <v>71.294851794071761</v>
      </c>
      <c r="M31" s="23" t="s">
        <v>42</v>
      </c>
      <c r="N31" s="23">
        <v>55239</v>
      </c>
      <c r="O31" s="23">
        <v>46262</v>
      </c>
      <c r="P31" s="16">
        <f>(N31/O31)^(1/1)-1</f>
        <v>0.1940469499805455</v>
      </c>
      <c r="R31" s="23" t="s">
        <v>42</v>
      </c>
      <c r="S31" s="23">
        <v>28489</v>
      </c>
      <c r="T31" s="23">
        <v>23018</v>
      </c>
      <c r="U31" s="16">
        <f>(S31/T31)^(1/1)-1</f>
        <v>0.23768355200278046</v>
      </c>
      <c r="X31" s="23" t="s">
        <v>42</v>
      </c>
      <c r="Y31" s="23">
        <v>26750</v>
      </c>
      <c r="Z31" s="23">
        <v>23242</v>
      </c>
      <c r="AA31" s="16">
        <f>(Y31/Z31)^(1/1)-1</f>
        <v>0.15093365459082686</v>
      </c>
    </row>
    <row r="32" spans="2:27" ht="15.75" customHeight="1">
      <c r="C32" s="4" t="s">
        <v>41</v>
      </c>
      <c r="D32" s="23">
        <v>46801</v>
      </c>
      <c r="E32" s="23">
        <v>1327</v>
      </c>
      <c r="F32" s="25">
        <v>6.49</v>
      </c>
      <c r="G32" s="24">
        <f>E32/D32</f>
        <v>2.835409499797013E-2</v>
      </c>
      <c r="H32" s="23">
        <v>776</v>
      </c>
      <c r="I32" s="23">
        <v>497</v>
      </c>
      <c r="J32" s="22">
        <f>H32/F32</f>
        <v>119.56856702619415</v>
      </c>
      <c r="K32" s="22">
        <f>I32/F32</f>
        <v>76.579352850539294</v>
      </c>
      <c r="M32" s="23" t="s">
        <v>29</v>
      </c>
      <c r="N32" s="23">
        <v>54162</v>
      </c>
      <c r="O32" s="23">
        <v>45820</v>
      </c>
      <c r="P32" s="16">
        <f>(N32/O32)^(1/1)-1</f>
        <v>0.18206023570493235</v>
      </c>
      <c r="R32" s="23" t="s">
        <v>29</v>
      </c>
      <c r="S32" s="23">
        <v>27976</v>
      </c>
      <c r="T32" s="23">
        <v>22788</v>
      </c>
      <c r="U32" s="16">
        <f>(S32/T32)^(1/1)-1</f>
        <v>0.22766368263998604</v>
      </c>
      <c r="W32" s="10"/>
      <c r="X32" s="23" t="s">
        <v>29</v>
      </c>
      <c r="Y32" s="23">
        <v>26185</v>
      </c>
      <c r="Z32" s="23">
        <v>23030</v>
      </c>
      <c r="AA32" s="16">
        <f>(Y32/Z32)^(1/1)-1</f>
        <v>0.1369952236213634</v>
      </c>
    </row>
    <row r="33" spans="2:27" ht="15.75" customHeight="1">
      <c r="C33" s="4" t="s">
        <v>40</v>
      </c>
      <c r="D33" s="23">
        <v>38194</v>
      </c>
      <c r="E33" s="23">
        <v>1361</v>
      </c>
      <c r="F33" s="25">
        <v>6.73</v>
      </c>
      <c r="G33" s="24">
        <f>E33/D33</f>
        <v>3.5633869194114258E-2</v>
      </c>
      <c r="H33" s="23">
        <v>746</v>
      </c>
      <c r="I33" s="23">
        <v>416</v>
      </c>
      <c r="J33" s="22">
        <f>H33/F33</f>
        <v>110.84695393759286</v>
      </c>
      <c r="K33" s="22">
        <f>I33/F33</f>
        <v>61.812778603268939</v>
      </c>
      <c r="M33" s="23" t="s">
        <v>39</v>
      </c>
      <c r="N33" s="23">
        <v>914</v>
      </c>
      <c r="O33" s="23">
        <v>795</v>
      </c>
      <c r="P33" s="16">
        <f>(N33/O33)^(1/1)-1</f>
        <v>0.14968553459119494</v>
      </c>
      <c r="Q33" s="10"/>
      <c r="R33" s="23" t="s">
        <v>39</v>
      </c>
      <c r="S33" s="23">
        <v>435</v>
      </c>
      <c r="T33" s="23">
        <v>378</v>
      </c>
      <c r="U33" s="16">
        <f>(S33/T33)^(1/1)-1</f>
        <v>0.1507936507936507</v>
      </c>
      <c r="W33" s="10"/>
      <c r="X33" s="23" t="s">
        <v>39</v>
      </c>
      <c r="Y33" s="23">
        <v>478</v>
      </c>
      <c r="Z33" s="23">
        <v>416</v>
      </c>
      <c r="AA33" s="16">
        <f>(Y33/Z33)^(1/1)-1</f>
        <v>0.14903846153846145</v>
      </c>
    </row>
    <row r="34" spans="2:27" ht="15.75" customHeight="1">
      <c r="C34" s="4" t="s">
        <v>38</v>
      </c>
      <c r="D34" s="23">
        <v>32707</v>
      </c>
      <c r="E34" s="23">
        <v>1295</v>
      </c>
      <c r="F34" s="25">
        <v>6.42</v>
      </c>
      <c r="G34" s="24">
        <f>E34/D34</f>
        <v>3.9593970709634024E-2</v>
      </c>
      <c r="H34" s="23">
        <v>646</v>
      </c>
      <c r="I34" s="23">
        <v>340</v>
      </c>
      <c r="J34" s="22">
        <f>H34/F34</f>
        <v>100.62305295950156</v>
      </c>
      <c r="K34" s="22">
        <f>I34/F34</f>
        <v>52.9595015576324</v>
      </c>
      <c r="M34" s="23" t="s">
        <v>37</v>
      </c>
      <c r="N34" s="31">
        <v>4.25</v>
      </c>
      <c r="O34" s="31">
        <v>3.69</v>
      </c>
      <c r="P34" s="16">
        <f>(N34/O34)^(1/1)-1</f>
        <v>0.15176151761517609</v>
      </c>
      <c r="Q34" s="26"/>
      <c r="R34" s="23" t="s">
        <v>37</v>
      </c>
      <c r="S34" s="31">
        <v>2.02</v>
      </c>
      <c r="T34" s="25">
        <v>1.76</v>
      </c>
      <c r="U34" s="16">
        <f>(S34/T34)^(1/1)-1</f>
        <v>0.14772727272727271</v>
      </c>
      <c r="W34" s="10"/>
      <c r="X34" s="23" t="s">
        <v>37</v>
      </c>
      <c r="Y34" s="25">
        <v>2.23</v>
      </c>
      <c r="Z34" s="25">
        <v>1.94</v>
      </c>
      <c r="AA34" s="16">
        <f>(Y34/Z34)^(1/1)-1</f>
        <v>0.14948453608247414</v>
      </c>
    </row>
    <row r="35" spans="2:27" ht="15.75" customHeight="1">
      <c r="C35" s="4" t="s">
        <v>36</v>
      </c>
      <c r="D35" s="23">
        <v>29186</v>
      </c>
      <c r="E35" s="27">
        <v>1277</v>
      </c>
      <c r="F35" s="29">
        <v>6.34</v>
      </c>
      <c r="G35" s="24">
        <f>E35/D35</f>
        <v>4.3753854587816075E-2</v>
      </c>
      <c r="H35" s="27">
        <v>548</v>
      </c>
      <c r="I35" s="27">
        <v>344</v>
      </c>
      <c r="J35" s="22">
        <f>H35/F35</f>
        <v>86.435331230283907</v>
      </c>
      <c r="K35" s="22">
        <f>I35/F35</f>
        <v>54.258675078864357</v>
      </c>
      <c r="M35" s="23" t="s">
        <v>35</v>
      </c>
      <c r="N35" s="24">
        <f>N33/N29</f>
        <v>3.1342157602359234E-2</v>
      </c>
      <c r="O35" s="24">
        <f>O33/O29</f>
        <v>3.0222391180383959E-2</v>
      </c>
      <c r="P35" s="24">
        <f>N35-O35</f>
        <v>1.1197664219752754E-3</v>
      </c>
      <c r="Q35" s="26"/>
      <c r="R35" s="23" t="s">
        <v>35</v>
      </c>
      <c r="S35" s="24">
        <f>S33/S29</f>
        <v>2.6182737450343083E-2</v>
      </c>
      <c r="T35" s="24">
        <f>T33/T29</f>
        <v>2.5545718726768939E-2</v>
      </c>
      <c r="U35" s="24">
        <f>S35-T35</f>
        <v>6.3701872357414466E-4</v>
      </c>
      <c r="W35" s="10"/>
      <c r="X35" s="23" t="s">
        <v>35</v>
      </c>
      <c r="Y35" s="24">
        <f>Y33/Y29</f>
        <v>3.8093720114759325E-2</v>
      </c>
      <c r="Z35" s="24">
        <f>Z33/Z29</f>
        <v>3.6151907534544191E-2</v>
      </c>
      <c r="AA35" s="24">
        <f>Y35-Z35</f>
        <v>1.941812580215134E-3</v>
      </c>
    </row>
    <row r="36" spans="2:27" ht="15.75" customHeight="1">
      <c r="B36" s="10" t="s">
        <v>34</v>
      </c>
      <c r="C36" s="4" t="s">
        <v>33</v>
      </c>
      <c r="D36" s="23">
        <v>23564</v>
      </c>
      <c r="E36" s="27">
        <v>1109</v>
      </c>
      <c r="F36" s="29">
        <v>5.53</v>
      </c>
      <c r="G36" s="24">
        <f>E36/D36</f>
        <v>4.7063316924121544E-2</v>
      </c>
      <c r="H36" s="27">
        <v>494</v>
      </c>
      <c r="I36" s="27">
        <v>307</v>
      </c>
      <c r="J36" s="22">
        <f>H36/F36</f>
        <v>89.330922242314642</v>
      </c>
      <c r="K36" s="22">
        <f>I36/F36</f>
        <v>55.515370705244123</v>
      </c>
      <c r="Q36" s="26"/>
      <c r="S36" s="10"/>
      <c r="T36" s="10"/>
      <c r="U36" s="30"/>
      <c r="W36" s="10"/>
      <c r="X36" s="10"/>
      <c r="Y36" s="10"/>
      <c r="Z36" s="26"/>
    </row>
    <row r="37" spans="2:27" ht="15.75" customHeight="1">
      <c r="C37" s="4" t="s">
        <v>32</v>
      </c>
      <c r="D37" s="23">
        <v>19445</v>
      </c>
      <c r="E37" s="27">
        <v>892</v>
      </c>
      <c r="F37" s="29"/>
      <c r="G37" s="24">
        <f>E37/D37</f>
        <v>4.5872975057855488E-2</v>
      </c>
      <c r="H37" s="28"/>
      <c r="I37" s="27"/>
      <c r="J37" s="23"/>
      <c r="K37" s="23"/>
      <c r="Q37" s="26"/>
      <c r="S37" s="10"/>
      <c r="T37" s="10"/>
      <c r="U37" s="30"/>
      <c r="W37" s="10"/>
      <c r="X37" s="10"/>
      <c r="Y37" s="10"/>
      <c r="Z37" s="26"/>
    </row>
    <row r="38" spans="2:27" ht="15.75" customHeight="1">
      <c r="C38" s="4" t="s">
        <v>31</v>
      </c>
      <c r="D38" s="23">
        <v>16313</v>
      </c>
      <c r="E38" s="27">
        <v>818</v>
      </c>
      <c r="F38" s="29"/>
      <c r="G38" s="24">
        <f>E38/D38</f>
        <v>5.0144056887145225E-2</v>
      </c>
      <c r="H38" s="28"/>
      <c r="I38" s="27"/>
      <c r="J38" s="23"/>
      <c r="K38" s="23"/>
      <c r="S38" s="10"/>
      <c r="T38" s="10"/>
      <c r="U38" s="30"/>
      <c r="W38" s="10"/>
      <c r="X38" s="30"/>
      <c r="Y38" s="30"/>
      <c r="Z38" s="26"/>
    </row>
    <row r="39" spans="2:27" ht="15.75" customHeight="1">
      <c r="C39" s="4" t="s">
        <v>30</v>
      </c>
      <c r="D39" s="23">
        <v>14830</v>
      </c>
      <c r="E39" s="27">
        <v>786</v>
      </c>
      <c r="F39" s="29"/>
      <c r="G39" s="24">
        <f>E39/D39</f>
        <v>5.3000674308833443E-2</v>
      </c>
      <c r="H39" s="28"/>
      <c r="I39" s="27"/>
      <c r="J39" s="23"/>
      <c r="K39" s="23"/>
      <c r="M39" s="4" t="s">
        <v>29</v>
      </c>
      <c r="N39" s="4" t="s">
        <v>28</v>
      </c>
      <c r="O39" s="4" t="s">
        <v>27</v>
      </c>
      <c r="P39" s="4" t="s">
        <v>26</v>
      </c>
      <c r="Q39" s="4" t="s">
        <v>25</v>
      </c>
      <c r="S39" s="30"/>
      <c r="T39" s="30"/>
      <c r="U39" s="30"/>
    </row>
    <row r="40" spans="2:27" ht="15.75" customHeight="1">
      <c r="C40" s="4" t="s">
        <v>24</v>
      </c>
      <c r="D40" s="23">
        <v>12063</v>
      </c>
      <c r="E40" s="27">
        <v>725</v>
      </c>
      <c r="F40" s="29"/>
      <c r="G40" s="24">
        <f>E40/D40</f>
        <v>6.0101135704219516E-2</v>
      </c>
      <c r="H40" s="28"/>
      <c r="I40" s="27"/>
      <c r="J40" s="23"/>
      <c r="K40" s="23"/>
      <c r="M40" s="23" t="s">
        <v>23</v>
      </c>
      <c r="N40" s="22">
        <v>3326</v>
      </c>
      <c r="O40" s="22">
        <v>1851</v>
      </c>
      <c r="P40" s="16">
        <f>N40/$N$49</f>
        <v>6.1411088708188392E-2</v>
      </c>
      <c r="Q40" s="16">
        <f>(N40/O40)^(1/1)-1</f>
        <v>0.79686655861696387</v>
      </c>
      <c r="S40" s="26"/>
    </row>
    <row r="41" spans="2:27" ht="15.75" customHeight="1">
      <c r="C41" s="4" t="s">
        <v>22</v>
      </c>
      <c r="D41" s="23">
        <v>11323</v>
      </c>
      <c r="E41" s="27">
        <v>451</v>
      </c>
      <c r="F41" s="29"/>
      <c r="G41" s="24">
        <f>E41/D41</f>
        <v>3.9830433630663249E-2</v>
      </c>
      <c r="H41" s="28"/>
      <c r="I41" s="27"/>
      <c r="J41" s="23"/>
      <c r="K41" s="23"/>
      <c r="M41" s="23" t="s">
        <v>21</v>
      </c>
      <c r="N41" s="22">
        <v>1513</v>
      </c>
      <c r="O41" s="22">
        <v>1732</v>
      </c>
      <c r="P41" s="16">
        <f>N41/$N$49</f>
        <v>2.7935952259617872E-2</v>
      </c>
      <c r="Q41" s="16">
        <f>(N41/O41)^(1/1)-1</f>
        <v>-0.12644341801385683</v>
      </c>
    </row>
    <row r="42" spans="2:27" ht="15.75" customHeight="1">
      <c r="C42" s="4" t="s">
        <v>20</v>
      </c>
      <c r="D42" s="23">
        <v>10202</v>
      </c>
      <c r="E42" s="23">
        <v>271</v>
      </c>
      <c r="F42" s="25"/>
      <c r="G42" s="24">
        <f>E42/D42</f>
        <v>2.6563418937463241E-2</v>
      </c>
      <c r="H42" s="22"/>
      <c r="I42" s="23"/>
      <c r="J42" s="23"/>
      <c r="K42" s="23"/>
      <c r="M42" s="23" t="s">
        <v>19</v>
      </c>
      <c r="N42" s="22">
        <v>1448</v>
      </c>
      <c r="O42" s="22">
        <v>1645</v>
      </c>
      <c r="P42" s="16">
        <f>N42/$N$49</f>
        <v>2.6735795685344798E-2</v>
      </c>
      <c r="Q42" s="16">
        <f>(N42/O42)^(1/1)-1</f>
        <v>-0.11975683890577504</v>
      </c>
      <c r="R42" s="26"/>
    </row>
    <row r="43" spans="2:27" ht="15.75" customHeight="1">
      <c r="C43" s="4" t="s">
        <v>18</v>
      </c>
      <c r="D43" s="23">
        <v>9004</v>
      </c>
      <c r="E43" s="23">
        <v>-99</v>
      </c>
      <c r="F43" s="25"/>
      <c r="G43" s="24">
        <f>E43/D43</f>
        <v>-1.0995113282985339E-2</v>
      </c>
      <c r="H43" s="22"/>
      <c r="I43" s="23"/>
      <c r="J43" s="23"/>
      <c r="K43" s="23"/>
      <c r="M43" s="23" t="s">
        <v>17</v>
      </c>
      <c r="N43" s="22">
        <v>0.6</v>
      </c>
      <c r="O43" s="22">
        <v>-59</v>
      </c>
      <c r="P43" s="16">
        <f>N43/$N$49</f>
        <v>1.1078368377905303E-5</v>
      </c>
      <c r="Q43" s="16">
        <f>(N43/O43)^(1/1)-1</f>
        <v>-1.0101694915254238</v>
      </c>
    </row>
    <row r="44" spans="2:27" ht="15.75" customHeight="1">
      <c r="C44" s="4" t="s">
        <v>16</v>
      </c>
      <c r="D44" s="23">
        <v>7005</v>
      </c>
      <c r="E44" s="23">
        <v>-275</v>
      </c>
      <c r="F44" s="25"/>
      <c r="G44" s="24">
        <f>E44/D44</f>
        <v>-3.9257673090649536E-2</v>
      </c>
      <c r="H44" s="22"/>
      <c r="I44" s="23"/>
      <c r="J44" s="23"/>
      <c r="K44" s="23"/>
      <c r="L44" s="21"/>
      <c r="M44" s="23" t="s">
        <v>15</v>
      </c>
      <c r="N44" s="22">
        <v>227</v>
      </c>
      <c r="O44" s="22">
        <v>190</v>
      </c>
      <c r="P44" s="16">
        <f>N44/$N$49</f>
        <v>4.1913160363075061E-3</v>
      </c>
      <c r="Q44" s="16">
        <f>(N44/O44)^(1/1)-1</f>
        <v>0.1947368421052631</v>
      </c>
    </row>
    <row r="45" spans="2:27" ht="15.75" customHeight="1">
      <c r="C45" s="4" t="s">
        <v>14</v>
      </c>
      <c r="D45" s="23">
        <v>5565</v>
      </c>
      <c r="E45" s="23">
        <v>-503</v>
      </c>
      <c r="F45" s="25"/>
      <c r="G45" s="24">
        <f>E45/D45</f>
        <v>-9.0386343216531898E-2</v>
      </c>
      <c r="H45" s="22"/>
      <c r="I45" s="23"/>
      <c r="J45" s="23"/>
      <c r="K45" s="23"/>
      <c r="L45" s="21"/>
      <c r="M45" s="23" t="s">
        <v>13</v>
      </c>
      <c r="N45" s="22">
        <v>-569</v>
      </c>
      <c r="O45" s="22">
        <v>-589</v>
      </c>
      <c r="P45" s="16">
        <f>N45/$N$49</f>
        <v>-1.0505986011713528E-2</v>
      </c>
      <c r="Q45" s="16">
        <f>(N45/O45)^(1/1)-1</f>
        <v>-3.3955857385398969E-2</v>
      </c>
    </row>
    <row r="46" spans="2:27" ht="15.75" customHeight="1">
      <c r="L46" s="21"/>
      <c r="M46" s="23" t="s">
        <v>12</v>
      </c>
      <c r="N46" s="22">
        <v>19192</v>
      </c>
      <c r="O46" s="22">
        <v>17451</v>
      </c>
      <c r="P46" s="16">
        <f>N46/$N$49</f>
        <v>0.35436007651459761</v>
      </c>
      <c r="Q46" s="16">
        <f>(N46/O46)^(1/1)-1</f>
        <v>9.9765056443756883E-2</v>
      </c>
    </row>
    <row r="47" spans="2:27" ht="15.75" customHeight="1">
      <c r="L47" s="21"/>
      <c r="M47" s="23" t="s">
        <v>11</v>
      </c>
      <c r="N47" s="22">
        <v>29022</v>
      </c>
      <c r="O47" s="22">
        <v>23597</v>
      </c>
      <c r="P47" s="16">
        <f>N47/$N$49</f>
        <v>0.53586067843927943</v>
      </c>
      <c r="Q47" s="16">
        <f>(N47/O47)^(1/1)-1</f>
        <v>0.22990210619994067</v>
      </c>
    </row>
    <row r="48" spans="2:27" ht="15.75" customHeight="1">
      <c r="L48" s="21"/>
    </row>
    <row r="49" spans="13:17" ht="15.75" customHeight="1">
      <c r="M49" s="20" t="s">
        <v>4</v>
      </c>
      <c r="N49" s="19">
        <f>SUM(N40:N47)</f>
        <v>54159.6</v>
      </c>
      <c r="O49" s="19">
        <f>SUM(O40:O47)</f>
        <v>45818</v>
      </c>
      <c r="P49" s="18">
        <f>N49/$N$49</f>
        <v>1</v>
      </c>
      <c r="Q49" s="18">
        <f>(N49/O49)^(1/1)-1</f>
        <v>0.18205945261687551</v>
      </c>
    </row>
    <row r="50" spans="13:17" ht="15.75" customHeight="1"/>
    <row r="51" spans="13:17" ht="15.75" customHeight="1"/>
    <row r="52" spans="13:17" ht="15.75" customHeight="1">
      <c r="M52" s="17" t="s">
        <v>10</v>
      </c>
      <c r="N52" s="4">
        <v>2017</v>
      </c>
      <c r="O52" s="4">
        <v>2023</v>
      </c>
    </row>
    <row r="53" spans="13:17" ht="15.75" customHeight="1">
      <c r="M53" s="16" t="s">
        <v>9</v>
      </c>
      <c r="N53" s="16">
        <v>0.81040000000000001</v>
      </c>
      <c r="O53" s="16">
        <v>0.50319999999999998</v>
      </c>
    </row>
    <row r="54" spans="13:17" ht="15.75" customHeight="1">
      <c r="M54" s="16" t="s">
        <v>8</v>
      </c>
      <c r="N54" s="16">
        <f>2.77%+0.28%</f>
        <v>3.0499999999999999E-2</v>
      </c>
      <c r="O54" s="16">
        <f>4.05%+0.22%+0.05%+1.35%+0.31%+0.24%</f>
        <v>6.2199999999999998E-2</v>
      </c>
    </row>
    <row r="55" spans="13:17" ht="15.75" customHeight="1">
      <c r="M55" s="16" t="s">
        <v>7</v>
      </c>
      <c r="N55" s="16">
        <v>8.0699999999999994E-2</v>
      </c>
      <c r="O55" s="16">
        <v>0.30149999999999999</v>
      </c>
    </row>
    <row r="56" spans="13:17" ht="15.75" customHeight="1">
      <c r="M56" s="16" t="s">
        <v>6</v>
      </c>
      <c r="N56" s="16">
        <v>7.5800000000000006E-2</v>
      </c>
      <c r="O56" s="16">
        <f>13.28%-4.8%</f>
        <v>8.48E-2</v>
      </c>
    </row>
    <row r="57" spans="13:17" ht="15.75" customHeight="1">
      <c r="M57" s="16" t="s">
        <v>5</v>
      </c>
      <c r="N57" s="16"/>
      <c r="O57" s="16">
        <v>4.8000000000000001E-2</v>
      </c>
    </row>
    <row r="58" spans="13:17" ht="15.75" customHeight="1"/>
    <row r="59" spans="13:17" ht="15.75" customHeight="1">
      <c r="M59" s="15" t="s">
        <v>4</v>
      </c>
      <c r="N59" s="14">
        <f>SUM(N53:N57)</f>
        <v>0.99739999999999995</v>
      </c>
      <c r="O59" s="14">
        <f>SUM(O53:O57)</f>
        <v>0.99970000000000003</v>
      </c>
    </row>
    <row r="60" spans="13:17" ht="15.75" customHeight="1"/>
    <row r="61" spans="13:17" ht="15.75" customHeight="1"/>
    <row r="62" spans="13:17" ht="15.75" customHeight="1"/>
    <row r="63" spans="13:17" ht="15.75" customHeight="1"/>
    <row r="64" spans="13:17" ht="15.75" customHeight="1"/>
    <row r="65" spans="2:18" ht="15.75" customHeight="1"/>
    <row r="66" spans="2:18" ht="15.75" customHeight="1"/>
    <row r="67" spans="2:18" ht="15.75" customHeight="1"/>
    <row r="68" spans="2:18" ht="15.75" customHeight="1"/>
    <row r="69" spans="2:18" ht="15.75" customHeight="1"/>
    <row r="70" spans="2:18" ht="15.75" customHeight="1"/>
    <row r="71" spans="2:18" ht="15.75" customHeight="1"/>
    <row r="72" spans="2:18" ht="15.75" customHeight="1"/>
    <row r="73" spans="2:18" ht="15.75" customHeight="1"/>
    <row r="74" spans="2:18" ht="15.75" customHeight="1"/>
    <row r="75" spans="2:18" ht="15.75" customHeight="1"/>
    <row r="76" spans="2:18" ht="15.75" customHeight="1"/>
    <row r="77" spans="2:18" ht="15.75" customHeight="1">
      <c r="B77" s="13" t="s">
        <v>3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2:18" ht="15.75" customHeigh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2:18" ht="15.75" customHeigh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2:18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spans="3:26" ht="15.75" customHeight="1"/>
    <row r="146" spans="3:26" ht="15.75" customHeight="1"/>
    <row r="147" spans="3:26" ht="15.75" customHeight="1"/>
    <row r="148" spans="3:26" ht="15.75" customHeight="1"/>
    <row r="149" spans="3:26" ht="15.75" customHeight="1"/>
    <row r="150" spans="3:26" ht="15.75" customHeight="1"/>
    <row r="151" spans="3:26" ht="15.75" customHeight="1"/>
    <row r="152" spans="3:26" ht="15.75" customHeight="1">
      <c r="I152" s="11" t="s">
        <v>2</v>
      </c>
      <c r="J152" s="8">
        <v>5565</v>
      </c>
      <c r="K152" s="8">
        <v>7005</v>
      </c>
      <c r="L152" s="8">
        <v>9004</v>
      </c>
      <c r="M152" s="8">
        <v>10202</v>
      </c>
      <c r="N152" s="8">
        <v>11323</v>
      </c>
      <c r="O152" s="8">
        <v>12063</v>
      </c>
      <c r="P152" s="8">
        <v>14830</v>
      </c>
      <c r="Q152" s="8">
        <v>16313</v>
      </c>
      <c r="R152" s="8">
        <v>19445</v>
      </c>
      <c r="S152" s="8">
        <v>23564</v>
      </c>
      <c r="T152" s="8">
        <v>29186</v>
      </c>
      <c r="U152" s="8">
        <v>32707</v>
      </c>
      <c r="V152" s="8">
        <v>38194</v>
      </c>
      <c r="W152" s="8">
        <v>46801</v>
      </c>
      <c r="X152" s="8">
        <v>55225.18</v>
      </c>
      <c r="Y152" s="8">
        <v>171625.65883393682</v>
      </c>
      <c r="Z152" s="8">
        <v>345200.50245506159</v>
      </c>
    </row>
    <row r="153" spans="3:26" ht="15.75" customHeight="1">
      <c r="C153" s="10" t="s">
        <v>0</v>
      </c>
      <c r="D153" s="10" t="s">
        <v>1</v>
      </c>
      <c r="F153" s="1" t="s">
        <v>0</v>
      </c>
      <c r="G153" s="1" t="s">
        <v>1</v>
      </c>
      <c r="I153" s="9" t="s">
        <v>0</v>
      </c>
      <c r="J153" s="8">
        <v>2009</v>
      </c>
      <c r="K153" s="8">
        <v>2010</v>
      </c>
      <c r="L153" s="8">
        <v>2011</v>
      </c>
      <c r="M153" s="8">
        <v>2012</v>
      </c>
      <c r="N153" s="8">
        <v>2013</v>
      </c>
      <c r="O153" s="8">
        <v>2014</v>
      </c>
      <c r="P153" s="8">
        <v>2015</v>
      </c>
      <c r="Q153" s="8">
        <v>2016</v>
      </c>
      <c r="R153" s="8">
        <v>2017</v>
      </c>
      <c r="S153" s="8">
        <v>2018</v>
      </c>
      <c r="T153" s="8">
        <v>2019</v>
      </c>
      <c r="U153" s="8">
        <v>2020</v>
      </c>
      <c r="V153" s="8">
        <v>2021</v>
      </c>
      <c r="W153" s="8">
        <v>2022</v>
      </c>
      <c r="X153" s="8">
        <v>2023</v>
      </c>
      <c r="Y153" s="8">
        <v>2030</v>
      </c>
      <c r="Z153" s="8">
        <v>2035</v>
      </c>
    </row>
    <row r="154" spans="3:26" ht="15.75" customHeight="1">
      <c r="C154" s="7">
        <v>2035</v>
      </c>
      <c r="D154" s="6">
        <v>345200.50245506159</v>
      </c>
      <c r="F154" s="2">
        <v>2035</v>
      </c>
      <c r="G154" s="1">
        <v>345200.50245506159</v>
      </c>
    </row>
    <row r="155" spans="3:26" ht="15.75" customHeight="1">
      <c r="C155" s="7">
        <v>2030</v>
      </c>
      <c r="D155" s="6">
        <v>171625.65883393682</v>
      </c>
      <c r="F155" s="2">
        <v>2030</v>
      </c>
      <c r="G155" s="1">
        <v>171625.65883393682</v>
      </c>
    </row>
    <row r="156" spans="3:26" ht="15.75" customHeight="1">
      <c r="C156" s="4">
        <v>2023</v>
      </c>
      <c r="D156" s="5">
        <v>55225.18</v>
      </c>
      <c r="F156" s="2">
        <v>2023</v>
      </c>
      <c r="G156" s="1">
        <v>55225.18</v>
      </c>
    </row>
    <row r="157" spans="3:26" ht="15.75" customHeight="1">
      <c r="C157" s="4">
        <v>2022</v>
      </c>
      <c r="D157" s="3">
        <v>46801</v>
      </c>
      <c r="F157" s="2">
        <v>2022</v>
      </c>
      <c r="G157" s="1">
        <v>46801</v>
      </c>
    </row>
    <row r="158" spans="3:26" ht="15.75" customHeight="1">
      <c r="C158" s="4">
        <v>2021</v>
      </c>
      <c r="D158" s="3">
        <v>38194</v>
      </c>
      <c r="F158" s="2">
        <v>2021</v>
      </c>
      <c r="G158" s="1">
        <v>38194</v>
      </c>
    </row>
    <row r="159" spans="3:26" ht="15.75" customHeight="1">
      <c r="C159" s="4">
        <v>2020</v>
      </c>
      <c r="D159" s="3">
        <v>32707</v>
      </c>
      <c r="F159" s="2">
        <v>2020</v>
      </c>
      <c r="G159" s="1">
        <v>32707</v>
      </c>
    </row>
    <row r="160" spans="3:26" ht="15.75" customHeight="1">
      <c r="C160" s="4">
        <v>2019</v>
      </c>
      <c r="D160" s="3">
        <v>29186</v>
      </c>
      <c r="F160" s="2">
        <v>2019</v>
      </c>
      <c r="G160" s="1">
        <v>29186</v>
      </c>
    </row>
    <row r="161" spans="3:7" ht="15.75" customHeight="1">
      <c r="C161" s="4">
        <v>2018</v>
      </c>
      <c r="D161" s="3">
        <v>23564</v>
      </c>
      <c r="F161" s="2">
        <v>2018</v>
      </c>
      <c r="G161" s="1">
        <v>23564</v>
      </c>
    </row>
    <row r="162" spans="3:7" ht="15.75" customHeight="1">
      <c r="C162" s="4">
        <v>2017</v>
      </c>
      <c r="D162" s="3">
        <v>19445</v>
      </c>
      <c r="F162" s="2">
        <v>2017</v>
      </c>
      <c r="G162" s="1">
        <v>19445</v>
      </c>
    </row>
    <row r="163" spans="3:7" ht="15.75" customHeight="1">
      <c r="C163" s="4">
        <v>2016</v>
      </c>
      <c r="D163" s="3">
        <v>16313</v>
      </c>
      <c r="F163" s="2">
        <v>2016</v>
      </c>
      <c r="G163" s="1">
        <v>16313</v>
      </c>
    </row>
    <row r="164" spans="3:7" ht="15.75" customHeight="1">
      <c r="C164" s="4">
        <v>2015</v>
      </c>
      <c r="D164" s="3">
        <v>14830</v>
      </c>
      <c r="F164" s="2">
        <v>2015</v>
      </c>
      <c r="G164" s="1">
        <v>14830</v>
      </c>
    </row>
    <row r="165" spans="3:7" ht="15.75" customHeight="1">
      <c r="C165" s="4">
        <v>2014</v>
      </c>
      <c r="D165" s="3">
        <v>12063</v>
      </c>
      <c r="F165" s="2">
        <v>2014</v>
      </c>
      <c r="G165" s="1">
        <v>12063</v>
      </c>
    </row>
    <row r="166" spans="3:7" ht="15.75" customHeight="1">
      <c r="C166" s="4">
        <v>2013</v>
      </c>
      <c r="D166" s="3">
        <v>11323</v>
      </c>
      <c r="F166" s="2">
        <v>2013</v>
      </c>
      <c r="G166" s="1">
        <v>11323</v>
      </c>
    </row>
    <row r="167" spans="3:7" ht="15.75" customHeight="1">
      <c r="C167" s="4">
        <v>2012</v>
      </c>
      <c r="D167" s="3">
        <v>10202</v>
      </c>
      <c r="F167" s="2">
        <v>2012</v>
      </c>
      <c r="G167" s="1">
        <v>10202</v>
      </c>
    </row>
    <row r="168" spans="3:7" ht="15.75" customHeight="1">
      <c r="C168" s="4">
        <v>2011</v>
      </c>
      <c r="D168" s="3">
        <v>9004</v>
      </c>
      <c r="F168" s="2">
        <v>2011</v>
      </c>
      <c r="G168" s="1">
        <v>9004</v>
      </c>
    </row>
    <row r="169" spans="3:7" ht="15.75" customHeight="1">
      <c r="C169" s="4">
        <v>2010</v>
      </c>
      <c r="D169" s="3">
        <v>7005</v>
      </c>
      <c r="F169" s="2">
        <v>2010</v>
      </c>
      <c r="G169" s="1">
        <v>7005</v>
      </c>
    </row>
    <row r="170" spans="3:7" ht="15.75" customHeight="1">
      <c r="C170" s="4">
        <v>2009</v>
      </c>
      <c r="D170" s="3">
        <v>5565</v>
      </c>
      <c r="F170" s="2">
        <v>2009</v>
      </c>
      <c r="G170" s="1">
        <v>5565</v>
      </c>
    </row>
    <row r="171" spans="3:7" ht="15.75" customHeight="1"/>
    <row r="172" spans="3:7" ht="15.75" customHeight="1"/>
    <row r="173" spans="3:7" ht="15.75" customHeight="1"/>
    <row r="174" spans="3:7" ht="15.75" customHeight="1"/>
    <row r="175" spans="3:7" ht="15.75" customHeight="1"/>
    <row r="176" spans="3:7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  <row r="1002" customFormat="1" ht="15.75" customHeight="1"/>
    <row r="1003" customFormat="1" ht="15.75" customHeight="1"/>
    <row r="1004" customFormat="1" ht="15.75" customHeight="1"/>
    <row r="1005" customFormat="1" ht="15.75" customHeight="1"/>
    <row r="1006" customFormat="1" ht="15.75" customHeight="1"/>
    <row r="1007" customFormat="1" ht="15.75" customHeight="1"/>
    <row r="1008" customFormat="1" ht="15.75" customHeight="1"/>
    <row r="1009" customFormat="1" ht="15.75" customHeight="1"/>
  </sheetData>
  <mergeCells count="3">
    <mergeCell ref="B1:R3"/>
    <mergeCell ref="P16:P18"/>
    <mergeCell ref="B77:R79"/>
  </mergeCells>
  <conditionalFormatting sqref="D29:D45 D157:D170">
    <cfRule type="colorScale" priority="3">
      <colorScale>
        <cfvo type="min"/>
        <cfvo type="max"/>
        <color rgb="FFFFFFFF"/>
        <color rgb="FF57BB8A"/>
      </colorScale>
    </cfRule>
  </conditionalFormatting>
  <conditionalFormatting sqref="E29:E4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9:G4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9:I36">
    <cfRule type="colorScale" priority="6">
      <colorScale>
        <cfvo type="min"/>
        <cfvo type="max"/>
        <color rgb="FFFFFFFF"/>
        <color rgb="FF57BB8A"/>
      </colorScale>
    </cfRule>
  </conditionalFormatting>
  <conditionalFormatting sqref="J29:K36">
    <cfRule type="colorScale" priority="7">
      <colorScale>
        <cfvo type="min"/>
        <cfvo type="max"/>
        <color rgb="FFFFFFFF"/>
        <color rgb="FF57BB8A"/>
      </colorScale>
    </cfRule>
  </conditionalFormatting>
  <conditionalFormatting sqref="M16:O16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8:O18">
    <cfRule type="colorScale" priority="14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M21:P21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5:Q25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6:Q2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4:R2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9:P37 U29:U35 AA29:AA3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38:P47">
    <cfRule type="colorScale" priority="1">
      <colorScale>
        <cfvo type="min"/>
        <cfvo type="max"/>
        <color rgb="FFFFFFFF"/>
        <color rgb="FF57BB8A"/>
      </colorScale>
    </cfRule>
  </conditionalFormatting>
  <conditionalFormatting sqref="Q38:Q47">
    <cfRule type="colorScale" priority="2">
      <colorScale>
        <cfvo type="min"/>
        <cfvo type="max"/>
        <color rgb="FFFFFFFF"/>
        <color rgb="FF57BB8A"/>
      </colorScale>
    </cfRule>
  </conditionalFormatting>
  <hyperlinks>
    <hyperlink ref="B77" r:id="rId1" xr:uid="{2B64A502-9BBF-4F5C-86A1-A4B7E056105D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HDFCLIFE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2024-10-29T12:02:37Z</dcterms:created>
  <dcterms:modified xsi:type="dcterms:W3CDTF">2024-10-29T12:02:58Z</dcterms:modified>
</cp:coreProperties>
</file>