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2_fy25\"/>
    </mc:Choice>
  </mc:AlternateContent>
  <xr:revisionPtr revIDLastSave="0" documentId="13_ncr:1_{AEA2AD0F-F0DF-4590-AA6D-0E5A23B3A4CB}" xr6:coauthVersionLast="47" xr6:coauthVersionMax="47" xr10:uidLastSave="{00000000-0000-0000-0000-000000000000}"/>
  <bookViews>
    <workbookView xWindow="-108" yWindow="-108" windowWidth="23256" windowHeight="12456" xr2:uid="{E04FC950-E0DE-4C95-97F8-35F0627BC939}"/>
  </bookViews>
  <sheets>
    <sheet name="ROUTE" sheetId="1" r:id="rId1"/>
    <sheet name="Other Telecom Services " sheetId="2" r:id="rId2"/>
  </sheets>
  <externalReferences>
    <externalReference r:id="rId3"/>
  </externalReferences>
  <definedNames>
    <definedName name="_xlnm._FilterDatabase" localSheetId="0" hidden="1">ROUTE!$T$33:$X$38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8" i="2" l="1"/>
  <c r="K138" i="2"/>
  <c r="G138" i="2"/>
  <c r="F138" i="2"/>
  <c r="G137" i="2"/>
  <c r="F137" i="2"/>
  <c r="G136" i="2"/>
  <c r="F136" i="2"/>
  <c r="G135" i="2"/>
  <c r="F135" i="2"/>
  <c r="L134" i="2"/>
  <c r="K134" i="2"/>
  <c r="G134" i="2"/>
  <c r="F134" i="2"/>
  <c r="K133" i="2"/>
  <c r="K132" i="2"/>
  <c r="H17" i="2"/>
  <c r="H14" i="2"/>
  <c r="H20" i="2" s="1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2" i="2"/>
  <c r="C2" i="2"/>
  <c r="Q40" i="1"/>
  <c r="P40" i="1"/>
  <c r="R40" i="1" s="1"/>
  <c r="O40" i="1"/>
  <c r="AA39" i="1"/>
  <c r="AC39" i="1" s="1"/>
  <c r="V38" i="1"/>
  <c r="U38" i="1"/>
  <c r="X38" i="1" s="1"/>
  <c r="R38" i="1"/>
  <c r="Q38" i="1"/>
  <c r="AC37" i="1"/>
  <c r="R37" i="1"/>
  <c r="Q37" i="1"/>
  <c r="F37" i="1"/>
  <c r="AC36" i="1"/>
  <c r="W36" i="1"/>
  <c r="R36" i="1"/>
  <c r="Q36" i="1"/>
  <c r="F36" i="1"/>
  <c r="AC35" i="1"/>
  <c r="X35" i="1"/>
  <c r="R35" i="1"/>
  <c r="Q35" i="1"/>
  <c r="F35" i="1"/>
  <c r="AC34" i="1"/>
  <c r="X34" i="1"/>
  <c r="W34" i="1"/>
  <c r="R34" i="1"/>
  <c r="Q34" i="1"/>
  <c r="F34" i="1"/>
  <c r="F33" i="1"/>
  <c r="J32" i="1"/>
  <c r="I32" i="1"/>
  <c r="F32" i="1"/>
  <c r="P31" i="1"/>
  <c r="Q31" i="1" s="1"/>
  <c r="O31" i="1"/>
  <c r="J31" i="1"/>
  <c r="I31" i="1"/>
  <c r="F31" i="1"/>
  <c r="F25" i="1" s="1"/>
  <c r="P30" i="1"/>
  <c r="O30" i="1"/>
  <c r="Q30" i="1" s="1"/>
  <c r="J30" i="1"/>
  <c r="I30" i="1"/>
  <c r="F30" i="1"/>
  <c r="Q29" i="1"/>
  <c r="J29" i="1"/>
  <c r="J24" i="1" s="1"/>
  <c r="I29" i="1"/>
  <c r="F29" i="1"/>
  <c r="U28" i="1"/>
  <c r="V28" i="1" s="1"/>
  <c r="T28" i="1"/>
  <c r="Q28" i="1"/>
  <c r="J28" i="1"/>
  <c r="I28" i="1"/>
  <c r="D28" i="1"/>
  <c r="F28" i="1" s="1"/>
  <c r="C28" i="1"/>
  <c r="V27" i="1"/>
  <c r="U27" i="1"/>
  <c r="T27" i="1"/>
  <c r="Q27" i="1"/>
  <c r="V26" i="1"/>
  <c r="O26" i="1"/>
  <c r="V25" i="1"/>
  <c r="O25" i="1"/>
  <c r="L25" i="1"/>
  <c r="K25" i="1"/>
  <c r="I25" i="1"/>
  <c r="H25" i="1"/>
  <c r="G25" i="1"/>
  <c r="E25" i="1"/>
  <c r="D25" i="1"/>
  <c r="C25" i="1"/>
  <c r="V24" i="1"/>
  <c r="Q24" i="1"/>
  <c r="L24" i="1"/>
  <c r="K24" i="1"/>
  <c r="I24" i="1"/>
  <c r="H24" i="1"/>
  <c r="G24" i="1"/>
  <c r="E24" i="1"/>
  <c r="D24" i="1"/>
  <c r="C24" i="1"/>
  <c r="V23" i="1"/>
  <c r="Q23" i="1"/>
  <c r="P23" i="1"/>
  <c r="P25" i="1" s="1"/>
  <c r="P26" i="1" s="1"/>
  <c r="O23" i="1"/>
  <c r="L23" i="1"/>
  <c r="K23" i="1"/>
  <c r="J23" i="1"/>
  <c r="I23" i="1"/>
  <c r="H23" i="1"/>
  <c r="G23" i="1"/>
  <c r="F23" i="1"/>
  <c r="E23" i="1"/>
  <c r="D23" i="1"/>
  <c r="C23" i="1"/>
  <c r="V22" i="1"/>
  <c r="Q22" i="1"/>
  <c r="V21" i="1"/>
  <c r="Q21" i="1"/>
  <c r="B10" i="1" s="1"/>
  <c r="M18" i="1"/>
  <c r="O15" i="1"/>
  <c r="E15" i="1"/>
  <c r="F15" i="1" s="1"/>
  <c r="D15" i="1"/>
  <c r="D19" i="1" s="1"/>
  <c r="C15" i="1"/>
  <c r="C14" i="1" s="1"/>
  <c r="P13" i="1"/>
  <c r="M10" i="1"/>
  <c r="J10" i="1"/>
  <c r="I10" i="1"/>
  <c r="H10" i="1"/>
  <c r="G10" i="1"/>
  <c r="E10" i="1"/>
  <c r="D10" i="1"/>
  <c r="C10" i="1"/>
  <c r="V5" i="1"/>
  <c r="U5" i="1"/>
  <c r="T5" i="1"/>
  <c r="S5" i="1"/>
  <c r="R5" i="1"/>
  <c r="Q5" i="1"/>
  <c r="P5" i="1"/>
  <c r="O5" i="1"/>
  <c r="N5" i="1"/>
  <c r="M5" i="1"/>
  <c r="L5" i="1"/>
  <c r="J5" i="1"/>
  <c r="I5" i="1"/>
  <c r="H5" i="1"/>
  <c r="G5" i="1"/>
  <c r="F5" i="1"/>
  <c r="E5" i="1"/>
  <c r="U4" i="1"/>
  <c r="K4" i="1"/>
  <c r="U3" i="1"/>
  <c r="K3" i="1"/>
  <c r="F10" i="1" s="1"/>
  <c r="D3" i="1"/>
  <c r="C3" i="1"/>
  <c r="K10" i="1" s="1"/>
  <c r="D4" i="1" l="1"/>
  <c r="C11" i="2"/>
  <c r="D11" i="2"/>
  <c r="L10" i="1"/>
  <c r="C13" i="1"/>
  <c r="D14" i="1"/>
  <c r="Q25" i="1"/>
  <c r="Q26" i="1"/>
  <c r="C5" i="1"/>
  <c r="K5" i="1"/>
  <c r="N10" i="1"/>
  <c r="W35" i="1"/>
  <c r="W38" i="1"/>
  <c r="D5" i="1"/>
  <c r="P15" i="1"/>
  <c r="Q15" i="1"/>
  <c r="R13" i="1" s="1"/>
  <c r="O10" i="1" s="1"/>
  <c r="F24" i="1"/>
  <c r="F20" i="1" s="1"/>
  <c r="J25" i="1"/>
  <c r="D13" i="1" l="1"/>
  <c r="E14" i="1"/>
  <c r="E13" i="1" l="1"/>
  <c r="F13" i="1" s="1"/>
  <c r="F14" i="1"/>
</calcChain>
</file>

<file path=xl/sharedStrings.xml><?xml version="1.0" encoding="utf-8"?>
<sst xmlns="http://schemas.openxmlformats.org/spreadsheetml/2006/main" count="403" uniqueCount="179">
  <si>
    <t>INC. STATE</t>
  </si>
  <si>
    <t>B.SHEET</t>
  </si>
  <si>
    <t>CASHFLOW</t>
  </si>
  <si>
    <t>Company</t>
  </si>
  <si>
    <t>Price</t>
  </si>
  <si>
    <t>Marketcap</t>
  </si>
  <si>
    <t>Sales</t>
  </si>
  <si>
    <t>Profit</t>
  </si>
  <si>
    <t>EPS</t>
  </si>
  <si>
    <t>FV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</si>
  <si>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</si>
  <si>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</si>
  <si>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</si>
  <si>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</si>
  <si>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</si>
  <si>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</si>
  <si>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</si>
  <si>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</si>
  <si>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</si>
  <si>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</si>
  <si>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</si>
  <si>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</si>
  <si>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NET CASHFLOW</t>
  </si>
  <si>
    <t>PPE</t>
  </si>
  <si>
    <t>ROUTE</t>
  </si>
  <si>
    <t>LastYear_24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</si>
  <si>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</si>
  <si>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</si>
  <si>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</si>
  <si>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</si>
  <si>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</si>
  <si>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</si>
  <si>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</si>
  <si>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</si>
  <si>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</si>
  <si>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DAYS</t>
  </si>
  <si>
    <t>DEBT2EQUITY</t>
  </si>
  <si>
    <t>DEBTRATIO</t>
  </si>
  <si>
    <t>ICR</t>
  </si>
  <si>
    <t>ROE</t>
  </si>
  <si>
    <t>ROA</t>
  </si>
  <si>
    <t>PE</t>
  </si>
  <si>
    <t>YIELD</t>
  </si>
  <si>
    <t>BOOKVALUE</t>
  </si>
  <si>
    <t>PBV</t>
  </si>
  <si>
    <t>PEG</t>
  </si>
  <si>
    <t>Expected Growth</t>
  </si>
  <si>
    <t>FAIRVALUE</t>
  </si>
  <si>
    <t>YEAR</t>
  </si>
  <si>
    <t>9M_ FY_24</t>
  </si>
  <si>
    <t>FY_24</t>
  </si>
  <si>
    <t>Q1_FY_25</t>
  </si>
  <si>
    <t>H1_FY_25</t>
  </si>
  <si>
    <t>F-2025</t>
  </si>
  <si>
    <t>EPS_24</t>
  </si>
  <si>
    <t>TRAIL_EPS</t>
  </si>
  <si>
    <t>F_EPS_25</t>
  </si>
  <si>
    <t>F_PEG</t>
  </si>
  <si>
    <t>EST_FY_2035</t>
  </si>
  <si>
    <t>SALES</t>
  </si>
  <si>
    <t>EST_FY_2030</t>
  </si>
  <si>
    <t>PROFIT</t>
  </si>
  <si>
    <t>PE_24</t>
  </si>
  <si>
    <t>F_PE</t>
  </si>
  <si>
    <t>EST_FY_2025</t>
  </si>
  <si>
    <t>MARGIN</t>
  </si>
  <si>
    <t>Current Trend</t>
  </si>
  <si>
    <t>Q3</t>
  </si>
  <si>
    <t>Q4</t>
  </si>
  <si>
    <t>Q1</t>
  </si>
  <si>
    <t>Q2</t>
  </si>
  <si>
    <t>EXPECTED</t>
  </si>
  <si>
    <t>EST GR 2025</t>
  </si>
  <si>
    <t>EST GR LONGTERM</t>
  </si>
  <si>
    <t>RESULT</t>
  </si>
  <si>
    <t>H1_FY_24</t>
  </si>
  <si>
    <t>Q2_FY25</t>
  </si>
  <si>
    <t>Q2_FY24</t>
  </si>
  <si>
    <t>Q1_FY_24</t>
  </si>
  <si>
    <t>Revenue</t>
  </si>
  <si>
    <t>HIGH PRICE</t>
  </si>
  <si>
    <t>LOWPRICE</t>
  </si>
  <si>
    <t>HPE</t>
  </si>
  <si>
    <t>LPE</t>
  </si>
  <si>
    <t>EQUITY</t>
  </si>
  <si>
    <t>RESERVE</t>
  </si>
  <si>
    <t>COST</t>
  </si>
  <si>
    <t>LAST YEAR</t>
  </si>
  <si>
    <t>EBITDA</t>
  </si>
  <si>
    <t>FINANCE</t>
  </si>
  <si>
    <t>IPO</t>
  </si>
  <si>
    <t>Growth 3 year</t>
  </si>
  <si>
    <t>Growth 5 year</t>
  </si>
  <si>
    <t>EBTDA</t>
  </si>
  <si>
    <t>PBT</t>
  </si>
  <si>
    <t>Actual</t>
  </si>
  <si>
    <t>Year</t>
  </si>
  <si>
    <t>Margin</t>
  </si>
  <si>
    <t>LOWPE</t>
  </si>
  <si>
    <t>PAT</t>
  </si>
  <si>
    <t>IN CR</t>
  </si>
  <si>
    <t>TRAIL_FY25</t>
  </si>
  <si>
    <t>FY_2024</t>
  </si>
  <si>
    <t>FY_2023</t>
  </si>
  <si>
    <t>FY_2022</t>
  </si>
  <si>
    <t>FY_2021</t>
  </si>
  <si>
    <t>FY_2020</t>
  </si>
  <si>
    <t>MajorCost</t>
  </si>
  <si>
    <t>SHARE</t>
  </si>
  <si>
    <t>Segment</t>
  </si>
  <si>
    <t>SHP</t>
  </si>
  <si>
    <t>FY_2019</t>
  </si>
  <si>
    <t>MessageBuy</t>
  </si>
  <si>
    <t>INDIA</t>
  </si>
  <si>
    <t>PROMOTER</t>
  </si>
  <si>
    <t>FY_2018</t>
  </si>
  <si>
    <t>Employee</t>
  </si>
  <si>
    <t>INTERNATIONAL</t>
  </si>
  <si>
    <t xml:space="preserve"> Institutions (Domestic)</t>
  </si>
  <si>
    <t>FY_2017</t>
  </si>
  <si>
    <t>Finance</t>
  </si>
  <si>
    <t>Intersegmental</t>
  </si>
  <si>
    <t>Institutions (Foreign)</t>
  </si>
  <si>
    <t>FY_2016</t>
  </si>
  <si>
    <t>Dep&amp;Amort</t>
  </si>
  <si>
    <t>Non-Institutions</t>
  </si>
  <si>
    <t>DUBAI</t>
  </si>
  <si>
    <t>FY_2013</t>
  </si>
  <si>
    <t>Other</t>
  </si>
  <si>
    <t>Total</t>
  </si>
  <si>
    <t>UK OFFICE</t>
  </si>
  <si>
    <t>FY_2011.</t>
  </si>
  <si>
    <t>TOTAL</t>
  </si>
  <si>
    <t>FOUNDED</t>
  </si>
  <si>
    <t>fy_2004</t>
  </si>
  <si>
    <t>Security Code</t>
  </si>
  <si>
    <t>Security Name</t>
  </si>
  <si>
    <t>CMP</t>
  </si>
  <si>
    <t>MARKETCAP</t>
  </si>
  <si>
    <t>CUR ASSET</t>
  </si>
  <si>
    <t>CUR LIABILITY</t>
  </si>
  <si>
    <t>TOT. ASSET</t>
  </si>
  <si>
    <t>TOT. LIABILITY</t>
  </si>
  <si>
    <t>TOT. EQUITY</t>
  </si>
  <si>
    <t>BORROWING</t>
  </si>
  <si>
    <t>TRADE REC.</t>
  </si>
  <si>
    <t>NPA in % (For banks only)</t>
  </si>
  <si>
    <t>Companies weightage</t>
  </si>
  <si>
    <t>SALES_18</t>
  </si>
  <si>
    <t>SALES_23</t>
  </si>
  <si>
    <t>PROFIT_23</t>
  </si>
  <si>
    <t>9M_FY24_SALES</t>
  </si>
  <si>
    <t>9M_FY23_SALES</t>
  </si>
  <si>
    <t>9M_FY24_PROFIT</t>
  </si>
  <si>
    <t>9M_FY23_PROFIT</t>
  </si>
  <si>
    <t>EXPENSE</t>
  </si>
  <si>
    <t>CY_SALES GR</t>
  </si>
  <si>
    <t>CY_PRPFIT_GR</t>
  </si>
  <si>
    <t>SALES_5Y_GR</t>
  </si>
  <si>
    <t>CUR. RATIO</t>
  </si>
  <si>
    <t>TR.DAYS</t>
  </si>
  <si>
    <t>ROPE</t>
  </si>
  <si>
    <t>TRAIL_PE</t>
  </si>
  <si>
    <t>RAILTEL</t>
  </si>
  <si>
    <t>STLTECH</t>
  </si>
  <si>
    <t>ONMOBILE*</t>
  </si>
  <si>
    <t>MEGASOFT</t>
  </si>
  <si>
    <t>GTL</t>
  </si>
  <si>
    <t>NETTLINX</t>
  </si>
  <si>
    <t>STML</t>
  </si>
  <si>
    <t>INDUSTRY</t>
  </si>
  <si>
    <t>INDUSTRIES</t>
  </si>
  <si>
    <t>WEALTH</t>
  </si>
  <si>
    <t>PRICE_14</t>
  </si>
  <si>
    <t>PRICE_04</t>
  </si>
  <si>
    <t>CAGR_10</t>
  </si>
  <si>
    <t>CAGR_20</t>
  </si>
  <si>
    <t>DVND DSTB%</t>
  </si>
  <si>
    <t>DIVIDEND Y@20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</si>
</sst>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FFFF"/>
      <name val="Arial"/>
    </font>
    <font>
      <sz val="11"/>
      <color theme="1"/>
      <name val="Calibri"/>
    </font>
    <font>
      <sz val="11"/>
      <color theme="1"/>
      <name val="Arial"/>
    </font>
    <font>
      <b/>
      <i/>
      <sz val="11"/>
      <color theme="1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b/>
      <sz val="24"/>
      <color theme="1"/>
      <name val="Calibri"/>
    </font>
    <font>
      <b/>
      <i/>
      <u/>
      <sz val="11"/>
      <color theme="1"/>
      <name val="Calibri"/>
    </font>
    <font>
      <b/>
      <sz val="11"/>
      <color theme="1"/>
      <name val="Calibri"/>
    </font>
    <font>
      <b/>
      <i/>
      <u/>
      <sz val="11"/>
      <color theme="1"/>
      <name val="Calibri"/>
      <scheme val="minor"/>
    </font>
    <font>
      <b/>
      <sz val="11"/>
      <color rgb="FFFFFFFF"/>
      <name val="Arial"/>
    </font>
    <font>
      <sz val="11"/>
      <color rgb="FF000000"/>
      <name val="Calibri"/>
    </font>
    <font>
      <b/>
      <sz val="11"/>
      <color theme="1"/>
      <name val="Arial"/>
    </font>
    <font>
      <sz val="11"/>
      <color rgb="FF000000"/>
      <name val="Arial"/>
    </font>
    <font>
      <b/>
      <i/>
      <u/>
      <sz val="11"/>
      <color rgb="FF000000"/>
      <name val="Arial"/>
    </font>
    <font>
      <sz val="11"/>
      <color rgb="FFFFFFFF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57BB8A"/>
        <bgColor rgb="FF57BB8A"/>
      </patternFill>
    </fill>
    <fill>
      <patternFill patternType="solid">
        <fgColor rgb="FF65C194"/>
        <bgColor rgb="FF65C194"/>
      </patternFill>
    </fill>
    <fill>
      <patternFill patternType="solid">
        <fgColor rgb="FFE67C73"/>
        <bgColor rgb="FFE67C73"/>
      </patternFill>
    </fill>
    <fill>
      <patternFill patternType="solid">
        <fgColor rgb="FFFEFFFE"/>
        <bgColor rgb="FFFEFFFE"/>
      </patternFill>
    </fill>
    <fill>
      <patternFill patternType="solid">
        <fgColor rgb="FFC9DAF8"/>
        <bgColor rgb="FFC9DAF8"/>
      </patternFill>
    </fill>
    <fill>
      <patternFill patternType="solid">
        <fgColor rgb="FFB8CCE4"/>
        <bgColor rgb="FFB8CCE4"/>
      </patternFill>
    </fill>
    <fill>
      <patternFill patternType="solid">
        <fgColor rgb="FF4C1130"/>
        <bgColor rgb="FF4C1130"/>
      </patternFill>
    </fill>
    <fill>
      <patternFill patternType="solid">
        <fgColor rgb="FFFFFF00"/>
        <bgColor rgb="FFFFFF00"/>
      </patternFill>
    </fill>
    <fill>
      <patternFill patternType="solid">
        <fgColor rgb="FF9AD6B9"/>
        <bgColor rgb="FF9AD6B9"/>
      </patternFill>
    </fill>
    <fill>
      <patternFill patternType="solid">
        <fgColor rgb="FFBBE4D0"/>
        <bgColor rgb="FFBBE4D0"/>
      </patternFill>
    </fill>
    <fill>
      <patternFill patternType="solid">
        <fgColor rgb="FFD0ECDE"/>
        <bgColor rgb="FFD0ECDE"/>
      </patternFill>
    </fill>
    <fill>
      <patternFill patternType="solid">
        <fgColor rgb="FFE1F3EA"/>
        <bgColor rgb="FFE1F3EA"/>
      </patternFill>
    </fill>
    <fill>
      <patternFill patternType="solid">
        <fgColor rgb="FFF2FAF6"/>
        <bgColor rgb="FFF2FAF6"/>
      </patternFill>
    </fill>
    <fill>
      <patternFill patternType="solid">
        <fgColor rgb="FFF9FDFB"/>
        <bgColor rgb="FFF9FDFB"/>
      </patternFill>
    </fill>
    <fill>
      <patternFill patternType="solid">
        <fgColor rgb="FFF8FDFB"/>
        <bgColor rgb="FFF8FDFB"/>
      </patternFill>
    </fill>
    <fill>
      <patternFill patternType="solid">
        <fgColor rgb="FFFEFBFB"/>
        <bgColor rgb="FFFEFBFB"/>
      </patternFill>
    </fill>
    <fill>
      <patternFill patternType="solid">
        <fgColor rgb="FFF8DCDA"/>
        <bgColor rgb="FFF8DCD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" fontId="3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5" fillId="3" borderId="1" xfId="0" applyFont="1" applyFill="1" applyBorder="1"/>
    <xf numFmtId="9" fontId="5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2" borderId="0" xfId="0" applyFont="1" applyFill="1"/>
    <xf numFmtId="9" fontId="3" fillId="0" borderId="0" xfId="0" applyNumberFormat="1" applyFont="1"/>
    <xf numFmtId="9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3" fontId="4" fillId="4" borderId="0" xfId="0" applyNumberFormat="1" applyFont="1" applyFill="1" applyAlignment="1">
      <alignment horizontal="right"/>
    </xf>
    <xf numFmtId="1" fontId="4" fillId="4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right"/>
    </xf>
    <xf numFmtId="1" fontId="1" fillId="4" borderId="3" xfId="0" applyNumberFormat="1" applyFont="1" applyFill="1" applyBorder="1"/>
    <xf numFmtId="1" fontId="1" fillId="0" borderId="0" xfId="0" applyNumberFormat="1" applyFont="1"/>
    <xf numFmtId="0" fontId="4" fillId="6" borderId="1" xfId="0" applyFont="1" applyFill="1" applyBorder="1"/>
    <xf numFmtId="9" fontId="4" fillId="6" borderId="1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" fontId="8" fillId="4" borderId="0" xfId="0" applyNumberFormat="1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0" borderId="0" xfId="0"/>
    <xf numFmtId="0" fontId="3" fillId="4" borderId="3" xfId="0" applyFont="1" applyFill="1" applyBorder="1" applyAlignment="1">
      <alignment horizontal="left"/>
    </xf>
    <xf numFmtId="3" fontId="1" fillId="4" borderId="3" xfId="0" applyNumberFormat="1" applyFont="1" applyFill="1" applyBorder="1"/>
    <xf numFmtId="166" fontId="1" fillId="4" borderId="3" xfId="0" applyNumberFormat="1" applyFont="1" applyFill="1" applyBorder="1"/>
    <xf numFmtId="165" fontId="1" fillId="0" borderId="1" xfId="0" applyNumberFormat="1" applyFont="1" applyBorder="1"/>
    <xf numFmtId="1" fontId="4" fillId="9" borderId="4" xfId="0" applyNumberFormat="1" applyFont="1" applyFill="1" applyBorder="1" applyAlignment="1">
      <alignment horizontal="center"/>
    </xf>
    <xf numFmtId="1" fontId="4" fillId="6" borderId="5" xfId="0" applyNumberFormat="1" applyFont="1" applyFill="1" applyBorder="1" applyAlignment="1">
      <alignment horizontal="center"/>
    </xf>
    <xf numFmtId="1" fontId="4" fillId="10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9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1" fontId="4" fillId="6" borderId="1" xfId="0" applyNumberFormat="1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/>
    </xf>
    <xf numFmtId="165" fontId="3" fillId="6" borderId="0" xfId="0" applyNumberFormat="1" applyFont="1" applyFill="1" applyAlignment="1">
      <alignment horizontal="right"/>
    </xf>
    <xf numFmtId="0" fontId="9" fillId="0" borderId="1" xfId="0" applyFont="1" applyBorder="1" applyAlignment="1">
      <alignment horizontal="left"/>
    </xf>
    <xf numFmtId="9" fontId="3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0" xfId="0" applyFont="1"/>
    <xf numFmtId="9" fontId="1" fillId="0" borderId="0" xfId="0" applyNumberFormat="1" applyFont="1"/>
    <xf numFmtId="0" fontId="4" fillId="6" borderId="1" xfId="0" applyFont="1" applyFill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6" fontId="3" fillId="6" borderId="1" xfId="0" applyNumberFormat="1" applyFont="1" applyFill="1" applyBorder="1" applyAlignment="1">
      <alignment horizontal="right"/>
    </xf>
    <xf numFmtId="166" fontId="3" fillId="6" borderId="0" xfId="0" applyNumberFormat="1" applyFont="1" applyFill="1" applyAlignment="1">
      <alignment horizontal="right"/>
    </xf>
    <xf numFmtId="9" fontId="3" fillId="6" borderId="1" xfId="0" applyNumberFormat="1" applyFont="1" applyFill="1" applyBorder="1" applyAlignment="1">
      <alignment horizontal="right"/>
    </xf>
    <xf numFmtId="9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66" fontId="1" fillId="0" borderId="1" xfId="0" applyNumberFormat="1" applyFont="1" applyBorder="1"/>
    <xf numFmtId="9" fontId="3" fillId="11" borderId="1" xfId="0" applyNumberFormat="1" applyFont="1" applyFill="1" applyBorder="1" applyAlignment="1">
      <alignment horizontal="right"/>
    </xf>
    <xf numFmtId="0" fontId="1" fillId="11" borderId="1" xfId="0" applyFont="1" applyFill="1" applyBorder="1"/>
    <xf numFmtId="1" fontId="6" fillId="5" borderId="1" xfId="0" applyNumberFormat="1" applyFont="1" applyFill="1" applyBorder="1"/>
    <xf numFmtId="0" fontId="10" fillId="0" borderId="1" xfId="0" applyFont="1" applyBorder="1"/>
    <xf numFmtId="0" fontId="9" fillId="0" borderId="1" xfId="0" applyFont="1" applyBorder="1"/>
    <xf numFmtId="1" fontId="11" fillId="0" borderId="1" xfId="0" applyNumberFormat="1" applyFont="1" applyBorder="1"/>
    <xf numFmtId="9" fontId="11" fillId="0" borderId="1" xfId="0" applyNumberFormat="1" applyFont="1" applyBorder="1"/>
    <xf numFmtId="0" fontId="3" fillId="6" borderId="1" xfId="0" applyFont="1" applyFill="1" applyBorder="1" applyAlignment="1">
      <alignment horizontal="left"/>
    </xf>
    <xf numFmtId="0" fontId="9" fillId="12" borderId="1" xfId="0" applyFont="1" applyFill="1" applyBorder="1"/>
    <xf numFmtId="1" fontId="11" fillId="12" borderId="1" xfId="0" applyNumberFormat="1" applyFont="1" applyFill="1" applyBorder="1"/>
    <xf numFmtId="9" fontId="11" fillId="12" borderId="1" xfId="0" applyNumberFormat="1" applyFont="1" applyFill="1" applyBorder="1"/>
    <xf numFmtId="0" fontId="2" fillId="5" borderId="1" xfId="0" applyFont="1" applyFill="1" applyBorder="1"/>
    <xf numFmtId="0" fontId="12" fillId="1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10" fontId="4" fillId="0" borderId="1" xfId="0" applyNumberFormat="1" applyFont="1" applyBorder="1"/>
    <xf numFmtId="9" fontId="4" fillId="0" borderId="1" xfId="0" applyNumberFormat="1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0" fontId="13" fillId="14" borderId="1" xfId="0" applyFont="1" applyFill="1" applyBorder="1"/>
    <xf numFmtId="0" fontId="14" fillId="0" borderId="1" xfId="0" applyFont="1" applyBorder="1"/>
    <xf numFmtId="10" fontId="14" fillId="0" borderId="1" xfId="0" applyNumberFormat="1" applyFont="1" applyBorder="1"/>
    <xf numFmtId="9" fontId="14" fillId="0" borderId="1" xfId="0" applyNumberFormat="1" applyFont="1" applyBorder="1"/>
    <xf numFmtId="1" fontId="14" fillId="0" borderId="1" xfId="0" applyNumberFormat="1" applyFont="1" applyBorder="1"/>
    <xf numFmtId="164" fontId="14" fillId="0" borderId="1" xfId="0" applyNumberFormat="1" applyFont="1" applyBorder="1"/>
    <xf numFmtId="2" fontId="14" fillId="0" borderId="1" xfId="0" applyNumberFormat="1" applyFont="1" applyBorder="1"/>
    <xf numFmtId="4" fontId="14" fillId="0" borderId="1" xfId="0" applyNumberFormat="1" applyFont="1" applyBorder="1"/>
    <xf numFmtId="0" fontId="14" fillId="0" borderId="0" xfId="0" applyFont="1"/>
    <xf numFmtId="10" fontId="14" fillId="0" borderId="0" xfId="0" applyNumberFormat="1" applyFont="1"/>
    <xf numFmtId="1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/>
    <xf numFmtId="0" fontId="13" fillId="0" borderId="0" xfId="0" applyFont="1"/>
    <xf numFmtId="0" fontId="2" fillId="5" borderId="0" xfId="0" applyFont="1" applyFill="1"/>
    <xf numFmtId="1" fontId="15" fillId="7" borderId="1" xfId="0" applyNumberFormat="1" applyFont="1" applyFill="1" applyBorder="1" applyAlignment="1">
      <alignment horizontal="right"/>
    </xf>
    <xf numFmtId="0" fontId="4" fillId="0" borderId="0" xfId="0" applyFont="1"/>
    <xf numFmtId="1" fontId="4" fillId="0" borderId="0" xfId="0" applyNumberFormat="1" applyFont="1"/>
    <xf numFmtId="10" fontId="4" fillId="0" borderId="0" xfId="0" applyNumberFormat="1" applyFont="1"/>
    <xf numFmtId="9" fontId="4" fillId="0" borderId="0" xfId="0" applyNumberFormat="1" applyFont="1"/>
    <xf numFmtId="0" fontId="13" fillId="0" borderId="4" xfId="0" applyFont="1" applyBorder="1"/>
    <xf numFmtId="1" fontId="15" fillId="15" borderId="1" xfId="0" applyNumberFormat="1" applyFont="1" applyFill="1" applyBorder="1" applyAlignment="1">
      <alignment horizontal="right"/>
    </xf>
    <xf numFmtId="1" fontId="15" fillId="16" borderId="1" xfId="0" applyNumberFormat="1" applyFont="1" applyFill="1" applyBorder="1" applyAlignment="1">
      <alignment horizontal="right"/>
    </xf>
    <xf numFmtId="1" fontId="15" fillId="17" borderId="1" xfId="0" applyNumberFormat="1" applyFont="1" applyFill="1" applyBorder="1" applyAlignment="1">
      <alignment horizontal="right"/>
    </xf>
    <xf numFmtId="1" fontId="15" fillId="18" borderId="1" xfId="0" applyNumberFormat="1" applyFont="1" applyFill="1" applyBorder="1" applyAlignment="1">
      <alignment horizontal="right"/>
    </xf>
    <xf numFmtId="1" fontId="15" fillId="19" borderId="1" xfId="0" applyNumberFormat="1" applyFont="1" applyFill="1" applyBorder="1" applyAlignment="1">
      <alignment horizontal="right"/>
    </xf>
    <xf numFmtId="1" fontId="15" fillId="20" borderId="1" xfId="0" applyNumberFormat="1" applyFont="1" applyFill="1" applyBorder="1" applyAlignment="1">
      <alignment horizontal="right"/>
    </xf>
    <xf numFmtId="1" fontId="15" fillId="21" borderId="1" xfId="0" applyNumberFormat="1" applyFont="1" applyFill="1" applyBorder="1" applyAlignment="1">
      <alignment horizontal="right"/>
    </xf>
    <xf numFmtId="0" fontId="4" fillId="0" borderId="6" xfId="0" applyFont="1" applyBorder="1"/>
    <xf numFmtId="0" fontId="15" fillId="6" borderId="1" xfId="0" applyFont="1" applyFill="1" applyBorder="1" applyAlignment="1">
      <alignment horizontal="right"/>
    </xf>
    <xf numFmtId="0" fontId="16" fillId="3" borderId="1" xfId="0" applyFont="1" applyFill="1" applyBorder="1"/>
    <xf numFmtId="0" fontId="16" fillId="3" borderId="2" xfId="0" applyFont="1" applyFill="1" applyBorder="1" applyAlignment="1">
      <alignment horizontal="right"/>
    </xf>
    <xf numFmtId="1" fontId="16" fillId="3" borderId="1" xfId="0" applyNumberFormat="1" applyFont="1" applyFill="1" applyBorder="1"/>
    <xf numFmtId="10" fontId="16" fillId="3" borderId="1" xfId="0" applyNumberFormat="1" applyFont="1" applyFill="1" applyBorder="1"/>
    <xf numFmtId="164" fontId="4" fillId="0" borderId="0" xfId="0" applyNumberFormat="1" applyFont="1"/>
    <xf numFmtId="9" fontId="16" fillId="3" borderId="2" xfId="0" applyNumberFormat="1" applyFont="1" applyFill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3" fontId="4" fillId="0" borderId="0" xfId="0" applyNumberFormat="1" applyFont="1"/>
    <xf numFmtId="9" fontId="16" fillId="3" borderId="1" xfId="0" applyNumberFormat="1" applyFont="1" applyFill="1" applyBorder="1"/>
    <xf numFmtId="0" fontId="17" fillId="5" borderId="0" xfId="0" applyFont="1" applyFill="1"/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0" fontId="13" fillId="22" borderId="0" xfId="0" applyNumberFormat="1" applyFont="1" applyFill="1" applyAlignment="1">
      <alignment horizontal="right"/>
    </xf>
    <xf numFmtId="10" fontId="13" fillId="23" borderId="0" xfId="0" applyNumberFormat="1" applyFont="1" applyFill="1" applyAlignment="1">
      <alignment horizontal="right"/>
    </xf>
    <xf numFmtId="9" fontId="13" fillId="7" borderId="0" xfId="0" applyNumberFormat="1" applyFont="1" applyFill="1" applyAlignment="1">
      <alignment horizontal="right"/>
    </xf>
    <xf numFmtId="10" fontId="13" fillId="6" borderId="0" xfId="0" applyNumberFormat="1" applyFont="1" applyFill="1" applyAlignment="1">
      <alignment horizontal="right"/>
    </xf>
    <xf numFmtId="165" fontId="4" fillId="0" borderId="0" xfId="0" applyNumberFormat="1" applyFont="1"/>
    <xf numFmtId="1" fontId="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'Other Telecom Services '!$C$26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101-4D2C-BDD3-0AD1C1A8ACE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101-4D2C-BDD3-0AD1C1A8ACE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2101-4D2C-BDD3-0AD1C1A8ACE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2101-4D2C-BDD3-0AD1C1A8ACE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2101-4D2C-BDD3-0AD1C1A8ACE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2101-4D2C-BDD3-0AD1C1A8ACE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2101-4D2C-BDD3-0AD1C1A8ACE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2101-4D2C-BDD3-0AD1C1A8AC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'Other Telecom Services '!$B$27:$B$34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'!$C$27:$C$34</c:f>
              <c:numCache>
                <c:formatCode>0</c:formatCode>
                <c:ptCount val="8"/>
                <c:pt idx="0">
                  <c:v>12911.3514402</c:v>
                </c:pt>
                <c:pt idx="1">
                  <c:v>9998.3837144999998</c:v>
                </c:pt>
                <c:pt idx="2">
                  <c:v>5407.6112350000003</c:v>
                </c:pt>
                <c:pt idx="3">
                  <c:v>1039.0361800000001</c:v>
                </c:pt>
                <c:pt idx="4">
                  <c:v>519.41024379999999</c:v>
                </c:pt>
                <c:pt idx="5">
                  <c:v>257.82067749999999</c:v>
                </c:pt>
                <c:pt idx="6">
                  <c:v>240.55736899999999</c:v>
                </c:pt>
                <c:pt idx="7">
                  <c:v>159.0767056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101-4D2C-BDD3-0AD1C1A8A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'!$G$81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E9-437C-B7B5-F820AC0BD9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'!$F$82:$F$85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'!$G$82:$G$85</c:f>
              <c:numCache>
                <c:formatCode>0.00</c:formatCode>
                <c:ptCount val="4"/>
                <c:pt idx="0">
                  <c:v>0.51436619718309862</c:v>
                </c:pt>
                <c:pt idx="1">
                  <c:v>0.36576121288692354</c:v>
                </c:pt>
                <c:pt idx="2">
                  <c:v>0.74024130589070258</c:v>
                </c:pt>
                <c:pt idx="3">
                  <c:v>0.28008752735229758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6E9-437C-B7B5-F820AC0B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306712"/>
        <c:axId val="275011014"/>
      </c:barChart>
      <c:catAx>
        <c:axId val="622306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5011014"/>
        <c:crosses val="autoZero"/>
        <c:auto val="1"/>
        <c:lblAlgn val="ctr"/>
        <c:lblOffset val="100"/>
        <c:noMultiLvlLbl val="1"/>
      </c:catAx>
      <c:valAx>
        <c:axId val="2750110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230671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'!$G$54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'!$F$55:$F$58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'!$G$55:$G$58</c:f>
              <c:numCache>
                <c:formatCode>0.0</c:formatCode>
                <c:ptCount val="4"/>
                <c:pt idx="0">
                  <c:v>1.322228952150212</c:v>
                </c:pt>
                <c:pt idx="1">
                  <c:v>2.056308654848801</c:v>
                </c:pt>
                <c:pt idx="2">
                  <c:v>0.93753659964864333</c:v>
                </c:pt>
                <c:pt idx="3">
                  <c:v>1.3208333333333333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71B-4EBB-A935-ABD283046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100370"/>
        <c:axId val="554525850"/>
      </c:barChart>
      <c:catAx>
        <c:axId val="13571003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4525850"/>
        <c:crosses val="autoZero"/>
        <c:auto val="1"/>
        <c:lblAlgn val="ctr"/>
        <c:lblOffset val="100"/>
        <c:noMultiLvlLbl val="1"/>
      </c:catAx>
      <c:valAx>
        <c:axId val="5545258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710037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'!$C$104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B99-4DE7-BE30-EC61DC1B7A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'!$B$105:$B$108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'!$C$105:$C$108</c:f>
              <c:numCache>
                <c:formatCode>0.00%</c:formatCode>
                <c:ptCount val="4"/>
                <c:pt idx="0">
                  <c:v>0.10975609756097561</c:v>
                </c:pt>
                <c:pt idx="1">
                  <c:v>0.16583665338645417</c:v>
                </c:pt>
                <c:pt idx="2">
                  <c:v>5.945692883895131E-2</c:v>
                </c:pt>
                <c:pt idx="3">
                  <c:v>1.06544901065449E-2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B99-4DE7-BE30-EC61DC1B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267706"/>
        <c:axId val="992421995"/>
      </c:barChart>
      <c:lineChart>
        <c:grouping val="standard"/>
        <c:varyColors val="0"/>
        <c:ser>
          <c:idx val="1"/>
          <c:order val="1"/>
          <c:tx>
            <c:strRef>
              <c:f>'Other Telecom Services '!$D$104</c:f>
              <c:strCache>
                <c:ptCount val="1"/>
                <c:pt idx="0">
                  <c:v>ROA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'!$B$105:$B$108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'!$D$105:$D$108</c:f>
              <c:numCache>
                <c:formatCode>0.00%</c:formatCode>
                <c:ptCount val="4"/>
                <c:pt idx="0">
                  <c:v>5.3239436619718312E-2</c:v>
                </c:pt>
                <c:pt idx="1">
                  <c:v>0.10518003790271636</c:v>
                </c:pt>
                <c:pt idx="2">
                  <c:v>1.5022474568251716E-2</c:v>
                </c:pt>
                <c:pt idx="3">
                  <c:v>7.658643326039387E-3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99-4DE7-BE30-EC61DC1B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267706"/>
        <c:axId val="992421995"/>
      </c:lineChart>
      <c:catAx>
        <c:axId val="13042677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2421995"/>
        <c:crosses val="autoZero"/>
        <c:auto val="1"/>
        <c:lblAlgn val="ctr"/>
        <c:lblOffset val="100"/>
        <c:noMultiLvlLbl val="1"/>
      </c:catAx>
      <c:valAx>
        <c:axId val="9924219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426770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TRAIL_PE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'!$H$104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CF-4BDC-BD23-D4A0B283B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'!$G$105:$G$112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'!$H$105:$H$112</c:f>
              <c:numCache>
                <c:formatCode>#,##0</c:formatCode>
                <c:ptCount val="8"/>
                <c:pt idx="0">
                  <c:v>7.63</c:v>
                </c:pt>
                <c:pt idx="1">
                  <c:v>61.07</c:v>
                </c:pt>
                <c:pt idx="2">
                  <c:v>2.42</c:v>
                </c:pt>
                <c:pt idx="3">
                  <c:v>1.92</c:v>
                </c:pt>
                <c:pt idx="4">
                  <c:v>0.62</c:v>
                </c:pt>
                <c:pt idx="5">
                  <c:v>5.53</c:v>
                </c:pt>
                <c:pt idx="6">
                  <c:v>1.99</c:v>
                </c:pt>
                <c:pt idx="7">
                  <c:v>0.96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5CF-4BDC-BD23-D4A0B283B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524433"/>
        <c:axId val="73203160"/>
      </c:barChart>
      <c:catAx>
        <c:axId val="8905244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3203160"/>
        <c:crosses val="autoZero"/>
        <c:auto val="1"/>
        <c:lblAlgn val="ctr"/>
        <c:lblOffset val="100"/>
        <c:noMultiLvlLbl val="1"/>
      </c:catAx>
      <c:valAx>
        <c:axId val="732031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TRAIL_PE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05244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'!$I$104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5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23-4925-B304-5EEE071E68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'!$G$105:$G$112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'!$I$105:$I$112</c:f>
              <c:numCache>
                <c:formatCode>0%</c:formatCode>
                <c:ptCount val="8"/>
                <c:pt idx="0">
                  <c:v>1.9029804214989402E-2</c:v>
                </c:pt>
                <c:pt idx="1">
                  <c:v>3.8218912322423179E-2</c:v>
                </c:pt>
                <c:pt idx="2">
                  <c:v>1.7833456153279293E-2</c:v>
                </c:pt>
                <c:pt idx="3">
                  <c:v>1.9502285424073132E-2</c:v>
                </c:pt>
                <c:pt idx="4">
                  <c:v>8.9118873077475933E-3</c:v>
                </c:pt>
                <c:pt idx="5">
                  <c:v>0.34220297029702973</c:v>
                </c:pt>
                <c:pt idx="6">
                  <c:v>0.02</c:v>
                </c:pt>
                <c:pt idx="7">
                  <c:v>5.8394160583941602E-3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E23-4925-B304-5EEE071E6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6721369"/>
        <c:axId val="599857807"/>
      </c:barChart>
      <c:catAx>
        <c:axId val="17267213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9857807"/>
        <c:crosses val="autoZero"/>
        <c:auto val="1"/>
        <c:lblAlgn val="ctr"/>
        <c:lblOffset val="100"/>
        <c:noMultiLvlLbl val="1"/>
      </c:catAx>
      <c:valAx>
        <c:axId val="599857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67213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PBV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'!$J$104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7C0-4C26-858E-DC86F10087E7}"/>
              </c:ext>
            </c:extLst>
          </c:dPt>
          <c:cat>
            <c:strRef>
              <c:f>'Other Telecom Services '!$G$105:$G$112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'!$J$105:$J$112</c:f>
              <c:numCache>
                <c:formatCode>0.0</c:formatCode>
                <c:ptCount val="8"/>
                <c:pt idx="0">
                  <c:v>7.4508710801393727</c:v>
                </c:pt>
                <c:pt idx="1">
                  <c:v>4.9337549800796818</c:v>
                </c:pt>
                <c:pt idx="2">
                  <c:v>2.5411985018726591</c:v>
                </c:pt>
                <c:pt idx="3">
                  <c:v>1.588386605783866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7C0-4C26-858E-DC86F100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19355"/>
        <c:axId val="1693649114"/>
      </c:barChart>
      <c:catAx>
        <c:axId val="2368193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93649114"/>
        <c:crosses val="autoZero"/>
        <c:auto val="1"/>
        <c:lblAlgn val="ctr"/>
        <c:lblOffset val="100"/>
        <c:noMultiLvlLbl val="1"/>
      </c:catAx>
      <c:valAx>
        <c:axId val="16936491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PBV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68193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'Other Telecom Services '!$G$26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E57-41E2-A769-D1C7AB2112D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E57-41E2-A769-D1C7AB2112D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E57-41E2-A769-D1C7AB2112D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3E57-41E2-A769-D1C7AB2112D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3E57-41E2-A769-D1C7AB2112D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3E57-41E2-A769-D1C7AB2112D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3E57-41E2-A769-D1C7AB2112D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3E57-41E2-A769-D1C7AB2112D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'Other Telecom Services '!$F$27:$F$34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'!$G$27:$G$34</c:f>
              <c:numCache>
                <c:formatCode>General</c:formatCode>
                <c:ptCount val="8"/>
                <c:pt idx="0">
                  <c:v>1963</c:v>
                </c:pt>
                <c:pt idx="1">
                  <c:v>3569</c:v>
                </c:pt>
                <c:pt idx="2">
                  <c:v>6925</c:v>
                </c:pt>
                <c:pt idx="3">
                  <c:v>525</c:v>
                </c:pt>
                <c:pt idx="4">
                  <c:v>1.97</c:v>
                </c:pt>
                <c:pt idx="5">
                  <c:v>1458</c:v>
                </c:pt>
                <c:pt idx="6">
                  <c:v>21.64</c:v>
                </c:pt>
                <c:pt idx="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E57-41E2-A769-D1C7AB211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PROFIT_23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'!$K$26</c:f>
              <c:strCache>
                <c:ptCount val="1"/>
                <c:pt idx="0">
                  <c:v>PROFIT_23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5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8DB-47AB-A2C8-884F0F17AA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'!$J$27:$J$34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'!$K$27:$K$34</c:f>
              <c:numCache>
                <c:formatCode>0</c:formatCode>
                <c:ptCount val="8"/>
                <c:pt idx="0">
                  <c:v>189</c:v>
                </c:pt>
                <c:pt idx="1">
                  <c:v>333</c:v>
                </c:pt>
                <c:pt idx="2">
                  <c:v>127</c:v>
                </c:pt>
                <c:pt idx="3">
                  <c:v>7</c:v>
                </c:pt>
                <c:pt idx="4">
                  <c:v>8.33</c:v>
                </c:pt>
                <c:pt idx="5">
                  <c:v>-1817</c:v>
                </c:pt>
                <c:pt idx="6">
                  <c:v>-0.22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8DB-47AB-A2C8-884F0F17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196911"/>
        <c:axId val="462646425"/>
      </c:barChart>
      <c:catAx>
        <c:axId val="1289196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2646425"/>
        <c:crosses val="autoZero"/>
        <c:auto val="1"/>
        <c:lblAlgn val="ctr"/>
        <c:lblOffset val="100"/>
        <c:noMultiLvlLbl val="1"/>
      </c:catAx>
      <c:valAx>
        <c:axId val="4626464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PROFIT_23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919691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SALES_5Y_GR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'!$O$26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E77-48D0-9ADB-CE8194ED8D94}"/>
              </c:ext>
            </c:extLst>
          </c:dPt>
          <c:dPt>
            <c:idx val="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E77-48D0-9ADB-CE8194ED8D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'!$N$27:$N$30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'!$O$27:$O$30</c:f>
              <c:numCache>
                <c:formatCode>0.00%</c:formatCode>
                <c:ptCount val="4"/>
                <c:pt idx="0">
                  <c:v>0.13877857267635618</c:v>
                </c:pt>
                <c:pt idx="1">
                  <c:v>0.47626985991593562</c:v>
                </c:pt>
                <c:pt idx="2">
                  <c:v>0.16659026710001323</c:v>
                </c:pt>
                <c:pt idx="3">
                  <c:v>-3.733071451320813E-2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EE77-48D0-9ADB-CE8194ED8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293233"/>
        <c:axId val="607085429"/>
      </c:barChart>
      <c:catAx>
        <c:axId val="1174293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7085429"/>
        <c:crosses val="autoZero"/>
        <c:auto val="1"/>
        <c:lblAlgn val="ctr"/>
        <c:lblOffset val="100"/>
        <c:noMultiLvlLbl val="1"/>
      </c:catAx>
      <c:valAx>
        <c:axId val="6070854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42932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CY_SALES GR and CY_PRPFIT_GR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'!$S$26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'!$R$27:$R$30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'!$S$27:$S$30</c:f>
              <c:numCache>
                <c:formatCode>0%</c:formatCode>
                <c:ptCount val="4"/>
                <c:pt idx="0">
                  <c:v>0.37698412698412698</c:v>
                </c:pt>
                <c:pt idx="1">
                  <c:v>0.17421875000000009</c:v>
                </c:pt>
                <c:pt idx="2">
                  <c:v>-0.14166996438464585</c:v>
                </c:pt>
                <c:pt idx="3">
                  <c:v>1.5037593984962516E-2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C8F-4AE5-A3D7-FF465E9B08CA}"/>
            </c:ext>
          </c:extLst>
        </c:ser>
        <c:ser>
          <c:idx val="1"/>
          <c:order val="1"/>
          <c:tx>
            <c:strRef>
              <c:f>'Other Telecom Services '!$T$26</c:f>
              <c:strCache>
                <c:ptCount val="1"/>
                <c:pt idx="0">
                  <c:v>CY_PRPFIT_GR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'!$R$27:$R$30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'!$T$27:$T$30</c:f>
              <c:numCache>
                <c:formatCode>0%</c:formatCode>
                <c:ptCount val="4"/>
                <c:pt idx="0">
                  <c:v>0.49557522123893816</c:v>
                </c:pt>
                <c:pt idx="1">
                  <c:v>0.27947598253275108</c:v>
                </c:pt>
                <c:pt idx="2">
                  <c:v>-0.59459459459459452</c:v>
                </c:pt>
                <c:pt idx="3">
                  <c:v>3.5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C8F-4AE5-A3D7-FF465E9B0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696460"/>
        <c:axId val="1672282998"/>
      </c:barChart>
      <c:catAx>
        <c:axId val="2806964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2282998"/>
        <c:crosses val="autoZero"/>
        <c:auto val="1"/>
        <c:lblAlgn val="ctr"/>
        <c:lblOffset val="100"/>
        <c:noMultiLvlLbl val="1"/>
      </c:catAx>
      <c:valAx>
        <c:axId val="16722829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069646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MARGIN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'!$C$54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5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FC-41B0-861A-9E46A6EB95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'!$B$55:$B$62</c:f>
              <c:strCache>
                <c:ptCount val="8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  <c:pt idx="4">
                  <c:v>MEGASOFT</c:v>
                </c:pt>
                <c:pt idx="5">
                  <c:v>GTL</c:v>
                </c:pt>
                <c:pt idx="6">
                  <c:v>NETTLINX</c:v>
                </c:pt>
                <c:pt idx="7">
                  <c:v>STML</c:v>
                </c:pt>
              </c:strCache>
            </c:strRef>
          </c:cat>
          <c:val>
            <c:numRef>
              <c:f>'Other Telecom Services '!$C$55:$C$62</c:f>
              <c:numCache>
                <c:formatCode>0%</c:formatCode>
                <c:ptCount val="8"/>
                <c:pt idx="0">
                  <c:v>9.6281202241467148E-2</c:v>
                </c:pt>
                <c:pt idx="1">
                  <c:v>9.3303446343513591E-2</c:v>
                </c:pt>
                <c:pt idx="2">
                  <c:v>1.8339350180505413E-2</c:v>
                </c:pt>
                <c:pt idx="3">
                  <c:v>1.3333333333333334E-2</c:v>
                </c:pt>
                <c:pt idx="4">
                  <c:v>0</c:v>
                </c:pt>
                <c:pt idx="5">
                  <c:v>-1.2462277091906722</c:v>
                </c:pt>
                <c:pt idx="6">
                  <c:v>-1.0166358595194085E-2</c:v>
                </c:pt>
                <c:pt idx="7">
                  <c:v>7.4074074074074077E-3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9FC-41B0-861A-9E46A6EB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870176"/>
        <c:axId val="1939769873"/>
      </c:barChart>
      <c:catAx>
        <c:axId val="55487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39769873"/>
        <c:crosses val="autoZero"/>
        <c:auto val="1"/>
        <c:lblAlgn val="ctr"/>
        <c:lblOffset val="100"/>
        <c:noMultiLvlLbl val="1"/>
      </c:catAx>
      <c:valAx>
        <c:axId val="19397698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MARGIN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487017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'!$K$81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EBA-4F88-890F-83EFF329B838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EBA-4F88-890F-83EFF329B838}"/>
              </c:ext>
            </c:extLst>
          </c:dPt>
          <c:dPt>
            <c:idx val="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EBA-4F88-890F-83EFF329B8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'!$J$82:$J$85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'!$K$82:$K$85</c:f>
              <c:numCache>
                <c:formatCode>0</c:formatCode>
                <c:ptCount val="4"/>
                <c:pt idx="0">
                  <c:v>37.333333333333336</c:v>
                </c:pt>
                <c:pt idx="1">
                  <c:v>18.100000000000001</c:v>
                </c:pt>
                <c:pt idx="2">
                  <c:v>1.8681672025723473</c:v>
                </c:pt>
                <c:pt idx="3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6EBA-4F88-890F-83EFF329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836267"/>
        <c:axId val="815949154"/>
      </c:barChart>
      <c:catAx>
        <c:axId val="12758362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5949154"/>
        <c:crosses val="autoZero"/>
        <c:auto val="1"/>
        <c:lblAlgn val="ctr"/>
        <c:lblOffset val="100"/>
        <c:noMultiLvlLbl val="1"/>
      </c:catAx>
      <c:valAx>
        <c:axId val="815949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7583626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'!$K$54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3F8-4C47-BB51-16705D2D1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'!$J$55:$J$58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'!$K$55:$K$58</c:f>
              <c:numCache>
                <c:formatCode>0</c:formatCode>
                <c:ptCount val="4"/>
                <c:pt idx="0">
                  <c:v>236.3295975547631</c:v>
                </c:pt>
                <c:pt idx="1">
                  <c:v>91.633510787335382</c:v>
                </c:pt>
                <c:pt idx="2">
                  <c:v>83.857761732851984</c:v>
                </c:pt>
                <c:pt idx="3">
                  <c:v>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3F8-4C47-BB51-16705D2D1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977296"/>
        <c:axId val="1008296182"/>
      </c:barChart>
      <c:catAx>
        <c:axId val="165597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8296182"/>
        <c:crosses val="autoZero"/>
        <c:auto val="1"/>
        <c:lblAlgn val="ctr"/>
        <c:lblOffset val="100"/>
        <c:noMultiLvlLbl val="1"/>
      </c:catAx>
      <c:valAx>
        <c:axId val="10082961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597729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'Other Telecom Services '!$C$81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20-43CF-81B0-3C2AE62DA8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'Other Telecom Services '!$B$82:$B$85</c:f>
              <c:strCache>
                <c:ptCount val="4"/>
                <c:pt idx="0">
                  <c:v>RAILTEL</c:v>
                </c:pt>
                <c:pt idx="1">
                  <c:v>ROUTE</c:v>
                </c:pt>
                <c:pt idx="2">
                  <c:v>STLTECH</c:v>
                </c:pt>
                <c:pt idx="3">
                  <c:v>ONMOBILE*</c:v>
                </c:pt>
              </c:strCache>
            </c:strRef>
          </c:cat>
          <c:val>
            <c:numRef>
              <c:f>'Other Telecom Services '!$C$82:$C$85</c:f>
              <c:numCache>
                <c:formatCode>#,##0.00</c:formatCode>
                <c:ptCount val="4"/>
                <c:pt idx="0">
                  <c:v>0</c:v>
                </c:pt>
                <c:pt idx="1">
                  <c:v>7.4203187250996019E-2</c:v>
                </c:pt>
                <c:pt idx="2">
                  <c:v>1.6530898876404494</c:v>
                </c:pt>
                <c:pt idx="3">
                  <c:v>1.5220700152207001E-2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C20-43CF-81B0-3C2AE62DA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588376"/>
        <c:axId val="175398689"/>
      </c:barChart>
      <c:catAx>
        <c:axId val="1163588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398689"/>
        <c:crosses val="autoZero"/>
        <c:auto val="1"/>
        <c:lblAlgn val="ctr"/>
        <c:lblOffset val="100"/>
        <c:noMultiLvlLbl val="1"/>
      </c:catAx>
      <c:valAx>
        <c:axId val="1753986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358837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2.jp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40</xdr:row>
      <xdr:rowOff>95250</xdr:rowOff>
    </xdr:from>
    <xdr:ext cx="10934700" cy="46767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4074C2FB-B708-49ED-AC37-C1EDBB18D3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7654290"/>
          <a:ext cx="10934700" cy="46767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37</xdr:row>
      <xdr:rowOff>104775</xdr:rowOff>
    </xdr:from>
    <xdr:ext cx="4105275" cy="25336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3058EA3B-B056-4EC2-AA65-61DC7BF68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428625</xdr:colOff>
      <xdr:row>37</xdr:row>
      <xdr:rowOff>104775</xdr:rowOff>
    </xdr:from>
    <xdr:ext cx="4143375" cy="25336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2F7B33FD-70CC-474C-8439-BC8C0BFAC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733425</xdr:colOff>
      <xdr:row>37</xdr:row>
      <xdr:rowOff>104775</xdr:rowOff>
    </xdr:from>
    <xdr:ext cx="4143375" cy="25336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81C877CC-2F22-4478-8D22-0CF4A91AD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13</xdr:col>
      <xdr:colOff>76200</xdr:colOff>
      <xdr:row>37</xdr:row>
      <xdr:rowOff>104775</xdr:rowOff>
    </xdr:from>
    <xdr:ext cx="4105275" cy="253365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218D5224-CD42-4223-BE10-D1A537278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17</xdr:col>
      <xdr:colOff>342900</xdr:colOff>
      <xdr:row>37</xdr:row>
      <xdr:rowOff>104775</xdr:rowOff>
    </xdr:from>
    <xdr:ext cx="4143375" cy="253365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A57A9BED-C423-42A4-AA24-79D3F4943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0</xdr:colOff>
      <xdr:row>64</xdr:row>
      <xdr:rowOff>66675</xdr:rowOff>
    </xdr:from>
    <xdr:ext cx="4267200" cy="263842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5D4AC960-B58E-427A-B4B8-AF6EAD727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8</xdr:col>
      <xdr:colOff>533400</xdr:colOff>
      <xdr:row>88</xdr:row>
      <xdr:rowOff>114300</xdr:rowOff>
    </xdr:from>
    <xdr:ext cx="4210050" cy="2638425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3893F639-8917-46CF-B5FD-2EECE4C31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8</xdr:col>
      <xdr:colOff>800100</xdr:colOff>
      <xdr:row>64</xdr:row>
      <xdr:rowOff>66675</xdr:rowOff>
    </xdr:from>
    <xdr:ext cx="4210050" cy="263842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C70FEFDD-2404-41AE-941A-6246719D0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0</xdr:colOff>
      <xdr:row>88</xdr:row>
      <xdr:rowOff>114300</xdr:rowOff>
    </xdr:from>
    <xdr:ext cx="4105275" cy="253365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D47633C5-B56E-4628-AC54-81A2276AD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4</xdr:col>
      <xdr:colOff>266700</xdr:colOff>
      <xdr:row>88</xdr:row>
      <xdr:rowOff>114300</xdr:rowOff>
    </xdr:from>
    <xdr:ext cx="4105275" cy="253365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1BA97429-33D8-4336-806E-BD20B0E22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4</xdr:col>
      <xdr:colOff>428625</xdr:colOff>
      <xdr:row>64</xdr:row>
      <xdr:rowOff>66675</xdr:rowOff>
    </xdr:from>
    <xdr:ext cx="4267200" cy="2638425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967BFDAC-30CF-4A2D-A9BF-DDB784964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66675</xdr:colOff>
      <xdr:row>114</xdr:row>
      <xdr:rowOff>171450</xdr:rowOff>
    </xdr:from>
    <xdr:ext cx="4305300" cy="263842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BE5E91A8-330F-46FF-8AD5-D746182B3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4</xdr:col>
      <xdr:colOff>533400</xdr:colOff>
      <xdr:row>114</xdr:row>
      <xdr:rowOff>171450</xdr:rowOff>
    </xdr:from>
    <xdr:ext cx="4305300" cy="267652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181D883E-E7FD-4412-AC30-B48A4116D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38100</xdr:colOff>
      <xdr:row>114</xdr:row>
      <xdr:rowOff>190500</xdr:rowOff>
    </xdr:from>
    <xdr:ext cx="4210050" cy="263842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C6BCB44E-127C-44CD-800A-B4E92E386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13</xdr:col>
      <xdr:colOff>409575</xdr:colOff>
      <xdr:row>114</xdr:row>
      <xdr:rowOff>171450</xdr:rowOff>
    </xdr:from>
    <xdr:ext cx="4305300" cy="2676525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F66C3FAB-3F7F-400B-B2C9-B52158E7B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904875</xdr:colOff>
      <xdr:row>11</xdr:row>
      <xdr:rowOff>123825</xdr:rowOff>
    </xdr:from>
    <xdr:ext cx="3400425" cy="2047875"/>
    <xdr:pic>
      <xdr:nvPicPr>
        <xdr:cNvPr id="17" name="image1.jpg" title="Image">
          <a:extLst>
            <a:ext uri="{FF2B5EF4-FFF2-40B4-BE49-F238E27FC236}">
              <a16:creationId xmlns:a16="http://schemas.microsoft.com/office/drawing/2014/main" id="{878E5E9A-B41B-4E67-AC0A-1C6619EF754A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04875" y="2303145"/>
          <a:ext cx="3400425" cy="20478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Other%20Telecom%20Services%20(5).xlsx" TargetMode="External"/><Relationship Id="rId1" Type="http://schemas.openxmlformats.org/officeDocument/2006/relationships/externalLinkPath" Target="/Users/profi/Downloads/Other%20Telecom%20Service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ther Telecom Services "/>
      <sheetName val="Other Telecom Services"/>
      <sheetName val="ROUTE"/>
      <sheetName val="INFRATEL"/>
      <sheetName val="STRTECH"/>
      <sheetName val="Sheet4"/>
    </sheetNames>
    <sheetDataSet>
      <sheetData sheetId="0">
        <row r="26">
          <cell r="C26" t="str">
            <v>MARKETCAP</v>
          </cell>
          <cell r="G26" t="str">
            <v>SALES_23</v>
          </cell>
          <cell r="K26" t="str">
            <v>PROFIT_23</v>
          </cell>
          <cell r="O26" t="str">
            <v>SALES_5Y_GR</v>
          </cell>
          <cell r="S26" t="str">
            <v>CY_SALES GR</v>
          </cell>
          <cell r="T26" t="str">
            <v>CY_PRPFIT_GR</v>
          </cell>
        </row>
        <row r="27">
          <cell r="B27" t="str">
            <v>RAILTEL</v>
          </cell>
          <cell r="C27">
            <v>12911.3514402</v>
          </cell>
          <cell r="F27" t="str">
            <v>RAILTEL</v>
          </cell>
          <cell r="G27">
            <v>1963</v>
          </cell>
          <cell r="J27" t="str">
            <v>RAILTEL</v>
          </cell>
          <cell r="K27">
            <v>189</v>
          </cell>
          <cell r="N27" t="str">
            <v>RAILTEL</v>
          </cell>
          <cell r="O27">
            <v>0.13877857267635618</v>
          </cell>
          <cell r="R27" t="str">
            <v>RAILTEL</v>
          </cell>
          <cell r="S27">
            <v>0.37698412698412698</v>
          </cell>
          <cell r="T27">
            <v>0.49557522123893816</v>
          </cell>
        </row>
        <row r="28">
          <cell r="B28" t="str">
            <v>ROUTE</v>
          </cell>
          <cell r="C28">
            <v>9998.3837144999998</v>
          </cell>
          <cell r="F28" t="str">
            <v>ROUTE</v>
          </cell>
          <cell r="G28">
            <v>3569</v>
          </cell>
          <cell r="J28" t="str">
            <v>ROUTE</v>
          </cell>
          <cell r="K28">
            <v>333</v>
          </cell>
          <cell r="N28" t="str">
            <v>ROUTE</v>
          </cell>
          <cell r="O28">
            <v>0.47626985991593562</v>
          </cell>
          <cell r="R28" t="str">
            <v>ROUTE</v>
          </cell>
          <cell r="S28">
            <v>0.17421875000000009</v>
          </cell>
          <cell r="T28">
            <v>0.27947598253275108</v>
          </cell>
        </row>
        <row r="29">
          <cell r="B29" t="str">
            <v>STLTECH</v>
          </cell>
          <cell r="C29">
            <v>5407.6112350000003</v>
          </cell>
          <cell r="F29" t="str">
            <v>STLTECH</v>
          </cell>
          <cell r="G29">
            <v>6925</v>
          </cell>
          <cell r="J29" t="str">
            <v>STLTECH</v>
          </cell>
          <cell r="K29">
            <v>127</v>
          </cell>
          <cell r="N29" t="str">
            <v>STLTECH</v>
          </cell>
          <cell r="O29">
            <v>0.16659026710001323</v>
          </cell>
          <cell r="R29" t="str">
            <v>STLTECH</v>
          </cell>
          <cell r="S29">
            <v>-0.14166996438464585</v>
          </cell>
          <cell r="T29">
            <v>-0.59459459459459452</v>
          </cell>
        </row>
        <row r="30">
          <cell r="B30" t="str">
            <v>ONMOBILE*</v>
          </cell>
          <cell r="C30">
            <v>1039.0361800000001</v>
          </cell>
          <cell r="F30" t="str">
            <v>ONMOBILE*</v>
          </cell>
          <cell r="G30">
            <v>525</v>
          </cell>
          <cell r="J30" t="str">
            <v>ONMOBILE*</v>
          </cell>
          <cell r="K30">
            <v>7</v>
          </cell>
          <cell r="N30" t="str">
            <v>ONMOBILE*</v>
          </cell>
          <cell r="O30">
            <v>-3.733071451320813E-2</v>
          </cell>
          <cell r="R30" t="str">
            <v>ONMOBILE*</v>
          </cell>
          <cell r="S30">
            <v>1.5037593984962516E-2</v>
          </cell>
          <cell r="T30">
            <v>3.5</v>
          </cell>
        </row>
        <row r="31">
          <cell r="B31" t="str">
            <v>MEGASOFT</v>
          </cell>
          <cell r="C31">
            <v>519.41024379999999</v>
          </cell>
          <cell r="F31" t="str">
            <v>MEGASOFT</v>
          </cell>
          <cell r="G31">
            <v>1.97</v>
          </cell>
          <cell r="J31" t="str">
            <v>MEGASOFT</v>
          </cell>
          <cell r="K31">
            <v>8.33</v>
          </cell>
        </row>
        <row r="32">
          <cell r="B32" t="str">
            <v>GTL</v>
          </cell>
          <cell r="C32">
            <v>257.82067749999999</v>
          </cell>
          <cell r="F32" t="str">
            <v>GTL</v>
          </cell>
          <cell r="G32">
            <v>1458</v>
          </cell>
          <cell r="J32" t="str">
            <v>GTL</v>
          </cell>
          <cell r="K32">
            <v>-1817</v>
          </cell>
        </row>
        <row r="33">
          <cell r="B33" t="str">
            <v>NETTLINX</v>
          </cell>
          <cell r="C33">
            <v>240.55736899999999</v>
          </cell>
          <cell r="F33" t="str">
            <v>NETTLINX</v>
          </cell>
          <cell r="G33">
            <v>21.64</v>
          </cell>
          <cell r="J33" t="str">
            <v>NETTLINX</v>
          </cell>
          <cell r="K33">
            <v>-0.22</v>
          </cell>
        </row>
        <row r="34">
          <cell r="B34" t="str">
            <v>STML</v>
          </cell>
          <cell r="C34">
            <v>159.0767056</v>
          </cell>
          <cell r="F34" t="str">
            <v>STML</v>
          </cell>
          <cell r="G34">
            <v>135</v>
          </cell>
          <cell r="J34" t="str">
            <v>STML</v>
          </cell>
          <cell r="K34">
            <v>1</v>
          </cell>
        </row>
        <row r="54">
          <cell r="C54" t="str">
            <v>MARGIN</v>
          </cell>
          <cell r="G54" t="str">
            <v>CUR. RATIO</v>
          </cell>
          <cell r="K54" t="str">
            <v>TR.DAYS</v>
          </cell>
        </row>
        <row r="55">
          <cell r="B55" t="str">
            <v>RAILTEL</v>
          </cell>
          <cell r="C55">
            <v>9.6281202241467148E-2</v>
          </cell>
          <cell r="F55" t="str">
            <v>RAILTEL</v>
          </cell>
          <cell r="G55">
            <v>1.322228952150212</v>
          </cell>
          <cell r="J55" t="str">
            <v>RAILTEL</v>
          </cell>
          <cell r="K55">
            <v>236.3295975547631</v>
          </cell>
        </row>
        <row r="56">
          <cell r="B56" t="str">
            <v>ROUTE</v>
          </cell>
          <cell r="C56">
            <v>9.3303446343513591E-2</v>
          </cell>
          <cell r="F56" t="str">
            <v>ROUTE</v>
          </cell>
          <cell r="G56">
            <v>2.056308654848801</v>
          </cell>
          <cell r="J56" t="str">
            <v>ROUTE</v>
          </cell>
          <cell r="K56">
            <v>91.633510787335382</v>
          </cell>
        </row>
        <row r="57">
          <cell r="B57" t="str">
            <v>STLTECH</v>
          </cell>
          <cell r="C57">
            <v>1.8339350180505413E-2</v>
          </cell>
          <cell r="F57" t="str">
            <v>STLTECH</v>
          </cell>
          <cell r="G57">
            <v>0.93753659964864333</v>
          </cell>
          <cell r="J57" t="str">
            <v>STLTECH</v>
          </cell>
          <cell r="K57">
            <v>83.857761732851984</v>
          </cell>
        </row>
        <row r="58">
          <cell r="B58" t="str">
            <v>ONMOBILE*</v>
          </cell>
          <cell r="C58">
            <v>1.3333333333333334E-2</v>
          </cell>
          <cell r="F58" t="str">
            <v>ONMOBILE*</v>
          </cell>
          <cell r="G58">
            <v>1.3208333333333333</v>
          </cell>
          <cell r="J58" t="str">
            <v>ONMOBILE*</v>
          </cell>
          <cell r="K58">
            <v>73</v>
          </cell>
        </row>
        <row r="59">
          <cell r="B59" t="str">
            <v>MEGASOFT</v>
          </cell>
          <cell r="C59">
            <v>0</v>
          </cell>
        </row>
        <row r="60">
          <cell r="B60" t="str">
            <v>GTL</v>
          </cell>
          <cell r="C60">
            <v>-1.2462277091906722</v>
          </cell>
        </row>
        <row r="61">
          <cell r="B61" t="str">
            <v>NETTLINX</v>
          </cell>
          <cell r="C61">
            <v>-1.0166358595194085E-2</v>
          </cell>
        </row>
        <row r="62">
          <cell r="B62" t="str">
            <v>STML</v>
          </cell>
          <cell r="C62">
            <v>7.4074074074074077E-3</v>
          </cell>
        </row>
        <row r="81">
          <cell r="C81" t="str">
            <v>DEBT2EQUITY</v>
          </cell>
          <cell r="G81" t="str">
            <v>DEBTRATIO</v>
          </cell>
          <cell r="K81" t="str">
            <v>ICR</v>
          </cell>
        </row>
        <row r="82">
          <cell r="B82" t="str">
            <v>RAILTEL</v>
          </cell>
          <cell r="C82">
            <v>0</v>
          </cell>
          <cell r="F82" t="str">
            <v>RAILTEL</v>
          </cell>
          <cell r="G82">
            <v>0.51436619718309862</v>
          </cell>
          <cell r="J82" t="str">
            <v>RAILTEL</v>
          </cell>
          <cell r="K82">
            <v>37.333333333333336</v>
          </cell>
        </row>
        <row r="83">
          <cell r="B83" t="str">
            <v>ROUTE</v>
          </cell>
          <cell r="C83">
            <v>7.4203187250996019E-2</v>
          </cell>
          <cell r="F83" t="str">
            <v>ROUTE</v>
          </cell>
          <cell r="G83">
            <v>0.36576121288692354</v>
          </cell>
          <cell r="J83" t="str">
            <v>ROUTE</v>
          </cell>
          <cell r="K83">
            <v>18.100000000000001</v>
          </cell>
        </row>
        <row r="84">
          <cell r="B84" t="str">
            <v>STLTECH</v>
          </cell>
          <cell r="C84">
            <v>1.6530898876404494</v>
          </cell>
          <cell r="F84" t="str">
            <v>STLTECH</v>
          </cell>
          <cell r="G84">
            <v>0.74024130589070258</v>
          </cell>
          <cell r="J84" t="str">
            <v>STLTECH</v>
          </cell>
          <cell r="K84">
            <v>1.8681672025723473</v>
          </cell>
        </row>
        <row r="85">
          <cell r="B85" t="str">
            <v>ONMOBILE*</v>
          </cell>
          <cell r="C85">
            <v>1.5220700152207001E-2</v>
          </cell>
          <cell r="F85" t="str">
            <v>ONMOBILE*</v>
          </cell>
          <cell r="G85">
            <v>0.28008752735229758</v>
          </cell>
          <cell r="J85" t="str">
            <v>ONMOBILE*</v>
          </cell>
          <cell r="K85">
            <v>5</v>
          </cell>
        </row>
        <row r="104">
          <cell r="C104" t="str">
            <v>ROE</v>
          </cell>
          <cell r="D104" t="str">
            <v>ROA</v>
          </cell>
          <cell r="H104" t="str">
            <v>TRAIL_PE</v>
          </cell>
          <cell r="I104" t="str">
            <v>YIELD</v>
          </cell>
          <cell r="J104" t="str">
            <v>PBV</v>
          </cell>
        </row>
        <row r="105">
          <cell r="B105" t="str">
            <v>RAILTEL</v>
          </cell>
          <cell r="C105">
            <v>0.10975609756097561</v>
          </cell>
          <cell r="D105">
            <v>5.3239436619718312E-2</v>
          </cell>
          <cell r="G105" t="str">
            <v>RAILTEL</v>
          </cell>
          <cell r="H105">
            <v>7.63</v>
          </cell>
          <cell r="I105">
            <v>1.9029804214989402E-2</v>
          </cell>
          <cell r="J105">
            <v>7.4508710801393727</v>
          </cell>
        </row>
        <row r="106">
          <cell r="B106" t="str">
            <v>ROUTE</v>
          </cell>
          <cell r="C106">
            <v>0.16583665338645417</v>
          </cell>
          <cell r="D106">
            <v>0.10518003790271636</v>
          </cell>
          <cell r="G106" t="str">
            <v>ROUTE</v>
          </cell>
          <cell r="H106">
            <v>61.07</v>
          </cell>
          <cell r="I106">
            <v>3.8218912322423179E-2</v>
          </cell>
          <cell r="J106">
            <v>4.9337549800796818</v>
          </cell>
        </row>
        <row r="107">
          <cell r="B107" t="str">
            <v>STLTECH</v>
          </cell>
          <cell r="C107">
            <v>5.945692883895131E-2</v>
          </cell>
          <cell r="D107">
            <v>1.5022474568251716E-2</v>
          </cell>
          <cell r="G107" t="str">
            <v>STLTECH</v>
          </cell>
          <cell r="H107">
            <v>2.42</v>
          </cell>
          <cell r="I107">
            <v>1.7833456153279293E-2</v>
          </cell>
          <cell r="J107">
            <v>2.5411985018726591</v>
          </cell>
        </row>
        <row r="108">
          <cell r="B108" t="str">
            <v>ONMOBILE*</v>
          </cell>
          <cell r="C108">
            <v>1.06544901065449E-2</v>
          </cell>
          <cell r="D108">
            <v>7.658643326039387E-3</v>
          </cell>
          <cell r="G108" t="str">
            <v>ONMOBILE*</v>
          </cell>
          <cell r="H108">
            <v>1.92</v>
          </cell>
          <cell r="I108">
            <v>1.9502285424073132E-2</v>
          </cell>
          <cell r="J108">
            <v>1.588386605783866</v>
          </cell>
        </row>
        <row r="109">
          <cell r="G109" t="str">
            <v>MEGASOFT</v>
          </cell>
          <cell r="H109">
            <v>0.62</v>
          </cell>
          <cell r="I109">
            <v>8.9118873077475933E-3</v>
          </cell>
        </row>
        <row r="110">
          <cell r="G110" t="str">
            <v>GTL</v>
          </cell>
          <cell r="H110">
            <v>5.53</v>
          </cell>
          <cell r="I110">
            <v>0.34220297029702973</v>
          </cell>
        </row>
        <row r="111">
          <cell r="G111" t="str">
            <v>NETTLINX</v>
          </cell>
          <cell r="H111">
            <v>1.99</v>
          </cell>
          <cell r="I111">
            <v>0.02</v>
          </cell>
        </row>
        <row r="112">
          <cell r="G112" t="str">
            <v>STML</v>
          </cell>
          <cell r="H112">
            <v>0.96</v>
          </cell>
          <cell r="I112">
            <v>5.8394160583941602E-3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2B9B-75A5-4238-8AC1-988B95E273C3}">
  <sheetPr>
    <outlinePr summaryBelow="0" summaryRight="0"/>
  </sheetPr>
  <dimension ref="A1:AC1003"/>
  <sheetViews>
    <sheetView showGridLines="0" tabSelected="1" workbookViewId="0"/>
  </sheetViews>
  <sheetFormatPr defaultColWidth="14" defaultRowHeight="15" customHeight="1" x14ac:dyDescent="0.3"/>
  <cols>
    <col min="1" max="1" width="6.33203125" customWidth="1"/>
  </cols>
  <sheetData>
    <row r="1" spans="2:22" ht="14.4" x14ac:dyDescent="0.3">
      <c r="B1" s="1" t="s">
        <v>0</v>
      </c>
      <c r="I1" s="1" t="s">
        <v>1</v>
      </c>
      <c r="R1" s="1" t="s">
        <v>2</v>
      </c>
    </row>
    <row r="2" spans="2:22" ht="14.4" x14ac:dyDescent="0.3">
      <c r="B2" s="2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</row>
    <row r="3" spans="2:22" ht="15" customHeight="1" x14ac:dyDescent="0.3">
      <c r="B3" s="3" t="s">
        <v>24</v>
      </c>
      <c r="C3" s="4">
        <f ca="1">IFERROR(__xludf.DUMMYFUNCTION("GOOGLEFINANCE(""nse:""&amp;B3,""price"")"),1438)</f>
        <v>1438</v>
      </c>
      <c r="D3" s="4">
        <f ca="1">IFERROR(__xludf.DUMMYFUNCTION("GOOGLEFINANCE(""nse:""&amp;B3,""MARKETCAP"")/10000000"),8653.9310355)</f>
        <v>8653.9310354999998</v>
      </c>
      <c r="E3" s="5">
        <v>4257</v>
      </c>
      <c r="F3" s="5">
        <v>397</v>
      </c>
      <c r="G3" s="6">
        <v>59.6</v>
      </c>
      <c r="H3" s="7">
        <v>10</v>
      </c>
      <c r="I3" s="8">
        <v>63</v>
      </c>
      <c r="J3" s="7">
        <v>2278</v>
      </c>
      <c r="K3" s="8">
        <f>62.78+468</f>
        <v>530.78</v>
      </c>
      <c r="L3" s="7">
        <v>32</v>
      </c>
      <c r="M3" s="8">
        <v>2773</v>
      </c>
      <c r="N3" s="8">
        <v>1273</v>
      </c>
      <c r="O3" s="8">
        <v>3781</v>
      </c>
      <c r="P3" s="8">
        <v>1413</v>
      </c>
      <c r="Q3" s="8">
        <v>853</v>
      </c>
      <c r="R3" s="9">
        <v>210</v>
      </c>
      <c r="S3" s="9">
        <v>-135</v>
      </c>
      <c r="T3" s="9">
        <v>149</v>
      </c>
      <c r="U3" s="9">
        <f t="shared" ref="U3:U4" si="0">SUM(R3:T3)</f>
        <v>224</v>
      </c>
      <c r="V3" s="9">
        <v>11</v>
      </c>
    </row>
    <row r="4" spans="2:22" ht="15" customHeight="1" x14ac:dyDescent="0.3">
      <c r="B4" s="10" t="s">
        <v>25</v>
      </c>
      <c r="C4" s="7">
        <v>1602</v>
      </c>
      <c r="D4" s="8">
        <f ca="1">C4*D3/C3</f>
        <v>9640.8883997712092</v>
      </c>
      <c r="E4" s="5">
        <v>4023</v>
      </c>
      <c r="F4" s="5">
        <v>389</v>
      </c>
      <c r="G4" s="6">
        <v>59.95</v>
      </c>
      <c r="H4" s="7">
        <v>10</v>
      </c>
      <c r="I4" s="8">
        <v>62</v>
      </c>
      <c r="J4" s="7">
        <v>2087</v>
      </c>
      <c r="K4" s="7">
        <f>135+214</f>
        <v>349</v>
      </c>
      <c r="L4" s="7">
        <v>30</v>
      </c>
      <c r="M4" s="7">
        <v>2130</v>
      </c>
      <c r="N4" s="7">
        <v>1035</v>
      </c>
      <c r="O4" s="7">
        <v>3472</v>
      </c>
      <c r="P4" s="7">
        <v>1301</v>
      </c>
      <c r="Q4" s="7">
        <v>1072</v>
      </c>
      <c r="R4" s="9">
        <v>-104</v>
      </c>
      <c r="S4" s="9">
        <v>66</v>
      </c>
      <c r="T4" s="9">
        <v>22</v>
      </c>
      <c r="U4" s="9">
        <f t="shared" si="0"/>
        <v>-16</v>
      </c>
      <c r="V4" s="9">
        <v>19</v>
      </c>
    </row>
    <row r="5" spans="2:22" ht="15" customHeight="1" x14ac:dyDescent="0.3">
      <c r="B5" s="11" t="s">
        <v>26</v>
      </c>
      <c r="C5" s="12">
        <f t="shared" ref="C5:V5" ca="1" si="1">(C3/C4)-1</f>
        <v>-0.10237203495630465</v>
      </c>
      <c r="D5" s="12">
        <f t="shared" ca="1" si="1"/>
        <v>-0.10237203495630454</v>
      </c>
      <c r="E5" s="12">
        <f t="shared" si="1"/>
        <v>5.8165548098433995E-2</v>
      </c>
      <c r="F5" s="12">
        <f t="shared" si="1"/>
        <v>2.0565552699228773E-2</v>
      </c>
      <c r="G5" s="12">
        <f t="shared" si="1"/>
        <v>-5.8381984987490032E-3</v>
      </c>
      <c r="H5" s="12">
        <f t="shared" si="1"/>
        <v>0</v>
      </c>
      <c r="I5" s="12">
        <f t="shared" si="1"/>
        <v>1.6129032258064502E-2</v>
      </c>
      <c r="J5" s="12">
        <f t="shared" si="1"/>
        <v>9.151892668902728E-2</v>
      </c>
      <c r="K5" s="12">
        <f t="shared" si="1"/>
        <v>0.52085959885386801</v>
      </c>
      <c r="L5" s="12">
        <f t="shared" si="1"/>
        <v>6.6666666666666652E-2</v>
      </c>
      <c r="M5" s="12">
        <f t="shared" si="1"/>
        <v>0.30187793427230036</v>
      </c>
      <c r="N5" s="12">
        <f t="shared" si="1"/>
        <v>0.22995169082125599</v>
      </c>
      <c r="O5" s="12">
        <f t="shared" si="1"/>
        <v>8.8997695852534475E-2</v>
      </c>
      <c r="P5" s="12">
        <f t="shared" si="1"/>
        <v>8.6087624903919968E-2</v>
      </c>
      <c r="Q5" s="12">
        <f t="shared" si="1"/>
        <v>-0.20429104477611937</v>
      </c>
      <c r="R5" s="12">
        <f t="shared" si="1"/>
        <v>-3.0192307692307692</v>
      </c>
      <c r="S5" s="12">
        <f t="shared" si="1"/>
        <v>-3.0454545454545454</v>
      </c>
      <c r="T5" s="12">
        <f t="shared" si="1"/>
        <v>5.7727272727272725</v>
      </c>
      <c r="U5" s="12">
        <f t="shared" si="1"/>
        <v>-15</v>
      </c>
      <c r="V5" s="12">
        <f t="shared" si="1"/>
        <v>-0.42105263157894735</v>
      </c>
    </row>
    <row r="6" spans="2:22" ht="15" customHeight="1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22" ht="15" customHeight="1" x14ac:dyDescent="0.3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2" ht="15" customHeight="1" x14ac:dyDescent="0.3">
      <c r="B8" s="14" t="s">
        <v>27</v>
      </c>
      <c r="C8" s="14" t="s">
        <v>28</v>
      </c>
      <c r="D8" s="13"/>
      <c r="E8" s="13"/>
      <c r="F8" s="14" t="s">
        <v>29</v>
      </c>
      <c r="G8" s="13"/>
      <c r="H8" s="13"/>
      <c r="I8" s="14" t="s">
        <v>30</v>
      </c>
      <c r="J8" s="13"/>
      <c r="K8" s="14" t="s">
        <v>31</v>
      </c>
      <c r="L8" s="13"/>
      <c r="M8" s="13"/>
      <c r="N8" s="13"/>
      <c r="O8" s="13"/>
      <c r="Q8" s="13"/>
    </row>
    <row r="9" spans="2:22" ht="15" customHeight="1" x14ac:dyDescent="0.3">
      <c r="B9" s="14" t="s">
        <v>32</v>
      </c>
      <c r="C9" s="14" t="s">
        <v>33</v>
      </c>
      <c r="D9" s="14" t="s">
        <v>34</v>
      </c>
      <c r="E9" s="14" t="s">
        <v>35</v>
      </c>
      <c r="F9" s="14" t="s">
        <v>36</v>
      </c>
      <c r="G9" s="14" t="s">
        <v>37</v>
      </c>
      <c r="H9" s="14" t="s">
        <v>38</v>
      </c>
      <c r="I9" s="14" t="s">
        <v>39</v>
      </c>
      <c r="J9" s="14" t="s">
        <v>40</v>
      </c>
      <c r="K9" s="14" t="s">
        <v>41</v>
      </c>
      <c r="L9" s="14" t="s">
        <v>42</v>
      </c>
      <c r="M9" s="14" t="s">
        <v>43</v>
      </c>
      <c r="N9" s="14" t="s">
        <v>44</v>
      </c>
      <c r="O9" s="14" t="s">
        <v>45</v>
      </c>
      <c r="Q9" s="15"/>
    </row>
    <row r="10" spans="2:22" ht="15" customHeight="1" x14ac:dyDescent="0.3">
      <c r="B10" s="16">
        <f>Q21</f>
        <v>0.11806256306760843</v>
      </c>
      <c r="C10" s="16">
        <f>O30</f>
        <v>8.4837545126353789E-2</v>
      </c>
      <c r="D10" s="17">
        <f>M3/N3</f>
        <v>2.1783189316575018</v>
      </c>
      <c r="E10" s="18">
        <f>(Q3/E3)*365</f>
        <v>73.137185811604411</v>
      </c>
      <c r="F10" s="16">
        <f>(K3+L3)/(I3+J3)</f>
        <v>0.24040153780435711</v>
      </c>
      <c r="G10" s="16">
        <f>P3/O3</f>
        <v>0.3737106585559376</v>
      </c>
      <c r="H10" s="19">
        <f>O31</f>
        <v>9.7826086956521738</v>
      </c>
      <c r="I10" s="16">
        <f>F3/(J3+I3)</f>
        <v>0.16958564715933361</v>
      </c>
      <c r="J10" s="16">
        <f>F3/O3</f>
        <v>0.10499867759851891</v>
      </c>
      <c r="K10" s="17">
        <f ca="1">C3/G3</f>
        <v>24.127516778523489</v>
      </c>
      <c r="L10" s="20">
        <f ca="1">G3/C3</f>
        <v>4.1446453407510429E-2</v>
      </c>
      <c r="M10" s="19">
        <f>(J3)/(I3/H3)</f>
        <v>361.58730158730162</v>
      </c>
      <c r="N10" s="17">
        <f ca="1">C3/M10</f>
        <v>3.9769095697980679</v>
      </c>
      <c r="O10" s="17">
        <f ca="1">R13</f>
        <v>-12.227891156462587</v>
      </c>
      <c r="Q10" s="13"/>
    </row>
    <row r="11" spans="2:22" ht="14.4" x14ac:dyDescent="0.3">
      <c r="B11" s="21"/>
    </row>
    <row r="12" spans="2:22" ht="15" customHeight="1" x14ac:dyDescent="0.35">
      <c r="B12" s="22" t="s">
        <v>46</v>
      </c>
      <c r="C12" s="23" t="s">
        <v>6</v>
      </c>
      <c r="D12" s="23" t="s">
        <v>7</v>
      </c>
      <c r="E12" s="23" t="s">
        <v>8</v>
      </c>
      <c r="F12" s="23" t="s">
        <v>47</v>
      </c>
      <c r="H12" s="23" t="s">
        <v>48</v>
      </c>
      <c r="I12" s="23" t="s">
        <v>49</v>
      </c>
      <c r="J12" s="23" t="s">
        <v>50</v>
      </c>
      <c r="K12" s="23" t="s">
        <v>51</v>
      </c>
      <c r="L12" s="23" t="s">
        <v>52</v>
      </c>
      <c r="M12" s="23" t="s">
        <v>53</v>
      </c>
      <c r="O12" s="24" t="s">
        <v>54</v>
      </c>
      <c r="P12" s="25" t="s">
        <v>55</v>
      </c>
      <c r="Q12" s="25" t="s">
        <v>56</v>
      </c>
      <c r="R12" s="25" t="s">
        <v>57</v>
      </c>
    </row>
    <row r="13" spans="2:22" ht="15" customHeight="1" x14ac:dyDescent="0.3">
      <c r="B13" s="26" t="s">
        <v>58</v>
      </c>
      <c r="C13" s="27">
        <f t="shared" ref="C13:E13" si="2">FV(18%,5,0,-C14,0)</f>
        <v>25649.82001497945</v>
      </c>
      <c r="D13" s="27">
        <f t="shared" si="2"/>
        <v>2391.8653431606604</v>
      </c>
      <c r="E13" s="27">
        <f t="shared" si="2"/>
        <v>366.91461276241427</v>
      </c>
      <c r="F13" s="28">
        <f>E13*25</f>
        <v>9172.8653190603563</v>
      </c>
      <c r="G13" s="29"/>
      <c r="H13" s="30" t="s">
        <v>59</v>
      </c>
      <c r="I13" s="31">
        <v>0.17399999999999999</v>
      </c>
      <c r="J13" s="31">
        <v>0.127</v>
      </c>
      <c r="K13" s="31">
        <v>0.14099999999999999</v>
      </c>
      <c r="L13" s="31">
        <v>0.11799999999999999</v>
      </c>
      <c r="M13" s="31">
        <v>0.12</v>
      </c>
      <c r="O13" s="32">
        <v>60</v>
      </c>
      <c r="P13" s="33">
        <f>M18</f>
        <v>59.570000000000007</v>
      </c>
      <c r="Q13" s="34">
        <v>58.8</v>
      </c>
      <c r="R13" s="35">
        <f ca="1">Q15/-2</f>
        <v>-12.227891156462587</v>
      </c>
    </row>
    <row r="14" spans="2:22" ht="15" customHeight="1" x14ac:dyDescent="0.35">
      <c r="B14" s="26" t="s">
        <v>60</v>
      </c>
      <c r="C14" s="27">
        <f>FV(C20,5,0,-C15,0)</f>
        <v>11211.7727232</v>
      </c>
      <c r="D14" s="27">
        <f>C14*F20</f>
        <v>1045.5063854777534</v>
      </c>
      <c r="E14" s="27">
        <f>(D14*E15)/D15</f>
        <v>160.38175880808117</v>
      </c>
      <c r="F14" s="28">
        <f t="shared" ref="F14:F15" si="3">E14*30</f>
        <v>4811.4527642424355</v>
      </c>
      <c r="H14" s="30" t="s">
        <v>61</v>
      </c>
      <c r="I14" s="31">
        <v>0.28399999999999997</v>
      </c>
      <c r="J14" s="31">
        <v>0.16800000000000001</v>
      </c>
      <c r="K14" s="31">
        <v>-0.11</v>
      </c>
      <c r="L14" s="31">
        <v>4.3999999999999997E-2</v>
      </c>
      <c r="M14" s="31">
        <v>-0.02</v>
      </c>
      <c r="O14" s="36" t="s">
        <v>41</v>
      </c>
      <c r="P14" s="37" t="s">
        <v>62</v>
      </c>
      <c r="Q14" s="37" t="s">
        <v>63</v>
      </c>
      <c r="R14" s="38"/>
    </row>
    <row r="15" spans="2:22" ht="15" customHeight="1" x14ac:dyDescent="0.3">
      <c r="B15" s="39" t="s">
        <v>64</v>
      </c>
      <c r="C15" s="40">
        <f>FV(C19,1,0,-C29,0)</f>
        <v>4505.76</v>
      </c>
      <c r="D15" s="40">
        <f>C15*F19</f>
        <v>382.98960000000005</v>
      </c>
      <c r="E15" s="41">
        <f>FV(E19,1,0,-E29,0)</f>
        <v>58.751000000000005</v>
      </c>
      <c r="F15" s="28">
        <f t="shared" si="3"/>
        <v>1762.5300000000002</v>
      </c>
      <c r="H15" s="9" t="s">
        <v>65</v>
      </c>
      <c r="I15" s="42">
        <v>9.8000000000000004E-2</v>
      </c>
      <c r="J15" s="42">
        <v>9.7000000000000003E-2</v>
      </c>
      <c r="K15" s="42">
        <v>7.2999999999999995E-2</v>
      </c>
      <c r="L15" s="42">
        <v>8.5000000000000006E-2</v>
      </c>
      <c r="M15" s="42">
        <v>8.5000000000000006E-2</v>
      </c>
      <c r="O15" s="43">
        <f>C4/O13</f>
        <v>26.7</v>
      </c>
      <c r="P15" s="44">
        <f ca="1">C3/P13</f>
        <v>24.139667617928485</v>
      </c>
      <c r="Q15" s="45">
        <f ca="1">C3/Q13</f>
        <v>24.455782312925173</v>
      </c>
      <c r="R15" s="38"/>
    </row>
    <row r="16" spans="2:22" ht="15" customHeight="1" x14ac:dyDescent="0.3">
      <c r="B16" s="46"/>
      <c r="C16" s="47"/>
      <c r="D16" s="47"/>
      <c r="E16" s="47"/>
      <c r="F16" s="29"/>
    </row>
    <row r="17" spans="1:29" ht="15" customHeight="1" x14ac:dyDescent="0.3">
      <c r="B17" s="21"/>
      <c r="D17" s="48"/>
      <c r="H17" s="23" t="s">
        <v>66</v>
      </c>
      <c r="I17" s="23" t="s">
        <v>67</v>
      </c>
      <c r="J17" s="23" t="s">
        <v>68</v>
      </c>
      <c r="K17" s="23" t="s">
        <v>69</v>
      </c>
      <c r="L17" s="23" t="s">
        <v>70</v>
      </c>
      <c r="M17" s="23" t="s">
        <v>55</v>
      </c>
    </row>
    <row r="18" spans="1:29" ht="15" customHeight="1" x14ac:dyDescent="0.35">
      <c r="B18" s="22" t="s">
        <v>71</v>
      </c>
      <c r="C18" s="23" t="s">
        <v>6</v>
      </c>
      <c r="D18" s="23" t="s">
        <v>7</v>
      </c>
      <c r="E18" s="23" t="s">
        <v>8</v>
      </c>
      <c r="F18" s="22" t="s">
        <v>65</v>
      </c>
      <c r="H18" s="23" t="s">
        <v>8</v>
      </c>
      <c r="I18" s="49">
        <v>16.89</v>
      </c>
      <c r="J18" s="49">
        <v>14.05</v>
      </c>
      <c r="K18" s="49">
        <v>12.51</v>
      </c>
      <c r="L18" s="49">
        <v>16.12</v>
      </c>
      <c r="M18" s="50">
        <f>SUM(I18:L18)</f>
        <v>59.570000000000007</v>
      </c>
    </row>
    <row r="19" spans="1:29" ht="15" customHeight="1" x14ac:dyDescent="0.3">
      <c r="B19" s="26" t="s">
        <v>72</v>
      </c>
      <c r="C19" s="51">
        <v>0.12</v>
      </c>
      <c r="D19" s="51">
        <f>(D15/D29)-1</f>
        <v>-1.5450899742930457E-2</v>
      </c>
      <c r="E19" s="51">
        <v>-0.02</v>
      </c>
      <c r="F19" s="52">
        <v>8.5000000000000006E-2</v>
      </c>
    </row>
    <row r="20" spans="1:29" ht="15" customHeight="1" x14ac:dyDescent="0.35">
      <c r="B20" s="26" t="s">
        <v>73</v>
      </c>
      <c r="C20" s="51">
        <v>0.2</v>
      </c>
      <c r="D20" s="51">
        <v>0.2</v>
      </c>
      <c r="E20" s="51">
        <v>0.2</v>
      </c>
      <c r="F20" s="52">
        <f>AVERAGE(F23:F25)</f>
        <v>9.3250765181346895E-2</v>
      </c>
      <c r="N20" s="53" t="s">
        <v>74</v>
      </c>
      <c r="O20" s="53" t="s">
        <v>52</v>
      </c>
      <c r="P20" s="53" t="s">
        <v>75</v>
      </c>
      <c r="Q20" s="53" t="s">
        <v>26</v>
      </c>
      <c r="S20" s="53" t="s">
        <v>74</v>
      </c>
      <c r="T20" s="53" t="s">
        <v>76</v>
      </c>
      <c r="U20" s="53" t="s">
        <v>77</v>
      </c>
      <c r="V20" s="53" t="s">
        <v>26</v>
      </c>
      <c r="X20" s="53" t="s">
        <v>74</v>
      </c>
      <c r="Y20" s="53" t="s">
        <v>51</v>
      </c>
      <c r="Z20" s="53" t="s">
        <v>78</v>
      </c>
      <c r="AA20" s="53" t="s">
        <v>26</v>
      </c>
    </row>
    <row r="21" spans="1:29" ht="15" customHeight="1" x14ac:dyDescent="0.3">
      <c r="B21" s="21"/>
      <c r="N21" s="30" t="s">
        <v>79</v>
      </c>
      <c r="O21" s="54">
        <v>2216</v>
      </c>
      <c r="P21" s="54">
        <v>1982</v>
      </c>
      <c r="Q21" s="55">
        <f t="shared" ref="Q21:Q29" si="4">(O21/P21)^(1/1)-1</f>
        <v>0.11806256306760843</v>
      </c>
      <c r="S21" s="30" t="s">
        <v>79</v>
      </c>
      <c r="T21" s="54">
        <v>1113</v>
      </c>
      <c r="U21" s="54">
        <v>1015</v>
      </c>
      <c r="V21" s="55">
        <f t="shared" ref="V21:V26" si="5">(T21/U21)^(1/1)-1</f>
        <v>9.6551724137931005E-2</v>
      </c>
      <c r="X21" s="30" t="s">
        <v>79</v>
      </c>
      <c r="Y21" s="54">
        <v>1103</v>
      </c>
      <c r="Z21" s="54">
        <v>967</v>
      </c>
      <c r="AA21" s="55">
        <v>0.14064115822130296</v>
      </c>
      <c r="AB21" s="56"/>
      <c r="AC21" s="56"/>
    </row>
    <row r="22" spans="1:29" ht="15" customHeight="1" x14ac:dyDescent="0.35">
      <c r="B22" s="22" t="s">
        <v>26</v>
      </c>
      <c r="C22" s="23" t="s">
        <v>6</v>
      </c>
      <c r="D22" s="23" t="s">
        <v>7</v>
      </c>
      <c r="E22" s="23" t="s">
        <v>8</v>
      </c>
      <c r="F22" s="23" t="s">
        <v>65</v>
      </c>
      <c r="G22" s="23" t="s">
        <v>80</v>
      </c>
      <c r="H22" s="23" t="s">
        <v>81</v>
      </c>
      <c r="I22" s="23" t="s">
        <v>82</v>
      </c>
      <c r="J22" s="23" t="s">
        <v>83</v>
      </c>
      <c r="K22" s="23" t="s">
        <v>84</v>
      </c>
      <c r="L22" s="23" t="s">
        <v>85</v>
      </c>
      <c r="N22" s="9" t="s">
        <v>86</v>
      </c>
      <c r="O22" s="9">
        <v>2014</v>
      </c>
      <c r="P22" s="9">
        <v>1782</v>
      </c>
      <c r="Q22" s="55">
        <f t="shared" si="4"/>
        <v>0.1301907968574636</v>
      </c>
      <c r="S22" s="9" t="s">
        <v>86</v>
      </c>
      <c r="T22" s="9">
        <v>1015</v>
      </c>
      <c r="U22" s="9">
        <v>914</v>
      </c>
      <c r="V22" s="55">
        <f t="shared" si="5"/>
        <v>0.11050328227571127</v>
      </c>
      <c r="X22" s="9" t="s">
        <v>86</v>
      </c>
      <c r="Y22" s="9">
        <v>1011</v>
      </c>
      <c r="Z22" s="9">
        <v>872</v>
      </c>
      <c r="AA22" s="55">
        <v>0.15940366972477071</v>
      </c>
      <c r="AB22" s="56"/>
      <c r="AC22" s="56"/>
    </row>
    <row r="23" spans="1:29" ht="15" customHeight="1" x14ac:dyDescent="0.3">
      <c r="B23" s="57" t="s">
        <v>87</v>
      </c>
      <c r="C23" s="58">
        <f t="shared" ref="C23:E23" si="6">(C29/C30)-1</f>
        <v>0.12720650042028581</v>
      </c>
      <c r="D23" s="58">
        <f t="shared" si="6"/>
        <v>0.16816816816816815</v>
      </c>
      <c r="E23" s="58">
        <f t="shared" si="6"/>
        <v>0.14649072480397796</v>
      </c>
      <c r="F23" s="42">
        <f>F29</f>
        <v>9.6694009445687304E-2</v>
      </c>
      <c r="G23" s="58">
        <f t="shared" ref="G23:H23" si="7">(G29/G30)-1</f>
        <v>1.8518518518518601E-2</v>
      </c>
      <c r="H23" s="58">
        <f t="shared" si="7"/>
        <v>6.4260563380281743E-2</v>
      </c>
      <c r="I23" s="59">
        <f t="shared" ref="I23:J23" si="8">I29</f>
        <v>29.357798165137613</v>
      </c>
      <c r="J23" s="59">
        <f t="shared" si="8"/>
        <v>20.166805671392826</v>
      </c>
      <c r="K23" s="58">
        <f t="shared" ref="K23:L23" si="9">(K29/K30)-1</f>
        <v>8.9686098654708779E-3</v>
      </c>
      <c r="L23" s="58">
        <f t="shared" si="9"/>
        <v>0.1871444823663253</v>
      </c>
      <c r="N23" s="9" t="s">
        <v>88</v>
      </c>
      <c r="O23" s="59">
        <f t="shared" ref="O23:P23" si="10">O21-(O34+O35+O38)</f>
        <v>271</v>
      </c>
      <c r="P23" s="59">
        <f t="shared" si="10"/>
        <v>256</v>
      </c>
      <c r="Q23" s="55">
        <f t="shared" si="4"/>
        <v>5.859375E-2</v>
      </c>
      <c r="S23" s="9" t="s">
        <v>89</v>
      </c>
      <c r="T23" s="9">
        <v>14</v>
      </c>
      <c r="U23" s="9">
        <v>6</v>
      </c>
      <c r="V23" s="55">
        <f t="shared" si="5"/>
        <v>1.3333333333333335</v>
      </c>
      <c r="X23" s="9" t="s">
        <v>88</v>
      </c>
      <c r="Y23" s="59">
        <v>123</v>
      </c>
      <c r="Z23" s="59">
        <v>124</v>
      </c>
      <c r="AA23" s="55">
        <v>-8.0645161290322509E-3</v>
      </c>
      <c r="AB23" s="56"/>
      <c r="AC23" s="56"/>
    </row>
    <row r="24" spans="1:29" ht="15" customHeight="1" x14ac:dyDescent="0.3">
      <c r="A24" s="60" t="s">
        <v>90</v>
      </c>
      <c r="B24" s="57" t="s">
        <v>91</v>
      </c>
      <c r="C24" s="61">
        <f t="shared" ref="C24:E24" si="11">(C29/C32)^(1/3)-1</f>
        <v>0.41967272049802107</v>
      </c>
      <c r="D24" s="61">
        <f t="shared" si="11"/>
        <v>0.43009861743072575</v>
      </c>
      <c r="E24" s="61">
        <f t="shared" si="11"/>
        <v>0.34280468874615466</v>
      </c>
      <c r="F24" s="48">
        <f>MEDIAN(F29:F32)</f>
        <v>9.3949020469054095E-2</v>
      </c>
      <c r="G24" s="61">
        <f t="shared" ref="G24:H24" si="12">(G29/G32)^(1/3)-1</f>
        <v>-3.8500286461727762E-2</v>
      </c>
      <c r="H24" s="61">
        <f t="shared" si="12"/>
        <v>0.2459924990122877</v>
      </c>
      <c r="I24" s="29">
        <f t="shared" ref="I24:J24" si="13">MEDIAN(I29:I32)</f>
        <v>56.507080711491241</v>
      </c>
      <c r="J24" s="29">
        <f t="shared" si="13"/>
        <v>23.483660775882974</v>
      </c>
      <c r="K24" s="61">
        <f t="shared" ref="K24:L24" si="14">(K29/K32)^(1/3)-1</f>
        <v>2.7947304270344864E-2</v>
      </c>
      <c r="L24" s="61">
        <f t="shared" si="14"/>
        <v>0.47602116197613031</v>
      </c>
      <c r="N24" s="9" t="s">
        <v>89</v>
      </c>
      <c r="O24" s="9">
        <v>23</v>
      </c>
      <c r="P24" s="9">
        <v>13</v>
      </c>
      <c r="Q24" s="55">
        <f t="shared" si="4"/>
        <v>0.76923076923076916</v>
      </c>
      <c r="S24" s="30" t="s">
        <v>7</v>
      </c>
      <c r="T24" s="54">
        <v>107</v>
      </c>
      <c r="U24" s="54">
        <v>88</v>
      </c>
      <c r="V24" s="55">
        <f t="shared" si="5"/>
        <v>0.21590909090909083</v>
      </c>
      <c r="X24" s="30" t="s">
        <v>89</v>
      </c>
      <c r="Y24" s="62">
        <v>9</v>
      </c>
      <c r="Z24" s="62">
        <v>7</v>
      </c>
      <c r="AA24" s="55">
        <v>0.28571428571428581</v>
      </c>
      <c r="AB24" s="56"/>
      <c r="AC24" s="56"/>
    </row>
    <row r="25" spans="1:29" ht="15" customHeight="1" x14ac:dyDescent="0.3">
      <c r="B25" s="57" t="s">
        <v>92</v>
      </c>
      <c r="C25" s="63">
        <f t="shared" ref="C25:E25" si="15">(C29/C34)^(1/5)-1</f>
        <v>0.36627670827609315</v>
      </c>
      <c r="D25" s="63">
        <f t="shared" si="15"/>
        <v>0.47350737839444612</v>
      </c>
      <c r="E25" s="63">
        <f t="shared" si="15"/>
        <v>0.39891658871576063</v>
      </c>
      <c r="F25" s="42">
        <f>MEDIAN(F29:F34)</f>
        <v>8.9109265629299245E-2</v>
      </c>
      <c r="G25" s="63" t="e">
        <f t="shared" ref="G25:H25" si="16">(G29/G34)^(1/5)-1</f>
        <v>#DIV/0!</v>
      </c>
      <c r="H25" s="63" t="e">
        <f t="shared" si="16"/>
        <v>#DIV/0!</v>
      </c>
      <c r="I25" s="59">
        <f t="shared" ref="I25:J25" si="17">MEDIAN(I29:I32)</f>
        <v>56.507080711491241</v>
      </c>
      <c r="J25" s="59">
        <f t="shared" si="17"/>
        <v>23.483660775882974</v>
      </c>
      <c r="K25" s="63" t="e">
        <f t="shared" ref="K25:L25" si="18">(K29/K34)^(1/5)-1</f>
        <v>#DIV/0!</v>
      </c>
      <c r="L25" s="63">
        <f t="shared" si="18"/>
        <v>0.56684499648223086</v>
      </c>
      <c r="N25" s="9" t="s">
        <v>93</v>
      </c>
      <c r="O25" s="59">
        <f t="shared" ref="O25:P25" si="19">O23-O36</f>
        <v>248</v>
      </c>
      <c r="P25" s="59">
        <f t="shared" si="19"/>
        <v>243</v>
      </c>
      <c r="Q25" s="55">
        <f t="shared" si="4"/>
        <v>2.0576131687242816E-2</v>
      </c>
      <c r="S25" s="30" t="s">
        <v>84</v>
      </c>
      <c r="T25" s="54">
        <v>62.96</v>
      </c>
      <c r="U25" s="54">
        <v>62.62</v>
      </c>
      <c r="V25" s="55">
        <f t="shared" si="5"/>
        <v>5.4295752155861798E-3</v>
      </c>
      <c r="X25" s="30" t="s">
        <v>93</v>
      </c>
      <c r="Y25" s="54">
        <v>114</v>
      </c>
      <c r="Z25" s="54">
        <v>117</v>
      </c>
      <c r="AA25" s="55">
        <v>-2.5641025641025661E-2</v>
      </c>
      <c r="AB25" s="56"/>
      <c r="AC25" s="56"/>
    </row>
    <row r="26" spans="1:29" ht="15" customHeight="1" x14ac:dyDescent="0.3">
      <c r="B26" s="46"/>
      <c r="C26" s="13"/>
      <c r="D26" s="13"/>
      <c r="E26" s="13"/>
      <c r="N26" s="9" t="s">
        <v>94</v>
      </c>
      <c r="O26" s="59">
        <f t="shared" ref="O26:P26" si="20">O25-O37</f>
        <v>203</v>
      </c>
      <c r="P26" s="59">
        <f t="shared" si="20"/>
        <v>200</v>
      </c>
      <c r="Q26" s="55">
        <f t="shared" si="4"/>
        <v>1.4999999999999902E-2</v>
      </c>
      <c r="S26" s="30" t="s">
        <v>8</v>
      </c>
      <c r="T26" s="62">
        <v>16.12</v>
      </c>
      <c r="U26" s="62">
        <v>14.21</v>
      </c>
      <c r="V26" s="55">
        <f t="shared" si="5"/>
        <v>0.13441238564391278</v>
      </c>
      <c r="X26" s="30" t="s">
        <v>94</v>
      </c>
      <c r="Y26" s="54">
        <v>92</v>
      </c>
      <c r="Z26" s="54">
        <v>96</v>
      </c>
      <c r="AA26" s="55">
        <v>-4.166666666666663E-2</v>
      </c>
      <c r="AB26" s="56"/>
      <c r="AC26" s="56"/>
    </row>
    <row r="27" spans="1:29" ht="15" customHeight="1" x14ac:dyDescent="0.35">
      <c r="A27" s="22" t="s">
        <v>95</v>
      </c>
      <c r="B27" s="64" t="s">
        <v>96</v>
      </c>
      <c r="C27" s="23" t="s">
        <v>6</v>
      </c>
      <c r="D27" s="23" t="s">
        <v>7</v>
      </c>
      <c r="E27" s="23" t="s">
        <v>8</v>
      </c>
      <c r="F27" s="23" t="s">
        <v>97</v>
      </c>
      <c r="G27" s="23" t="s">
        <v>80</v>
      </c>
      <c r="H27" s="23" t="s">
        <v>81</v>
      </c>
      <c r="I27" s="23" t="s">
        <v>82</v>
      </c>
      <c r="J27" s="23" t="s">
        <v>98</v>
      </c>
      <c r="K27" s="23" t="s">
        <v>84</v>
      </c>
      <c r="L27" s="23" t="s">
        <v>85</v>
      </c>
      <c r="N27" s="30" t="s">
        <v>99</v>
      </c>
      <c r="O27" s="54">
        <v>188</v>
      </c>
      <c r="P27" s="54">
        <v>180</v>
      </c>
      <c r="Q27" s="55">
        <f t="shared" si="4"/>
        <v>4.4444444444444509E-2</v>
      </c>
      <c r="S27" s="30" t="s">
        <v>97</v>
      </c>
      <c r="T27" s="55">
        <f t="shared" ref="T27:U27" si="21">T24/T21</f>
        <v>9.6136567834681039E-2</v>
      </c>
      <c r="U27" s="55">
        <f t="shared" si="21"/>
        <v>8.6699507389162558E-2</v>
      </c>
      <c r="V27" s="55">
        <f t="shared" ref="V27:V28" si="22">T27-U27</f>
        <v>9.4370604455184803E-3</v>
      </c>
      <c r="X27" s="30" t="s">
        <v>99</v>
      </c>
      <c r="Y27" s="65">
        <v>81</v>
      </c>
      <c r="Z27" s="65">
        <v>91</v>
      </c>
      <c r="AA27" s="55">
        <v>-0.10989010989010994</v>
      </c>
      <c r="AB27" s="56"/>
      <c r="AC27" s="56"/>
    </row>
    <row r="28" spans="1:29" ht="14.4" x14ac:dyDescent="0.3">
      <c r="A28" s="60" t="s">
        <v>100</v>
      </c>
      <c r="B28" s="66" t="s">
        <v>101</v>
      </c>
      <c r="C28" s="59">
        <f>C29+O21-P21</f>
        <v>4257</v>
      </c>
      <c r="D28" s="59">
        <f>D29+O27-P27</f>
        <v>397</v>
      </c>
      <c r="E28" s="59">
        <v>59.6</v>
      </c>
      <c r="F28" s="42">
        <f t="shared" ref="F28:F37" si="23">D28/C28</f>
        <v>9.3258163025604884E-2</v>
      </c>
      <c r="G28" s="9">
        <v>1942</v>
      </c>
      <c r="H28" s="9">
        <v>1386</v>
      </c>
      <c r="I28" s="59">
        <f t="shared" ref="I28:I32" si="24">G28/E28</f>
        <v>32.583892617449663</v>
      </c>
      <c r="J28" s="59">
        <f t="shared" ref="J28:J32" si="25">H28/E28</f>
        <v>23.255033557046978</v>
      </c>
      <c r="K28" s="59">
        <v>63</v>
      </c>
      <c r="L28" s="9">
        <v>2087</v>
      </c>
      <c r="N28" s="30" t="s">
        <v>84</v>
      </c>
      <c r="O28" s="54">
        <v>62.96</v>
      </c>
      <c r="P28" s="54">
        <v>62.62</v>
      </c>
      <c r="Q28" s="55">
        <f t="shared" si="4"/>
        <v>5.4295752155861798E-3</v>
      </c>
      <c r="S28" s="9" t="s">
        <v>38</v>
      </c>
      <c r="T28" s="67">
        <f t="shared" ref="T28:U28" si="26">(T21-T22+T23)/T23</f>
        <v>8</v>
      </c>
      <c r="U28" s="67">
        <f t="shared" si="26"/>
        <v>17.833333333333332</v>
      </c>
      <c r="V28" s="68">
        <f t="shared" si="22"/>
        <v>-9.8333333333333321</v>
      </c>
      <c r="X28" s="9" t="s">
        <v>84</v>
      </c>
      <c r="Y28" s="59">
        <v>62.79</v>
      </c>
      <c r="Z28" s="59">
        <v>62.44</v>
      </c>
      <c r="AA28" s="55">
        <v>5.6053811659193542E-3</v>
      </c>
      <c r="AB28" s="69"/>
      <c r="AC28" s="69"/>
    </row>
    <row r="29" spans="1:29" ht="14.4" x14ac:dyDescent="0.3">
      <c r="B29" s="66" t="s">
        <v>102</v>
      </c>
      <c r="C29" s="9">
        <v>4023</v>
      </c>
      <c r="D29" s="9">
        <v>389</v>
      </c>
      <c r="E29" s="59">
        <v>59.95</v>
      </c>
      <c r="F29" s="42">
        <f t="shared" si="23"/>
        <v>9.6694009445687304E-2</v>
      </c>
      <c r="G29" s="9">
        <v>1760</v>
      </c>
      <c r="H29" s="9">
        <v>1209</v>
      </c>
      <c r="I29" s="59">
        <f t="shared" si="24"/>
        <v>29.357798165137613</v>
      </c>
      <c r="J29" s="59">
        <f t="shared" si="25"/>
        <v>20.166805671392826</v>
      </c>
      <c r="K29" s="59">
        <v>63</v>
      </c>
      <c r="L29" s="9">
        <v>2087</v>
      </c>
      <c r="N29" s="30" t="s">
        <v>8</v>
      </c>
      <c r="O29" s="62">
        <v>28.63</v>
      </c>
      <c r="P29" s="62">
        <v>29.01</v>
      </c>
      <c r="Q29" s="55">
        <f t="shared" si="4"/>
        <v>-1.3098931402964586E-2</v>
      </c>
      <c r="X29" s="9" t="s">
        <v>8</v>
      </c>
      <c r="Y29" s="9">
        <v>12.51</v>
      </c>
      <c r="Z29" s="9">
        <v>14.8</v>
      </c>
      <c r="AA29" s="42">
        <v>-0.15472972972972976</v>
      </c>
    </row>
    <row r="30" spans="1:29" ht="14.4" x14ac:dyDescent="0.3">
      <c r="B30" s="66" t="s">
        <v>103</v>
      </c>
      <c r="C30" s="9">
        <v>3569</v>
      </c>
      <c r="D30" s="9">
        <v>333</v>
      </c>
      <c r="E30" s="59">
        <v>52.29</v>
      </c>
      <c r="F30" s="42">
        <f t="shared" si="23"/>
        <v>9.3303446343513591E-2</v>
      </c>
      <c r="G30" s="9">
        <v>1728</v>
      </c>
      <c r="H30" s="9">
        <v>1136</v>
      </c>
      <c r="I30" s="59">
        <f t="shared" si="24"/>
        <v>33.04647160068847</v>
      </c>
      <c r="J30" s="59">
        <f t="shared" si="25"/>
        <v>21.724995218971124</v>
      </c>
      <c r="K30" s="59">
        <v>62.44</v>
      </c>
      <c r="L30" s="9">
        <v>1758</v>
      </c>
      <c r="N30" s="30" t="s">
        <v>97</v>
      </c>
      <c r="O30" s="55">
        <f t="shared" ref="O30:P30" si="27">O27/O21</f>
        <v>8.4837545126353789E-2</v>
      </c>
      <c r="P30" s="70">
        <f t="shared" si="27"/>
        <v>9.081735620585267E-2</v>
      </c>
      <c r="Q30" s="55">
        <f t="shared" ref="Q30:Q31" si="28">O30-P30</f>
        <v>-5.9798110794988812E-3</v>
      </c>
      <c r="X30" s="9" t="s">
        <v>97</v>
      </c>
      <c r="Y30" s="42">
        <v>7.3436083408884856E-2</v>
      </c>
      <c r="Z30" s="71">
        <v>9.4105480868665978E-2</v>
      </c>
      <c r="AA30" s="42">
        <v>-2.0669397459781122E-2</v>
      </c>
    </row>
    <row r="31" spans="1:29" ht="14.4" x14ac:dyDescent="0.3">
      <c r="B31" s="66" t="s">
        <v>104</v>
      </c>
      <c r="C31" s="72">
        <v>2002</v>
      </c>
      <c r="D31" s="73">
        <v>170</v>
      </c>
      <c r="E31" s="73">
        <v>27.82</v>
      </c>
      <c r="F31" s="42">
        <f t="shared" si="23"/>
        <v>8.4915084915084912E-2</v>
      </c>
      <c r="G31" s="9">
        <v>2389</v>
      </c>
      <c r="H31" s="9">
        <v>1395</v>
      </c>
      <c r="I31" s="59">
        <f t="shared" si="24"/>
        <v>85.873472322070455</v>
      </c>
      <c r="J31" s="59">
        <f t="shared" si="25"/>
        <v>50.14378145219267</v>
      </c>
      <c r="K31" s="59">
        <v>62.87</v>
      </c>
      <c r="L31" s="9">
        <v>1609</v>
      </c>
      <c r="N31" s="9" t="s">
        <v>38</v>
      </c>
      <c r="O31" s="67">
        <f t="shared" ref="O31:P31" si="29">(O21-O22+O24)/O24</f>
        <v>9.7826086956521738</v>
      </c>
      <c r="P31" s="67">
        <f t="shared" si="29"/>
        <v>16.384615384615383</v>
      </c>
      <c r="Q31" s="68">
        <f t="shared" si="28"/>
        <v>-6.6020066889632094</v>
      </c>
      <c r="X31" s="9" t="s">
        <v>38</v>
      </c>
      <c r="Y31" s="67">
        <v>11.222222222222221</v>
      </c>
      <c r="Z31" s="67">
        <v>14.571428571428571</v>
      </c>
      <c r="AA31" s="74">
        <v>-3.3492063492063497</v>
      </c>
    </row>
    <row r="32" spans="1:29" ht="14.4" x14ac:dyDescent="0.3">
      <c r="A32" s="60" t="s">
        <v>90</v>
      </c>
      <c r="B32" s="66" t="s">
        <v>105</v>
      </c>
      <c r="C32" s="72">
        <v>1406</v>
      </c>
      <c r="D32" s="73">
        <v>133</v>
      </c>
      <c r="E32" s="73">
        <v>24.76</v>
      </c>
      <c r="F32" s="42">
        <f t="shared" si="23"/>
        <v>9.45945945945946E-2</v>
      </c>
      <c r="G32" s="9">
        <v>1980</v>
      </c>
      <c r="H32" s="9">
        <v>625</v>
      </c>
      <c r="I32" s="59">
        <f t="shared" si="24"/>
        <v>79.96768982229402</v>
      </c>
      <c r="J32" s="59">
        <f t="shared" si="25"/>
        <v>25.242326332794828</v>
      </c>
      <c r="K32" s="59">
        <v>58</v>
      </c>
      <c r="L32" s="9">
        <v>649</v>
      </c>
    </row>
    <row r="33" spans="1:29" ht="18" x14ac:dyDescent="0.35">
      <c r="B33" s="66" t="s">
        <v>106</v>
      </c>
      <c r="C33" s="72">
        <v>956</v>
      </c>
      <c r="D33" s="73">
        <v>58</v>
      </c>
      <c r="E33" s="73">
        <v>13.83</v>
      </c>
      <c r="F33" s="42">
        <f t="shared" si="23"/>
        <v>6.0669456066945605E-2</v>
      </c>
      <c r="G33" s="75"/>
      <c r="H33" s="76"/>
      <c r="I33" s="76"/>
      <c r="J33" s="76"/>
      <c r="K33" s="76"/>
      <c r="L33" s="76">
        <v>267</v>
      </c>
      <c r="N33" s="53" t="s">
        <v>107</v>
      </c>
      <c r="O33" s="53" t="s">
        <v>52</v>
      </c>
      <c r="P33" s="53" t="s">
        <v>75</v>
      </c>
      <c r="Q33" s="53" t="s">
        <v>108</v>
      </c>
      <c r="R33" s="53" t="s">
        <v>27</v>
      </c>
      <c r="T33" s="53" t="s">
        <v>109</v>
      </c>
      <c r="U33" s="53" t="s">
        <v>52</v>
      </c>
      <c r="V33" s="53" t="s">
        <v>75</v>
      </c>
      <c r="W33" s="53" t="s">
        <v>108</v>
      </c>
      <c r="X33" s="53" t="s">
        <v>27</v>
      </c>
      <c r="Z33" s="53" t="s">
        <v>110</v>
      </c>
      <c r="AA33" s="77" t="s">
        <v>76</v>
      </c>
      <c r="AB33" s="53" t="s">
        <v>106</v>
      </c>
      <c r="AC33" s="53" t="s">
        <v>27</v>
      </c>
    </row>
    <row r="34" spans="1:29" ht="14.4" x14ac:dyDescent="0.3">
      <c r="B34" s="66" t="s">
        <v>111</v>
      </c>
      <c r="C34" s="72">
        <v>845</v>
      </c>
      <c r="D34" s="73">
        <v>56</v>
      </c>
      <c r="E34" s="73">
        <v>11.19</v>
      </c>
      <c r="F34" s="42">
        <f t="shared" si="23"/>
        <v>6.6272189349112429E-2</v>
      </c>
      <c r="G34" s="75"/>
      <c r="H34" s="76"/>
      <c r="I34" s="76"/>
      <c r="J34" s="76"/>
      <c r="K34" s="76"/>
      <c r="L34" s="76">
        <v>221</v>
      </c>
      <c r="N34" s="78" t="s">
        <v>112</v>
      </c>
      <c r="O34" s="9">
        <v>1742</v>
      </c>
      <c r="P34" s="9">
        <v>1559</v>
      </c>
      <c r="Q34" s="71">
        <f t="shared" ref="Q34:Q38" si="30">O34/$O$40</f>
        <v>0.8653750620963736</v>
      </c>
      <c r="R34" s="71">
        <f t="shared" ref="R34:R38" si="31">(O34/P34)^(1/1)-1</f>
        <v>0.11738293778062858</v>
      </c>
      <c r="T34" s="78" t="s">
        <v>113</v>
      </c>
      <c r="U34" s="59">
        <v>469</v>
      </c>
      <c r="V34" s="59">
        <v>345</v>
      </c>
      <c r="W34" s="71">
        <f t="shared" ref="W34:W36" si="32">U34/$U$38</f>
        <v>0.21164259927797835</v>
      </c>
      <c r="X34" s="71">
        <f t="shared" ref="X34:X35" si="33">(U34/V34)^(1/1)-1</f>
        <v>0.35942028985507246</v>
      </c>
      <c r="Z34" s="78" t="s">
        <v>114</v>
      </c>
      <c r="AA34" s="59">
        <v>74.900000000000006</v>
      </c>
      <c r="AB34" s="59">
        <v>66</v>
      </c>
      <c r="AC34" s="71">
        <f t="shared" ref="AC34:AC37" si="34">(AA34/AB34)^(1/1)-1</f>
        <v>0.134848484848485</v>
      </c>
    </row>
    <row r="35" spans="1:29" ht="14.4" x14ac:dyDescent="0.3">
      <c r="B35" s="66" t="s">
        <v>115</v>
      </c>
      <c r="C35" s="72">
        <v>505</v>
      </c>
      <c r="D35" s="73">
        <v>48</v>
      </c>
      <c r="E35" s="73">
        <v>9.57</v>
      </c>
      <c r="F35" s="42">
        <f t="shared" si="23"/>
        <v>9.5049504950495051E-2</v>
      </c>
      <c r="G35" s="76"/>
      <c r="H35" s="76"/>
      <c r="I35" s="76"/>
      <c r="J35" s="76"/>
      <c r="K35" s="76"/>
      <c r="L35" s="76">
        <v>171</v>
      </c>
      <c r="N35" s="78" t="s">
        <v>116</v>
      </c>
      <c r="O35" s="9">
        <v>128</v>
      </c>
      <c r="P35" s="9">
        <v>96</v>
      </c>
      <c r="Q35" s="71">
        <f t="shared" si="30"/>
        <v>6.358668653750621E-2</v>
      </c>
      <c r="R35" s="71">
        <f t="shared" si="31"/>
        <v>0.33333333333333326</v>
      </c>
      <c r="T35" s="78" t="s">
        <v>117</v>
      </c>
      <c r="U35" s="9">
        <v>2135</v>
      </c>
      <c r="V35" s="9">
        <v>1853</v>
      </c>
      <c r="W35" s="71">
        <f t="shared" si="32"/>
        <v>0.96344765342960292</v>
      </c>
      <c r="X35" s="71">
        <f t="shared" si="33"/>
        <v>0.15218564490016195</v>
      </c>
      <c r="Z35" s="78" t="s">
        <v>118</v>
      </c>
      <c r="AA35" s="59">
        <v>6.15</v>
      </c>
      <c r="AB35" s="59">
        <v>13.5</v>
      </c>
      <c r="AC35" s="71">
        <f t="shared" si="34"/>
        <v>-0.5444444444444444</v>
      </c>
    </row>
    <row r="36" spans="1:29" ht="14.4" x14ac:dyDescent="0.3">
      <c r="B36" s="66" t="s">
        <v>119</v>
      </c>
      <c r="C36" s="72">
        <v>458</v>
      </c>
      <c r="D36" s="73">
        <v>60</v>
      </c>
      <c r="E36" s="73"/>
      <c r="F36" s="42">
        <f t="shared" si="23"/>
        <v>0.13100436681222707</v>
      </c>
      <c r="G36" s="9"/>
      <c r="H36" s="9"/>
      <c r="I36" s="9"/>
      <c r="J36" s="9"/>
      <c r="K36" s="9"/>
      <c r="L36" s="9">
        <v>127</v>
      </c>
      <c r="N36" s="78" t="s">
        <v>120</v>
      </c>
      <c r="O36" s="67">
        <v>23</v>
      </c>
      <c r="P36" s="67">
        <v>13</v>
      </c>
      <c r="Q36" s="71">
        <f t="shared" si="30"/>
        <v>1.1425732737208148E-2</v>
      </c>
      <c r="R36" s="71">
        <f t="shared" si="31"/>
        <v>0.76923076923076916</v>
      </c>
      <c r="T36" s="78" t="s">
        <v>121</v>
      </c>
      <c r="U36" s="9">
        <v>-388</v>
      </c>
      <c r="V36" s="9">
        <v>-217</v>
      </c>
      <c r="W36" s="71">
        <f t="shared" si="32"/>
        <v>-0.17509025270758122</v>
      </c>
      <c r="X36" s="71">
        <v>0.33</v>
      </c>
      <c r="Z36" s="78" t="s">
        <v>122</v>
      </c>
      <c r="AA36" s="59">
        <v>6.66</v>
      </c>
      <c r="AB36" s="59">
        <v>10.34</v>
      </c>
      <c r="AC36" s="71">
        <f t="shared" si="34"/>
        <v>-0.35589941972920691</v>
      </c>
    </row>
    <row r="37" spans="1:29" ht="14.4" x14ac:dyDescent="0.3">
      <c r="B37" s="66" t="s">
        <v>123</v>
      </c>
      <c r="C37" s="72">
        <v>364</v>
      </c>
      <c r="D37" s="73">
        <v>61</v>
      </c>
      <c r="E37" s="73"/>
      <c r="F37" s="42">
        <f t="shared" si="23"/>
        <v>0.16758241758241757</v>
      </c>
      <c r="G37" s="9"/>
      <c r="H37" s="9"/>
      <c r="I37" s="9"/>
      <c r="J37" s="9"/>
      <c r="K37" s="9"/>
      <c r="L37" s="9">
        <v>71</v>
      </c>
      <c r="N37" s="78" t="s">
        <v>124</v>
      </c>
      <c r="O37" s="9">
        <v>45</v>
      </c>
      <c r="P37" s="9">
        <v>43</v>
      </c>
      <c r="Q37" s="71">
        <f t="shared" si="30"/>
        <v>2.2354694485842028E-2</v>
      </c>
      <c r="R37" s="71">
        <f t="shared" si="31"/>
        <v>4.6511627906976827E-2</v>
      </c>
      <c r="Z37" s="78" t="s">
        <v>125</v>
      </c>
      <c r="AA37" s="59">
        <v>12.3</v>
      </c>
      <c r="AB37" s="59">
        <v>10</v>
      </c>
      <c r="AC37" s="71">
        <f t="shared" si="34"/>
        <v>0.22999999999999998</v>
      </c>
    </row>
    <row r="38" spans="1:29" ht="14.4" x14ac:dyDescent="0.3">
      <c r="A38" s="60" t="s">
        <v>126</v>
      </c>
      <c r="B38" s="66" t="s">
        <v>127</v>
      </c>
      <c r="C38" s="9"/>
      <c r="D38" s="9"/>
      <c r="E38" s="9"/>
      <c r="F38" s="9"/>
      <c r="G38" s="9"/>
      <c r="H38" s="9"/>
      <c r="I38" s="9"/>
      <c r="J38" s="9"/>
      <c r="K38" s="9"/>
      <c r="L38" s="9"/>
      <c r="N38" s="78" t="s">
        <v>128</v>
      </c>
      <c r="O38" s="9">
        <v>75</v>
      </c>
      <c r="P38" s="9">
        <v>71</v>
      </c>
      <c r="Q38" s="71">
        <f t="shared" si="30"/>
        <v>3.7257824143070044E-2</v>
      </c>
      <c r="R38" s="71">
        <f t="shared" si="31"/>
        <v>5.6338028169014009E-2</v>
      </c>
      <c r="T38" s="79" t="s">
        <v>129</v>
      </c>
      <c r="U38" s="80">
        <f t="shared" ref="U38:V38" si="35">SUM(U34:U36)</f>
        <v>2216</v>
      </c>
      <c r="V38" s="80">
        <f t="shared" si="35"/>
        <v>1981</v>
      </c>
      <c r="W38" s="81">
        <f>U38/$U$38</f>
        <v>1</v>
      </c>
      <c r="X38" s="81">
        <f>(U38/V38)^(1/1)-1</f>
        <v>0.11862695608278639</v>
      </c>
      <c r="Z38" s="78"/>
      <c r="AA38" s="59"/>
      <c r="AB38" s="9"/>
      <c r="AC38" s="71"/>
    </row>
    <row r="39" spans="1:29" ht="14.4" x14ac:dyDescent="0.3">
      <c r="A39" s="60" t="s">
        <v>130</v>
      </c>
      <c r="B39" s="66" t="s">
        <v>131</v>
      </c>
      <c r="C39" s="9"/>
      <c r="D39" s="9"/>
      <c r="E39" s="9"/>
      <c r="F39" s="9"/>
      <c r="G39" s="9"/>
      <c r="H39" s="9"/>
      <c r="I39" s="9"/>
      <c r="J39" s="9"/>
      <c r="K39" s="9"/>
      <c r="L39" s="9"/>
      <c r="Z39" s="9" t="s">
        <v>132</v>
      </c>
      <c r="AA39" s="59">
        <f>SUM(AA34:AA38)</f>
        <v>100.01</v>
      </c>
      <c r="AB39" s="9">
        <v>100</v>
      </c>
      <c r="AC39" s="71">
        <f>(AA39/AB39)^(1/1)-1</f>
        <v>9.9999999999988987E-5</v>
      </c>
    </row>
    <row r="40" spans="1:29" ht="14.4" x14ac:dyDescent="0.3">
      <c r="A40" s="60" t="s">
        <v>133</v>
      </c>
      <c r="B40" s="82" t="s">
        <v>134</v>
      </c>
      <c r="C40" s="9"/>
      <c r="D40" s="9"/>
      <c r="E40" s="9"/>
      <c r="F40" s="9"/>
      <c r="G40" s="9"/>
      <c r="H40" s="9"/>
      <c r="I40" s="9"/>
      <c r="J40" s="9"/>
      <c r="K40" s="9"/>
      <c r="L40" s="9"/>
      <c r="N40" s="83" t="s">
        <v>129</v>
      </c>
      <c r="O40" s="84">
        <f t="shared" ref="O40:P40" si="36">SUM(O34:O38)</f>
        <v>2013</v>
      </c>
      <c r="P40" s="84">
        <f t="shared" si="36"/>
        <v>1782</v>
      </c>
      <c r="Q40" s="85">
        <f>O40/$O$40</f>
        <v>1</v>
      </c>
      <c r="R40" s="85">
        <f>(O40/P40)^(1/1)-1</f>
        <v>0.12962962962962954</v>
      </c>
    </row>
    <row r="41" spans="1:29" ht="14.4" x14ac:dyDescent="0.3">
      <c r="B41" s="21"/>
    </row>
    <row r="42" spans="1:29" ht="14.4" x14ac:dyDescent="0.3">
      <c r="B42" s="21"/>
    </row>
    <row r="43" spans="1:29" ht="14.4" x14ac:dyDescent="0.3">
      <c r="B43" s="21"/>
    </row>
    <row r="44" spans="1:29" ht="14.4" x14ac:dyDescent="0.3">
      <c r="B44" s="21"/>
    </row>
    <row r="45" spans="1:29" ht="14.4" x14ac:dyDescent="0.3">
      <c r="B45" s="21"/>
    </row>
    <row r="46" spans="1:29" ht="14.4" x14ac:dyDescent="0.3">
      <c r="B46" s="21"/>
    </row>
    <row r="47" spans="1:29" ht="14.4" x14ac:dyDescent="0.3">
      <c r="B47" s="21"/>
    </row>
    <row r="48" spans="1:29" ht="14.4" x14ac:dyDescent="0.3">
      <c r="B48" s="21"/>
    </row>
    <row r="49" spans="2:2" ht="14.4" x14ac:dyDescent="0.3">
      <c r="B49" s="21"/>
    </row>
    <row r="50" spans="2:2" ht="14.4" x14ac:dyDescent="0.3">
      <c r="B50" s="21"/>
    </row>
    <row r="51" spans="2:2" ht="14.4" x14ac:dyDescent="0.3">
      <c r="B51" s="21"/>
    </row>
    <row r="52" spans="2:2" ht="14.4" x14ac:dyDescent="0.3">
      <c r="B52" s="21"/>
    </row>
    <row r="53" spans="2:2" ht="14.4" x14ac:dyDescent="0.3">
      <c r="B53" s="21"/>
    </row>
    <row r="54" spans="2:2" ht="14.4" x14ac:dyDescent="0.3">
      <c r="B54" s="21"/>
    </row>
    <row r="55" spans="2:2" ht="14.4" x14ac:dyDescent="0.3">
      <c r="B55" s="21"/>
    </row>
    <row r="56" spans="2:2" ht="14.4" x14ac:dyDescent="0.3">
      <c r="B56" s="21"/>
    </row>
    <row r="57" spans="2:2" ht="14.4" x14ac:dyDescent="0.3">
      <c r="B57" s="21"/>
    </row>
    <row r="58" spans="2:2" ht="14.4" x14ac:dyDescent="0.3">
      <c r="B58" s="21"/>
    </row>
    <row r="59" spans="2:2" ht="14.4" x14ac:dyDescent="0.3">
      <c r="B59" s="21"/>
    </row>
    <row r="60" spans="2:2" ht="14.4" x14ac:dyDescent="0.3">
      <c r="B60" s="21"/>
    </row>
    <row r="61" spans="2:2" ht="14.4" x14ac:dyDescent="0.3">
      <c r="B61" s="21"/>
    </row>
    <row r="62" spans="2:2" ht="14.4" x14ac:dyDescent="0.3">
      <c r="B62" s="21"/>
    </row>
    <row r="63" spans="2:2" ht="14.4" x14ac:dyDescent="0.3">
      <c r="B63" s="21"/>
    </row>
    <row r="64" spans="2:2" ht="14.4" x14ac:dyDescent="0.3">
      <c r="B64" s="21"/>
    </row>
    <row r="65" spans="2:2" ht="14.4" x14ac:dyDescent="0.3">
      <c r="B65" s="21"/>
    </row>
    <row r="66" spans="2:2" ht="14.4" x14ac:dyDescent="0.3">
      <c r="B66" s="21"/>
    </row>
    <row r="67" spans="2:2" ht="14.4" x14ac:dyDescent="0.3">
      <c r="B67" s="21"/>
    </row>
    <row r="68" spans="2:2" ht="14.4" x14ac:dyDescent="0.3">
      <c r="B68" s="21"/>
    </row>
    <row r="69" spans="2:2" ht="14.4" x14ac:dyDescent="0.3">
      <c r="B69" s="21"/>
    </row>
    <row r="70" spans="2:2" ht="14.4" x14ac:dyDescent="0.3">
      <c r="B70" s="21"/>
    </row>
    <row r="71" spans="2:2" ht="14.4" x14ac:dyDescent="0.3">
      <c r="B71" s="21"/>
    </row>
    <row r="72" spans="2:2" ht="14.4" x14ac:dyDescent="0.3">
      <c r="B72" s="21"/>
    </row>
    <row r="73" spans="2:2" ht="14.4" x14ac:dyDescent="0.3">
      <c r="B73" s="21"/>
    </row>
    <row r="74" spans="2:2" ht="14.4" x14ac:dyDescent="0.3">
      <c r="B74" s="21"/>
    </row>
    <row r="75" spans="2:2" ht="14.4" x14ac:dyDescent="0.3">
      <c r="B75" s="21"/>
    </row>
    <row r="76" spans="2:2" ht="14.4" x14ac:dyDescent="0.3">
      <c r="B76" s="21"/>
    </row>
    <row r="77" spans="2:2" ht="14.4" x14ac:dyDescent="0.3">
      <c r="B77" s="21"/>
    </row>
    <row r="78" spans="2:2" ht="14.4" x14ac:dyDescent="0.3">
      <c r="B78" s="21"/>
    </row>
    <row r="79" spans="2:2" ht="14.4" x14ac:dyDescent="0.3">
      <c r="B79" s="21"/>
    </row>
    <row r="80" spans="2:2" ht="14.4" x14ac:dyDescent="0.3">
      <c r="B80" s="21"/>
    </row>
    <row r="81" spans="2:2" ht="14.4" x14ac:dyDescent="0.3">
      <c r="B81" s="21"/>
    </row>
    <row r="82" spans="2:2" ht="14.4" x14ac:dyDescent="0.3">
      <c r="B82" s="21"/>
    </row>
    <row r="83" spans="2:2" ht="14.4" x14ac:dyDescent="0.3">
      <c r="B83" s="21"/>
    </row>
    <row r="84" spans="2:2" ht="14.4" x14ac:dyDescent="0.3">
      <c r="B84" s="21"/>
    </row>
    <row r="85" spans="2:2" ht="14.4" x14ac:dyDescent="0.3">
      <c r="B85" s="21"/>
    </row>
    <row r="86" spans="2:2" ht="14.4" x14ac:dyDescent="0.3">
      <c r="B86" s="21"/>
    </row>
    <row r="87" spans="2:2" ht="14.4" x14ac:dyDescent="0.3">
      <c r="B87" s="21"/>
    </row>
    <row r="88" spans="2:2" ht="14.4" x14ac:dyDescent="0.3">
      <c r="B88" s="21"/>
    </row>
    <row r="89" spans="2:2" ht="14.4" x14ac:dyDescent="0.3">
      <c r="B89" s="21"/>
    </row>
    <row r="90" spans="2:2" ht="14.4" x14ac:dyDescent="0.3">
      <c r="B90" s="21"/>
    </row>
    <row r="91" spans="2:2" ht="14.4" x14ac:dyDescent="0.3">
      <c r="B91" s="21"/>
    </row>
    <row r="92" spans="2:2" ht="14.4" x14ac:dyDescent="0.3">
      <c r="B92" s="21"/>
    </row>
    <row r="93" spans="2:2" ht="14.4" x14ac:dyDescent="0.3">
      <c r="B93" s="21"/>
    </row>
    <row r="94" spans="2:2" ht="14.4" x14ac:dyDescent="0.3">
      <c r="B94" s="21"/>
    </row>
    <row r="95" spans="2:2" ht="14.4" x14ac:dyDescent="0.3">
      <c r="B95" s="21"/>
    </row>
    <row r="96" spans="2:2" ht="14.4" x14ac:dyDescent="0.3">
      <c r="B96" s="21"/>
    </row>
    <row r="97" spans="2:2" ht="14.4" x14ac:dyDescent="0.3">
      <c r="B97" s="21"/>
    </row>
    <row r="98" spans="2:2" ht="14.4" x14ac:dyDescent="0.3">
      <c r="B98" s="21"/>
    </row>
    <row r="99" spans="2:2" ht="14.4" x14ac:dyDescent="0.3">
      <c r="B99" s="21"/>
    </row>
    <row r="100" spans="2:2" ht="14.4" x14ac:dyDescent="0.3">
      <c r="B100" s="21"/>
    </row>
    <row r="101" spans="2:2" ht="14.4" x14ac:dyDescent="0.3">
      <c r="B101" s="21"/>
    </row>
    <row r="102" spans="2:2" ht="14.4" x14ac:dyDescent="0.3">
      <c r="B102" s="21"/>
    </row>
    <row r="103" spans="2:2" ht="14.4" x14ac:dyDescent="0.3">
      <c r="B103" s="21"/>
    </row>
    <row r="104" spans="2:2" ht="14.4" x14ac:dyDescent="0.3">
      <c r="B104" s="21"/>
    </row>
    <row r="105" spans="2:2" ht="14.4" x14ac:dyDescent="0.3">
      <c r="B105" s="21"/>
    </row>
    <row r="106" spans="2:2" ht="14.4" x14ac:dyDescent="0.3">
      <c r="B106" s="21"/>
    </row>
    <row r="107" spans="2:2" ht="14.4" x14ac:dyDescent="0.3">
      <c r="B107" s="21"/>
    </row>
    <row r="108" spans="2:2" ht="14.4" x14ac:dyDescent="0.3">
      <c r="B108" s="21"/>
    </row>
    <row r="109" spans="2:2" ht="14.4" x14ac:dyDescent="0.3">
      <c r="B109" s="21"/>
    </row>
    <row r="110" spans="2:2" ht="14.4" x14ac:dyDescent="0.3">
      <c r="B110" s="21"/>
    </row>
    <row r="111" spans="2:2" ht="14.4" x14ac:dyDescent="0.3">
      <c r="B111" s="21"/>
    </row>
    <row r="112" spans="2:2" ht="14.4" x14ac:dyDescent="0.3">
      <c r="B112" s="21"/>
    </row>
    <row r="113" spans="2:2" ht="14.4" x14ac:dyDescent="0.3">
      <c r="B113" s="21"/>
    </row>
    <row r="114" spans="2:2" ht="14.4" x14ac:dyDescent="0.3">
      <c r="B114" s="21"/>
    </row>
    <row r="115" spans="2:2" ht="14.4" x14ac:dyDescent="0.3">
      <c r="B115" s="21"/>
    </row>
    <row r="116" spans="2:2" ht="14.4" x14ac:dyDescent="0.3">
      <c r="B116" s="21"/>
    </row>
    <row r="117" spans="2:2" ht="14.4" x14ac:dyDescent="0.3">
      <c r="B117" s="21"/>
    </row>
    <row r="118" spans="2:2" ht="14.4" x14ac:dyDescent="0.3">
      <c r="B118" s="21"/>
    </row>
    <row r="119" spans="2:2" ht="14.4" x14ac:dyDescent="0.3">
      <c r="B119" s="21"/>
    </row>
    <row r="120" spans="2:2" ht="14.4" x14ac:dyDescent="0.3">
      <c r="B120" s="21"/>
    </row>
    <row r="121" spans="2:2" ht="14.4" x14ac:dyDescent="0.3">
      <c r="B121" s="21"/>
    </row>
    <row r="122" spans="2:2" ht="14.4" x14ac:dyDescent="0.3">
      <c r="B122" s="21"/>
    </row>
    <row r="123" spans="2:2" ht="14.4" x14ac:dyDescent="0.3">
      <c r="B123" s="21"/>
    </row>
    <row r="124" spans="2:2" ht="14.4" x14ac:dyDescent="0.3">
      <c r="B124" s="21"/>
    </row>
    <row r="125" spans="2:2" ht="14.4" x14ac:dyDescent="0.3">
      <c r="B125" s="21"/>
    </row>
    <row r="126" spans="2:2" ht="14.4" x14ac:dyDescent="0.3">
      <c r="B126" s="21"/>
    </row>
    <row r="127" spans="2:2" ht="14.4" x14ac:dyDescent="0.3">
      <c r="B127" s="21"/>
    </row>
    <row r="128" spans="2:2" ht="14.4" x14ac:dyDescent="0.3">
      <c r="B128" s="21"/>
    </row>
    <row r="129" spans="2:2" ht="14.4" x14ac:dyDescent="0.3">
      <c r="B129" s="21"/>
    </row>
    <row r="130" spans="2:2" ht="14.4" x14ac:dyDescent="0.3">
      <c r="B130" s="21"/>
    </row>
    <row r="131" spans="2:2" ht="14.4" x14ac:dyDescent="0.3">
      <c r="B131" s="21"/>
    </row>
    <row r="132" spans="2:2" ht="14.4" x14ac:dyDescent="0.3">
      <c r="B132" s="21"/>
    </row>
    <row r="133" spans="2:2" ht="14.4" x14ac:dyDescent="0.3">
      <c r="B133" s="21"/>
    </row>
    <row r="134" spans="2:2" ht="14.4" x14ac:dyDescent="0.3">
      <c r="B134" s="21"/>
    </row>
    <row r="135" spans="2:2" ht="14.4" x14ac:dyDescent="0.3">
      <c r="B135" s="21"/>
    </row>
    <row r="136" spans="2:2" ht="14.4" x14ac:dyDescent="0.3">
      <c r="B136" s="21"/>
    </row>
    <row r="137" spans="2:2" ht="14.4" x14ac:dyDescent="0.3">
      <c r="B137" s="21"/>
    </row>
    <row r="138" spans="2:2" ht="14.4" x14ac:dyDescent="0.3">
      <c r="B138" s="21"/>
    </row>
    <row r="139" spans="2:2" ht="14.4" x14ac:dyDescent="0.3">
      <c r="B139" s="21"/>
    </row>
    <row r="140" spans="2:2" ht="14.4" x14ac:dyDescent="0.3">
      <c r="B140" s="21"/>
    </row>
    <row r="141" spans="2:2" ht="14.4" x14ac:dyDescent="0.3">
      <c r="B141" s="21"/>
    </row>
    <row r="142" spans="2:2" ht="14.4" x14ac:dyDescent="0.3">
      <c r="B142" s="21"/>
    </row>
    <row r="143" spans="2:2" ht="14.4" x14ac:dyDescent="0.3">
      <c r="B143" s="21"/>
    </row>
    <row r="144" spans="2:2" ht="14.4" x14ac:dyDescent="0.3">
      <c r="B144" s="21"/>
    </row>
    <row r="145" spans="2:2" ht="14.4" x14ac:dyDescent="0.3">
      <c r="B145" s="21"/>
    </row>
    <row r="146" spans="2:2" ht="14.4" x14ac:dyDescent="0.3">
      <c r="B146" s="21"/>
    </row>
    <row r="147" spans="2:2" ht="14.4" x14ac:dyDescent="0.3">
      <c r="B147" s="21"/>
    </row>
    <row r="148" spans="2:2" ht="14.4" x14ac:dyDescent="0.3">
      <c r="B148" s="21"/>
    </row>
    <row r="149" spans="2:2" ht="14.4" x14ac:dyDescent="0.3">
      <c r="B149" s="21"/>
    </row>
    <row r="150" spans="2:2" ht="14.4" x14ac:dyDescent="0.3">
      <c r="B150" s="21"/>
    </row>
    <row r="151" spans="2:2" ht="14.4" x14ac:dyDescent="0.3">
      <c r="B151" s="21"/>
    </row>
    <row r="152" spans="2:2" ht="14.4" x14ac:dyDescent="0.3">
      <c r="B152" s="21"/>
    </row>
    <row r="153" spans="2:2" ht="14.4" x14ac:dyDescent="0.3">
      <c r="B153" s="21"/>
    </row>
    <row r="154" spans="2:2" ht="14.4" x14ac:dyDescent="0.3">
      <c r="B154" s="21"/>
    </row>
    <row r="155" spans="2:2" ht="14.4" x14ac:dyDescent="0.3">
      <c r="B155" s="21"/>
    </row>
    <row r="156" spans="2:2" ht="14.4" x14ac:dyDescent="0.3">
      <c r="B156" s="21"/>
    </row>
    <row r="157" spans="2:2" ht="14.4" x14ac:dyDescent="0.3">
      <c r="B157" s="21"/>
    </row>
    <row r="158" spans="2:2" ht="14.4" x14ac:dyDescent="0.3">
      <c r="B158" s="21"/>
    </row>
    <row r="159" spans="2:2" ht="14.4" x14ac:dyDescent="0.3">
      <c r="B159" s="21"/>
    </row>
    <row r="160" spans="2:2" ht="14.4" x14ac:dyDescent="0.3">
      <c r="B160" s="21"/>
    </row>
    <row r="161" spans="2:2" ht="14.4" x14ac:dyDescent="0.3">
      <c r="B161" s="21"/>
    </row>
    <row r="162" spans="2:2" ht="14.4" x14ac:dyDescent="0.3">
      <c r="B162" s="21"/>
    </row>
    <row r="163" spans="2:2" ht="14.4" x14ac:dyDescent="0.3">
      <c r="B163" s="21"/>
    </row>
    <row r="164" spans="2:2" ht="14.4" x14ac:dyDescent="0.3">
      <c r="B164" s="21"/>
    </row>
    <row r="165" spans="2:2" ht="14.4" x14ac:dyDescent="0.3">
      <c r="B165" s="21"/>
    </row>
    <row r="166" spans="2:2" ht="14.4" x14ac:dyDescent="0.3">
      <c r="B166" s="21"/>
    </row>
    <row r="167" spans="2:2" ht="14.4" x14ac:dyDescent="0.3">
      <c r="B167" s="21"/>
    </row>
    <row r="168" spans="2:2" ht="14.4" x14ac:dyDescent="0.3">
      <c r="B168" s="21"/>
    </row>
    <row r="169" spans="2:2" ht="14.4" x14ac:dyDescent="0.3">
      <c r="B169" s="21"/>
    </row>
    <row r="170" spans="2:2" ht="14.4" x14ac:dyDescent="0.3">
      <c r="B170" s="21"/>
    </row>
    <row r="171" spans="2:2" ht="14.4" x14ac:dyDescent="0.3">
      <c r="B171" s="21"/>
    </row>
    <row r="172" spans="2:2" ht="14.4" x14ac:dyDescent="0.3">
      <c r="B172" s="21"/>
    </row>
    <row r="173" spans="2:2" ht="14.4" x14ac:dyDescent="0.3">
      <c r="B173" s="21"/>
    </row>
    <row r="174" spans="2:2" ht="14.4" x14ac:dyDescent="0.3">
      <c r="B174" s="21"/>
    </row>
    <row r="175" spans="2:2" ht="14.4" x14ac:dyDescent="0.3">
      <c r="B175" s="21"/>
    </row>
    <row r="176" spans="2:2" ht="14.4" x14ac:dyDescent="0.3">
      <c r="B176" s="21"/>
    </row>
    <row r="177" spans="2:2" ht="14.4" x14ac:dyDescent="0.3">
      <c r="B177" s="21"/>
    </row>
    <row r="178" spans="2:2" ht="14.4" x14ac:dyDescent="0.3">
      <c r="B178" s="21"/>
    </row>
    <row r="179" spans="2:2" ht="14.4" x14ac:dyDescent="0.3">
      <c r="B179" s="21"/>
    </row>
    <row r="180" spans="2:2" ht="14.4" x14ac:dyDescent="0.3">
      <c r="B180" s="21"/>
    </row>
    <row r="181" spans="2:2" ht="14.4" x14ac:dyDescent="0.3">
      <c r="B181" s="21"/>
    </row>
    <row r="182" spans="2:2" ht="14.4" x14ac:dyDescent="0.3">
      <c r="B182" s="21"/>
    </row>
    <row r="183" spans="2:2" ht="14.4" x14ac:dyDescent="0.3">
      <c r="B183" s="21"/>
    </row>
    <row r="184" spans="2:2" ht="14.4" x14ac:dyDescent="0.3">
      <c r="B184" s="21"/>
    </row>
    <row r="185" spans="2:2" ht="14.4" x14ac:dyDescent="0.3">
      <c r="B185" s="21"/>
    </row>
    <row r="186" spans="2:2" ht="14.4" x14ac:dyDescent="0.3">
      <c r="B186" s="21"/>
    </row>
    <row r="187" spans="2:2" ht="14.4" x14ac:dyDescent="0.3">
      <c r="B187" s="21"/>
    </row>
    <row r="188" spans="2:2" ht="14.4" x14ac:dyDescent="0.3">
      <c r="B188" s="21"/>
    </row>
    <row r="189" spans="2:2" ht="14.4" x14ac:dyDescent="0.3">
      <c r="B189" s="21"/>
    </row>
    <row r="190" spans="2:2" ht="14.4" x14ac:dyDescent="0.3">
      <c r="B190" s="21"/>
    </row>
    <row r="191" spans="2:2" ht="14.4" x14ac:dyDescent="0.3">
      <c r="B191" s="21"/>
    </row>
    <row r="192" spans="2:2" ht="14.4" x14ac:dyDescent="0.3">
      <c r="B192" s="21"/>
    </row>
    <row r="193" spans="2:2" ht="14.4" x14ac:dyDescent="0.3">
      <c r="B193" s="21"/>
    </row>
    <row r="194" spans="2:2" ht="14.4" x14ac:dyDescent="0.3">
      <c r="B194" s="21"/>
    </row>
    <row r="195" spans="2:2" ht="14.4" x14ac:dyDescent="0.3">
      <c r="B195" s="21"/>
    </row>
    <row r="196" spans="2:2" ht="14.4" x14ac:dyDescent="0.3">
      <c r="B196" s="21"/>
    </row>
    <row r="197" spans="2:2" ht="14.4" x14ac:dyDescent="0.3">
      <c r="B197" s="21"/>
    </row>
    <row r="198" spans="2:2" ht="14.4" x14ac:dyDescent="0.3">
      <c r="B198" s="21"/>
    </row>
    <row r="199" spans="2:2" ht="14.4" x14ac:dyDescent="0.3">
      <c r="B199" s="21"/>
    </row>
    <row r="200" spans="2:2" ht="14.4" x14ac:dyDescent="0.3">
      <c r="B200" s="21"/>
    </row>
    <row r="201" spans="2:2" ht="14.4" x14ac:dyDescent="0.3">
      <c r="B201" s="21"/>
    </row>
    <row r="202" spans="2:2" ht="14.4" x14ac:dyDescent="0.3">
      <c r="B202" s="21"/>
    </row>
    <row r="203" spans="2:2" ht="14.4" x14ac:dyDescent="0.3">
      <c r="B203" s="21"/>
    </row>
    <row r="204" spans="2:2" ht="14.4" x14ac:dyDescent="0.3">
      <c r="B204" s="21"/>
    </row>
    <row r="205" spans="2:2" ht="14.4" x14ac:dyDescent="0.3">
      <c r="B205" s="21"/>
    </row>
    <row r="206" spans="2:2" ht="14.4" x14ac:dyDescent="0.3">
      <c r="B206" s="21"/>
    </row>
    <row r="207" spans="2:2" ht="14.4" x14ac:dyDescent="0.3">
      <c r="B207" s="21"/>
    </row>
    <row r="208" spans="2:2" ht="14.4" x14ac:dyDescent="0.3">
      <c r="B208" s="21"/>
    </row>
    <row r="209" spans="2:2" ht="14.4" x14ac:dyDescent="0.3">
      <c r="B209" s="21"/>
    </row>
    <row r="210" spans="2:2" ht="14.4" x14ac:dyDescent="0.3">
      <c r="B210" s="21"/>
    </row>
    <row r="211" spans="2:2" ht="14.4" x14ac:dyDescent="0.3">
      <c r="B211" s="21"/>
    </row>
    <row r="212" spans="2:2" ht="14.4" x14ac:dyDescent="0.3">
      <c r="B212" s="21"/>
    </row>
    <row r="213" spans="2:2" ht="14.4" x14ac:dyDescent="0.3">
      <c r="B213" s="21"/>
    </row>
    <row r="214" spans="2:2" ht="14.4" x14ac:dyDescent="0.3">
      <c r="B214" s="21"/>
    </row>
    <row r="215" spans="2:2" ht="14.4" x14ac:dyDescent="0.3">
      <c r="B215" s="21"/>
    </row>
    <row r="216" spans="2:2" ht="14.4" x14ac:dyDescent="0.3">
      <c r="B216" s="21"/>
    </row>
    <row r="217" spans="2:2" ht="14.4" x14ac:dyDescent="0.3">
      <c r="B217" s="21"/>
    </row>
    <row r="218" spans="2:2" ht="14.4" x14ac:dyDescent="0.3">
      <c r="B218" s="21"/>
    </row>
    <row r="219" spans="2:2" ht="14.4" x14ac:dyDescent="0.3">
      <c r="B219" s="21"/>
    </row>
    <row r="220" spans="2:2" ht="14.4" x14ac:dyDescent="0.3">
      <c r="B220" s="21"/>
    </row>
    <row r="221" spans="2:2" ht="14.4" x14ac:dyDescent="0.3">
      <c r="B221" s="21"/>
    </row>
    <row r="222" spans="2:2" ht="14.4" x14ac:dyDescent="0.3">
      <c r="B222" s="21"/>
    </row>
    <row r="223" spans="2:2" ht="14.4" x14ac:dyDescent="0.3">
      <c r="B223" s="21"/>
    </row>
    <row r="224" spans="2:2" ht="14.4" x14ac:dyDescent="0.3">
      <c r="B224" s="21"/>
    </row>
    <row r="225" spans="2:2" ht="14.4" x14ac:dyDescent="0.3">
      <c r="B225" s="21"/>
    </row>
    <row r="226" spans="2:2" ht="14.4" x14ac:dyDescent="0.3">
      <c r="B226" s="21"/>
    </row>
    <row r="227" spans="2:2" ht="14.4" x14ac:dyDescent="0.3">
      <c r="B227" s="21"/>
    </row>
    <row r="228" spans="2:2" ht="14.4" x14ac:dyDescent="0.3">
      <c r="B228" s="21"/>
    </row>
    <row r="229" spans="2:2" ht="14.4" x14ac:dyDescent="0.3">
      <c r="B229" s="21"/>
    </row>
    <row r="230" spans="2:2" ht="14.4" x14ac:dyDescent="0.3">
      <c r="B230" s="21"/>
    </row>
    <row r="231" spans="2:2" ht="14.4" x14ac:dyDescent="0.3">
      <c r="B231" s="21"/>
    </row>
    <row r="232" spans="2:2" ht="14.4" x14ac:dyDescent="0.3">
      <c r="B232" s="21"/>
    </row>
    <row r="233" spans="2:2" ht="14.4" x14ac:dyDescent="0.3">
      <c r="B233" s="21"/>
    </row>
    <row r="234" spans="2:2" ht="14.4" x14ac:dyDescent="0.3">
      <c r="B234" s="21"/>
    </row>
    <row r="235" spans="2:2" ht="14.4" x14ac:dyDescent="0.3">
      <c r="B235" s="21"/>
    </row>
    <row r="236" spans="2:2" ht="14.4" x14ac:dyDescent="0.3">
      <c r="B236" s="21"/>
    </row>
    <row r="237" spans="2:2" ht="14.4" x14ac:dyDescent="0.3">
      <c r="B237" s="21"/>
    </row>
    <row r="238" spans="2:2" ht="14.4" x14ac:dyDescent="0.3">
      <c r="B238" s="21"/>
    </row>
    <row r="239" spans="2:2" ht="14.4" x14ac:dyDescent="0.3">
      <c r="B239" s="21"/>
    </row>
    <row r="240" spans="2:2" ht="14.4" x14ac:dyDescent="0.3">
      <c r="B240" s="21"/>
    </row>
    <row r="241" spans="2:2" ht="14.4" x14ac:dyDescent="0.3">
      <c r="B241" s="21"/>
    </row>
    <row r="242" spans="2:2" ht="14.4" x14ac:dyDescent="0.3">
      <c r="B242" s="21"/>
    </row>
    <row r="243" spans="2:2" ht="14.4" x14ac:dyDescent="0.3">
      <c r="B243" s="21"/>
    </row>
    <row r="244" spans="2:2" ht="14.4" x14ac:dyDescent="0.3">
      <c r="B244" s="21"/>
    </row>
    <row r="245" spans="2:2" ht="14.4" x14ac:dyDescent="0.3">
      <c r="B245" s="21"/>
    </row>
    <row r="246" spans="2:2" ht="14.4" x14ac:dyDescent="0.3">
      <c r="B246" s="21"/>
    </row>
    <row r="247" spans="2:2" ht="14.4" x14ac:dyDescent="0.3">
      <c r="B247" s="21"/>
    </row>
    <row r="248" spans="2:2" ht="14.4" x14ac:dyDescent="0.3">
      <c r="B248" s="21"/>
    </row>
    <row r="249" spans="2:2" ht="14.4" x14ac:dyDescent="0.3">
      <c r="B249" s="21"/>
    </row>
    <row r="250" spans="2:2" ht="14.4" x14ac:dyDescent="0.3">
      <c r="B250" s="21"/>
    </row>
    <row r="251" spans="2:2" ht="14.4" x14ac:dyDescent="0.3">
      <c r="B251" s="21"/>
    </row>
    <row r="252" spans="2:2" ht="14.4" x14ac:dyDescent="0.3">
      <c r="B252" s="21"/>
    </row>
    <row r="253" spans="2:2" ht="14.4" x14ac:dyDescent="0.3">
      <c r="B253" s="21"/>
    </row>
    <row r="254" spans="2:2" ht="14.4" x14ac:dyDescent="0.3">
      <c r="B254" s="21"/>
    </row>
    <row r="255" spans="2:2" ht="14.4" x14ac:dyDescent="0.3">
      <c r="B255" s="21"/>
    </row>
    <row r="256" spans="2:2" ht="14.4" x14ac:dyDescent="0.3">
      <c r="B256" s="21"/>
    </row>
    <row r="257" spans="2:2" ht="14.4" x14ac:dyDescent="0.3">
      <c r="B257" s="21"/>
    </row>
    <row r="258" spans="2:2" ht="14.4" x14ac:dyDescent="0.3">
      <c r="B258" s="21"/>
    </row>
    <row r="259" spans="2:2" ht="14.4" x14ac:dyDescent="0.3">
      <c r="B259" s="21"/>
    </row>
    <row r="260" spans="2:2" ht="14.4" x14ac:dyDescent="0.3">
      <c r="B260" s="21"/>
    </row>
    <row r="261" spans="2:2" ht="14.4" x14ac:dyDescent="0.3">
      <c r="B261" s="21"/>
    </row>
    <row r="262" spans="2:2" ht="14.4" x14ac:dyDescent="0.3">
      <c r="B262" s="21"/>
    </row>
    <row r="263" spans="2:2" ht="14.4" x14ac:dyDescent="0.3">
      <c r="B263" s="21"/>
    </row>
    <row r="264" spans="2:2" ht="14.4" x14ac:dyDescent="0.3">
      <c r="B264" s="21"/>
    </row>
    <row r="265" spans="2:2" ht="14.4" x14ac:dyDescent="0.3">
      <c r="B265" s="21"/>
    </row>
    <row r="266" spans="2:2" ht="14.4" x14ac:dyDescent="0.3">
      <c r="B266" s="21"/>
    </row>
    <row r="267" spans="2:2" ht="14.4" x14ac:dyDescent="0.3">
      <c r="B267" s="21"/>
    </row>
    <row r="268" spans="2:2" ht="14.4" x14ac:dyDescent="0.3">
      <c r="B268" s="21"/>
    </row>
    <row r="269" spans="2:2" ht="14.4" x14ac:dyDescent="0.3">
      <c r="B269" s="21"/>
    </row>
    <row r="270" spans="2:2" ht="14.4" x14ac:dyDescent="0.3">
      <c r="B270" s="21"/>
    </row>
    <row r="271" spans="2:2" ht="14.4" x14ac:dyDescent="0.3">
      <c r="B271" s="21"/>
    </row>
    <row r="272" spans="2:2" ht="14.4" x14ac:dyDescent="0.3">
      <c r="B272" s="21"/>
    </row>
    <row r="273" spans="2:2" ht="14.4" x14ac:dyDescent="0.3">
      <c r="B273" s="21"/>
    </row>
    <row r="274" spans="2:2" ht="14.4" x14ac:dyDescent="0.3">
      <c r="B274" s="21"/>
    </row>
    <row r="275" spans="2:2" ht="14.4" x14ac:dyDescent="0.3">
      <c r="B275" s="21"/>
    </row>
    <row r="276" spans="2:2" ht="14.4" x14ac:dyDescent="0.3">
      <c r="B276" s="21"/>
    </row>
    <row r="277" spans="2:2" ht="14.4" x14ac:dyDescent="0.3">
      <c r="B277" s="21"/>
    </row>
    <row r="278" spans="2:2" ht="14.4" x14ac:dyDescent="0.3">
      <c r="B278" s="21"/>
    </row>
    <row r="279" spans="2:2" ht="14.4" x14ac:dyDescent="0.3">
      <c r="B279" s="21"/>
    </row>
    <row r="280" spans="2:2" ht="14.4" x14ac:dyDescent="0.3">
      <c r="B280" s="21"/>
    </row>
    <row r="281" spans="2:2" ht="14.4" x14ac:dyDescent="0.3">
      <c r="B281" s="21"/>
    </row>
    <row r="282" spans="2:2" ht="14.4" x14ac:dyDescent="0.3">
      <c r="B282" s="21"/>
    </row>
    <row r="283" spans="2:2" ht="14.4" x14ac:dyDescent="0.3">
      <c r="B283" s="21"/>
    </row>
    <row r="284" spans="2:2" ht="14.4" x14ac:dyDescent="0.3">
      <c r="B284" s="21"/>
    </row>
    <row r="285" spans="2:2" ht="14.4" x14ac:dyDescent="0.3">
      <c r="B285" s="21"/>
    </row>
    <row r="286" spans="2:2" ht="14.4" x14ac:dyDescent="0.3">
      <c r="B286" s="21"/>
    </row>
    <row r="287" spans="2:2" ht="14.4" x14ac:dyDescent="0.3">
      <c r="B287" s="21"/>
    </row>
    <row r="288" spans="2:2" ht="14.4" x14ac:dyDescent="0.3">
      <c r="B288" s="21"/>
    </row>
    <row r="289" spans="2:2" ht="14.4" x14ac:dyDescent="0.3">
      <c r="B289" s="21"/>
    </row>
    <row r="290" spans="2:2" ht="14.4" x14ac:dyDescent="0.3">
      <c r="B290" s="21"/>
    </row>
    <row r="291" spans="2:2" ht="14.4" x14ac:dyDescent="0.3">
      <c r="B291" s="21"/>
    </row>
    <row r="292" spans="2:2" ht="14.4" x14ac:dyDescent="0.3">
      <c r="B292" s="21"/>
    </row>
    <row r="293" spans="2:2" ht="14.4" x14ac:dyDescent="0.3">
      <c r="B293" s="21"/>
    </row>
    <row r="294" spans="2:2" ht="14.4" x14ac:dyDescent="0.3">
      <c r="B294" s="21"/>
    </row>
    <row r="295" spans="2:2" ht="14.4" x14ac:dyDescent="0.3">
      <c r="B295" s="21"/>
    </row>
    <row r="296" spans="2:2" ht="14.4" x14ac:dyDescent="0.3">
      <c r="B296" s="21"/>
    </row>
    <row r="297" spans="2:2" ht="14.4" x14ac:dyDescent="0.3">
      <c r="B297" s="21"/>
    </row>
    <row r="298" spans="2:2" ht="14.4" x14ac:dyDescent="0.3">
      <c r="B298" s="21"/>
    </row>
    <row r="299" spans="2:2" ht="14.4" x14ac:dyDescent="0.3">
      <c r="B299" s="21"/>
    </row>
    <row r="300" spans="2:2" ht="14.4" x14ac:dyDescent="0.3">
      <c r="B300" s="21"/>
    </row>
    <row r="301" spans="2:2" ht="14.4" x14ac:dyDescent="0.3">
      <c r="B301" s="21"/>
    </row>
    <row r="302" spans="2:2" ht="14.4" x14ac:dyDescent="0.3">
      <c r="B302" s="21"/>
    </row>
    <row r="303" spans="2:2" ht="14.4" x14ac:dyDescent="0.3">
      <c r="B303" s="21"/>
    </row>
    <row r="304" spans="2:2" ht="14.4" x14ac:dyDescent="0.3">
      <c r="B304" s="21"/>
    </row>
    <row r="305" spans="2:2" ht="14.4" x14ac:dyDescent="0.3">
      <c r="B305" s="21"/>
    </row>
    <row r="306" spans="2:2" ht="14.4" x14ac:dyDescent="0.3">
      <c r="B306" s="21"/>
    </row>
    <row r="307" spans="2:2" ht="14.4" x14ac:dyDescent="0.3">
      <c r="B307" s="21"/>
    </row>
    <row r="308" spans="2:2" ht="14.4" x14ac:dyDescent="0.3">
      <c r="B308" s="21"/>
    </row>
    <row r="309" spans="2:2" ht="14.4" x14ac:dyDescent="0.3">
      <c r="B309" s="21"/>
    </row>
    <row r="310" spans="2:2" ht="14.4" x14ac:dyDescent="0.3">
      <c r="B310" s="21"/>
    </row>
    <row r="311" spans="2:2" ht="14.4" x14ac:dyDescent="0.3">
      <c r="B311" s="21"/>
    </row>
    <row r="312" spans="2:2" ht="14.4" x14ac:dyDescent="0.3">
      <c r="B312" s="21"/>
    </row>
    <row r="313" spans="2:2" ht="14.4" x14ac:dyDescent="0.3">
      <c r="B313" s="21"/>
    </row>
    <row r="314" spans="2:2" ht="14.4" x14ac:dyDescent="0.3">
      <c r="B314" s="21"/>
    </row>
    <row r="315" spans="2:2" ht="14.4" x14ac:dyDescent="0.3">
      <c r="B315" s="21"/>
    </row>
    <row r="316" spans="2:2" ht="14.4" x14ac:dyDescent="0.3">
      <c r="B316" s="21"/>
    </row>
    <row r="317" spans="2:2" ht="14.4" x14ac:dyDescent="0.3">
      <c r="B317" s="21"/>
    </row>
    <row r="318" spans="2:2" ht="14.4" x14ac:dyDescent="0.3">
      <c r="B318" s="21"/>
    </row>
    <row r="319" spans="2:2" ht="14.4" x14ac:dyDescent="0.3">
      <c r="B319" s="21"/>
    </row>
    <row r="320" spans="2:2" ht="14.4" x14ac:dyDescent="0.3">
      <c r="B320" s="21"/>
    </row>
    <row r="321" spans="2:2" ht="14.4" x14ac:dyDescent="0.3">
      <c r="B321" s="21"/>
    </row>
    <row r="322" spans="2:2" ht="14.4" x14ac:dyDescent="0.3">
      <c r="B322" s="21"/>
    </row>
    <row r="323" spans="2:2" ht="14.4" x14ac:dyDescent="0.3">
      <c r="B323" s="21"/>
    </row>
    <row r="324" spans="2:2" ht="14.4" x14ac:dyDescent="0.3">
      <c r="B324" s="21"/>
    </row>
    <row r="325" spans="2:2" ht="14.4" x14ac:dyDescent="0.3">
      <c r="B325" s="21"/>
    </row>
    <row r="326" spans="2:2" ht="14.4" x14ac:dyDescent="0.3">
      <c r="B326" s="21"/>
    </row>
    <row r="327" spans="2:2" ht="14.4" x14ac:dyDescent="0.3">
      <c r="B327" s="21"/>
    </row>
    <row r="328" spans="2:2" ht="14.4" x14ac:dyDescent="0.3">
      <c r="B328" s="21"/>
    </row>
    <row r="329" spans="2:2" ht="14.4" x14ac:dyDescent="0.3">
      <c r="B329" s="21"/>
    </row>
    <row r="330" spans="2:2" ht="14.4" x14ac:dyDescent="0.3">
      <c r="B330" s="21"/>
    </row>
    <row r="331" spans="2:2" ht="14.4" x14ac:dyDescent="0.3">
      <c r="B331" s="21"/>
    </row>
    <row r="332" spans="2:2" ht="14.4" x14ac:dyDescent="0.3">
      <c r="B332" s="21"/>
    </row>
    <row r="333" spans="2:2" ht="14.4" x14ac:dyDescent="0.3">
      <c r="B333" s="21"/>
    </row>
    <row r="334" spans="2:2" ht="14.4" x14ac:dyDescent="0.3">
      <c r="B334" s="21"/>
    </row>
    <row r="335" spans="2:2" ht="14.4" x14ac:dyDescent="0.3">
      <c r="B335" s="21"/>
    </row>
    <row r="336" spans="2:2" ht="14.4" x14ac:dyDescent="0.3">
      <c r="B336" s="21"/>
    </row>
    <row r="337" spans="2:2" ht="14.4" x14ac:dyDescent="0.3">
      <c r="B337" s="21"/>
    </row>
    <row r="338" spans="2:2" ht="14.4" x14ac:dyDescent="0.3">
      <c r="B338" s="21"/>
    </row>
    <row r="339" spans="2:2" ht="14.4" x14ac:dyDescent="0.3">
      <c r="B339" s="21"/>
    </row>
    <row r="340" spans="2:2" ht="14.4" x14ac:dyDescent="0.3">
      <c r="B340" s="21"/>
    </row>
    <row r="341" spans="2:2" ht="14.4" x14ac:dyDescent="0.3">
      <c r="B341" s="21"/>
    </row>
    <row r="342" spans="2:2" ht="14.4" x14ac:dyDescent="0.3">
      <c r="B342" s="21"/>
    </row>
    <row r="343" spans="2:2" ht="14.4" x14ac:dyDescent="0.3">
      <c r="B343" s="21"/>
    </row>
    <row r="344" spans="2:2" ht="14.4" x14ac:dyDescent="0.3">
      <c r="B344" s="21"/>
    </row>
    <row r="345" spans="2:2" ht="14.4" x14ac:dyDescent="0.3">
      <c r="B345" s="21"/>
    </row>
    <row r="346" spans="2:2" ht="14.4" x14ac:dyDescent="0.3">
      <c r="B346" s="21"/>
    </row>
    <row r="347" spans="2:2" ht="14.4" x14ac:dyDescent="0.3">
      <c r="B347" s="21"/>
    </row>
    <row r="348" spans="2:2" ht="14.4" x14ac:dyDescent="0.3">
      <c r="B348" s="21"/>
    </row>
    <row r="349" spans="2:2" ht="14.4" x14ac:dyDescent="0.3">
      <c r="B349" s="21"/>
    </row>
    <row r="350" spans="2:2" ht="14.4" x14ac:dyDescent="0.3">
      <c r="B350" s="21"/>
    </row>
    <row r="351" spans="2:2" ht="14.4" x14ac:dyDescent="0.3">
      <c r="B351" s="21"/>
    </row>
    <row r="352" spans="2:2" ht="14.4" x14ac:dyDescent="0.3">
      <c r="B352" s="21"/>
    </row>
    <row r="353" spans="2:2" ht="14.4" x14ac:dyDescent="0.3">
      <c r="B353" s="21"/>
    </row>
    <row r="354" spans="2:2" ht="14.4" x14ac:dyDescent="0.3">
      <c r="B354" s="21"/>
    </row>
    <row r="355" spans="2:2" ht="14.4" x14ac:dyDescent="0.3">
      <c r="B355" s="21"/>
    </row>
    <row r="356" spans="2:2" ht="14.4" x14ac:dyDescent="0.3">
      <c r="B356" s="21"/>
    </row>
    <row r="357" spans="2:2" ht="14.4" x14ac:dyDescent="0.3">
      <c r="B357" s="21"/>
    </row>
    <row r="358" spans="2:2" ht="14.4" x14ac:dyDescent="0.3">
      <c r="B358" s="21"/>
    </row>
    <row r="359" spans="2:2" ht="14.4" x14ac:dyDescent="0.3">
      <c r="B359" s="21"/>
    </row>
    <row r="360" spans="2:2" ht="14.4" x14ac:dyDescent="0.3">
      <c r="B360" s="21"/>
    </row>
    <row r="361" spans="2:2" ht="14.4" x14ac:dyDescent="0.3">
      <c r="B361" s="21"/>
    </row>
    <row r="362" spans="2:2" ht="14.4" x14ac:dyDescent="0.3">
      <c r="B362" s="21"/>
    </row>
    <row r="363" spans="2:2" ht="14.4" x14ac:dyDescent="0.3">
      <c r="B363" s="21"/>
    </row>
    <row r="364" spans="2:2" ht="14.4" x14ac:dyDescent="0.3">
      <c r="B364" s="21"/>
    </row>
    <row r="365" spans="2:2" ht="14.4" x14ac:dyDescent="0.3">
      <c r="B365" s="21"/>
    </row>
    <row r="366" spans="2:2" ht="14.4" x14ac:dyDescent="0.3">
      <c r="B366" s="21"/>
    </row>
    <row r="367" spans="2:2" ht="14.4" x14ac:dyDescent="0.3">
      <c r="B367" s="21"/>
    </row>
    <row r="368" spans="2:2" ht="14.4" x14ac:dyDescent="0.3">
      <c r="B368" s="21"/>
    </row>
    <row r="369" spans="2:2" ht="14.4" x14ac:dyDescent="0.3">
      <c r="B369" s="21"/>
    </row>
    <row r="370" spans="2:2" ht="14.4" x14ac:dyDescent="0.3">
      <c r="B370" s="21"/>
    </row>
    <row r="371" spans="2:2" ht="14.4" x14ac:dyDescent="0.3">
      <c r="B371" s="21"/>
    </row>
    <row r="372" spans="2:2" ht="14.4" x14ac:dyDescent="0.3">
      <c r="B372" s="21"/>
    </row>
    <row r="373" spans="2:2" ht="14.4" x14ac:dyDescent="0.3">
      <c r="B373" s="21"/>
    </row>
    <row r="374" spans="2:2" ht="14.4" x14ac:dyDescent="0.3">
      <c r="B374" s="21"/>
    </row>
    <row r="375" spans="2:2" ht="14.4" x14ac:dyDescent="0.3">
      <c r="B375" s="21"/>
    </row>
    <row r="376" spans="2:2" ht="14.4" x14ac:dyDescent="0.3">
      <c r="B376" s="21"/>
    </row>
    <row r="377" spans="2:2" ht="14.4" x14ac:dyDescent="0.3">
      <c r="B377" s="21"/>
    </row>
    <row r="378" spans="2:2" ht="14.4" x14ac:dyDescent="0.3">
      <c r="B378" s="21"/>
    </row>
    <row r="379" spans="2:2" ht="14.4" x14ac:dyDescent="0.3">
      <c r="B379" s="21"/>
    </row>
    <row r="380" spans="2:2" ht="14.4" x14ac:dyDescent="0.3">
      <c r="B380" s="21"/>
    </row>
    <row r="381" spans="2:2" ht="14.4" x14ac:dyDescent="0.3">
      <c r="B381" s="21"/>
    </row>
    <row r="382" spans="2:2" ht="14.4" x14ac:dyDescent="0.3">
      <c r="B382" s="21"/>
    </row>
    <row r="383" spans="2:2" ht="14.4" x14ac:dyDescent="0.3">
      <c r="B383" s="21"/>
    </row>
    <row r="384" spans="2:2" ht="14.4" x14ac:dyDescent="0.3">
      <c r="B384" s="21"/>
    </row>
    <row r="385" spans="2:2" ht="14.4" x14ac:dyDescent="0.3">
      <c r="B385" s="21"/>
    </row>
    <row r="386" spans="2:2" ht="14.4" x14ac:dyDescent="0.3">
      <c r="B386" s="21"/>
    </row>
    <row r="387" spans="2:2" ht="14.4" x14ac:dyDescent="0.3">
      <c r="B387" s="21"/>
    </row>
    <row r="388" spans="2:2" ht="14.4" x14ac:dyDescent="0.3">
      <c r="B388" s="21"/>
    </row>
    <row r="389" spans="2:2" ht="14.4" x14ac:dyDescent="0.3">
      <c r="B389" s="21"/>
    </row>
    <row r="390" spans="2:2" ht="14.4" x14ac:dyDescent="0.3">
      <c r="B390" s="21"/>
    </row>
    <row r="391" spans="2:2" ht="14.4" x14ac:dyDescent="0.3">
      <c r="B391" s="21"/>
    </row>
    <row r="392" spans="2:2" ht="14.4" x14ac:dyDescent="0.3">
      <c r="B392" s="21"/>
    </row>
    <row r="393" spans="2:2" ht="14.4" x14ac:dyDescent="0.3">
      <c r="B393" s="21"/>
    </row>
    <row r="394" spans="2:2" ht="14.4" x14ac:dyDescent="0.3">
      <c r="B394" s="21"/>
    </row>
    <row r="395" spans="2:2" ht="14.4" x14ac:dyDescent="0.3">
      <c r="B395" s="21"/>
    </row>
    <row r="396" spans="2:2" ht="14.4" x14ac:dyDescent="0.3">
      <c r="B396" s="21"/>
    </row>
    <row r="397" spans="2:2" ht="14.4" x14ac:dyDescent="0.3">
      <c r="B397" s="21"/>
    </row>
    <row r="398" spans="2:2" ht="14.4" x14ac:dyDescent="0.3">
      <c r="B398" s="21"/>
    </row>
    <row r="399" spans="2:2" ht="14.4" x14ac:dyDescent="0.3">
      <c r="B399" s="21"/>
    </row>
    <row r="400" spans="2:2" ht="14.4" x14ac:dyDescent="0.3">
      <c r="B400" s="21"/>
    </row>
    <row r="401" spans="2:2" ht="14.4" x14ac:dyDescent="0.3">
      <c r="B401" s="21"/>
    </row>
    <row r="402" spans="2:2" ht="14.4" x14ac:dyDescent="0.3">
      <c r="B402" s="21"/>
    </row>
    <row r="403" spans="2:2" ht="14.4" x14ac:dyDescent="0.3">
      <c r="B403" s="21"/>
    </row>
    <row r="404" spans="2:2" ht="14.4" x14ac:dyDescent="0.3">
      <c r="B404" s="21"/>
    </row>
    <row r="405" spans="2:2" ht="14.4" x14ac:dyDescent="0.3">
      <c r="B405" s="21"/>
    </row>
    <row r="406" spans="2:2" ht="14.4" x14ac:dyDescent="0.3">
      <c r="B406" s="21"/>
    </row>
    <row r="407" spans="2:2" ht="14.4" x14ac:dyDescent="0.3">
      <c r="B407" s="21"/>
    </row>
    <row r="408" spans="2:2" ht="14.4" x14ac:dyDescent="0.3">
      <c r="B408" s="21"/>
    </row>
    <row r="409" spans="2:2" ht="14.4" x14ac:dyDescent="0.3">
      <c r="B409" s="21"/>
    </row>
    <row r="410" spans="2:2" ht="14.4" x14ac:dyDescent="0.3">
      <c r="B410" s="21"/>
    </row>
    <row r="411" spans="2:2" ht="14.4" x14ac:dyDescent="0.3">
      <c r="B411" s="21"/>
    </row>
    <row r="412" spans="2:2" ht="14.4" x14ac:dyDescent="0.3">
      <c r="B412" s="21"/>
    </row>
    <row r="413" spans="2:2" ht="14.4" x14ac:dyDescent="0.3">
      <c r="B413" s="21"/>
    </row>
    <row r="414" spans="2:2" ht="14.4" x14ac:dyDescent="0.3">
      <c r="B414" s="21"/>
    </row>
    <row r="415" spans="2:2" ht="14.4" x14ac:dyDescent="0.3">
      <c r="B415" s="21"/>
    </row>
    <row r="416" spans="2:2" ht="14.4" x14ac:dyDescent="0.3">
      <c r="B416" s="21"/>
    </row>
    <row r="417" spans="2:2" ht="14.4" x14ac:dyDescent="0.3">
      <c r="B417" s="21"/>
    </row>
    <row r="418" spans="2:2" ht="14.4" x14ac:dyDescent="0.3">
      <c r="B418" s="21"/>
    </row>
    <row r="419" spans="2:2" ht="14.4" x14ac:dyDescent="0.3">
      <c r="B419" s="21"/>
    </row>
    <row r="420" spans="2:2" ht="14.4" x14ac:dyDescent="0.3">
      <c r="B420" s="21"/>
    </row>
    <row r="421" spans="2:2" ht="14.4" x14ac:dyDescent="0.3">
      <c r="B421" s="21"/>
    </row>
    <row r="422" spans="2:2" ht="14.4" x14ac:dyDescent="0.3">
      <c r="B422" s="21"/>
    </row>
    <row r="423" spans="2:2" ht="14.4" x14ac:dyDescent="0.3">
      <c r="B423" s="21"/>
    </row>
    <row r="424" spans="2:2" ht="14.4" x14ac:dyDescent="0.3">
      <c r="B424" s="21"/>
    </row>
    <row r="425" spans="2:2" ht="14.4" x14ac:dyDescent="0.3">
      <c r="B425" s="21"/>
    </row>
    <row r="426" spans="2:2" ht="14.4" x14ac:dyDescent="0.3">
      <c r="B426" s="21"/>
    </row>
    <row r="427" spans="2:2" ht="14.4" x14ac:dyDescent="0.3">
      <c r="B427" s="21"/>
    </row>
    <row r="428" spans="2:2" ht="14.4" x14ac:dyDescent="0.3">
      <c r="B428" s="21"/>
    </row>
    <row r="429" spans="2:2" ht="14.4" x14ac:dyDescent="0.3">
      <c r="B429" s="21"/>
    </row>
    <row r="430" spans="2:2" ht="14.4" x14ac:dyDescent="0.3">
      <c r="B430" s="21"/>
    </row>
    <row r="431" spans="2:2" ht="14.4" x14ac:dyDescent="0.3">
      <c r="B431" s="21"/>
    </row>
    <row r="432" spans="2:2" ht="14.4" x14ac:dyDescent="0.3">
      <c r="B432" s="21"/>
    </row>
    <row r="433" spans="2:2" ht="14.4" x14ac:dyDescent="0.3">
      <c r="B433" s="21"/>
    </row>
    <row r="434" spans="2:2" ht="14.4" x14ac:dyDescent="0.3">
      <c r="B434" s="21"/>
    </row>
    <row r="435" spans="2:2" ht="14.4" x14ac:dyDescent="0.3">
      <c r="B435" s="21"/>
    </row>
    <row r="436" spans="2:2" ht="14.4" x14ac:dyDescent="0.3">
      <c r="B436" s="21"/>
    </row>
    <row r="437" spans="2:2" ht="14.4" x14ac:dyDescent="0.3">
      <c r="B437" s="21"/>
    </row>
    <row r="438" spans="2:2" ht="14.4" x14ac:dyDescent="0.3">
      <c r="B438" s="21"/>
    </row>
    <row r="439" spans="2:2" ht="14.4" x14ac:dyDescent="0.3">
      <c r="B439" s="21"/>
    </row>
    <row r="440" spans="2:2" ht="14.4" x14ac:dyDescent="0.3">
      <c r="B440" s="21"/>
    </row>
    <row r="441" spans="2:2" ht="14.4" x14ac:dyDescent="0.3">
      <c r="B441" s="21"/>
    </row>
    <row r="442" spans="2:2" ht="14.4" x14ac:dyDescent="0.3">
      <c r="B442" s="21"/>
    </row>
    <row r="443" spans="2:2" ht="14.4" x14ac:dyDescent="0.3">
      <c r="B443" s="21"/>
    </row>
    <row r="444" spans="2:2" ht="14.4" x14ac:dyDescent="0.3">
      <c r="B444" s="21"/>
    </row>
    <row r="445" spans="2:2" ht="14.4" x14ac:dyDescent="0.3">
      <c r="B445" s="21"/>
    </row>
    <row r="446" spans="2:2" ht="14.4" x14ac:dyDescent="0.3">
      <c r="B446" s="21"/>
    </row>
    <row r="447" spans="2:2" ht="14.4" x14ac:dyDescent="0.3">
      <c r="B447" s="21"/>
    </row>
    <row r="448" spans="2:2" ht="14.4" x14ac:dyDescent="0.3">
      <c r="B448" s="21"/>
    </row>
    <row r="449" spans="2:2" ht="14.4" x14ac:dyDescent="0.3">
      <c r="B449" s="21"/>
    </row>
    <row r="450" spans="2:2" ht="14.4" x14ac:dyDescent="0.3">
      <c r="B450" s="21"/>
    </row>
    <row r="451" spans="2:2" ht="14.4" x14ac:dyDescent="0.3">
      <c r="B451" s="21"/>
    </row>
    <row r="452" spans="2:2" ht="14.4" x14ac:dyDescent="0.3">
      <c r="B452" s="21"/>
    </row>
    <row r="453" spans="2:2" ht="14.4" x14ac:dyDescent="0.3">
      <c r="B453" s="21"/>
    </row>
    <row r="454" spans="2:2" ht="14.4" x14ac:dyDescent="0.3">
      <c r="B454" s="21"/>
    </row>
    <row r="455" spans="2:2" ht="14.4" x14ac:dyDescent="0.3">
      <c r="B455" s="21"/>
    </row>
    <row r="456" spans="2:2" ht="14.4" x14ac:dyDescent="0.3">
      <c r="B456" s="21"/>
    </row>
    <row r="457" spans="2:2" ht="14.4" x14ac:dyDescent="0.3">
      <c r="B457" s="21"/>
    </row>
    <row r="458" spans="2:2" ht="14.4" x14ac:dyDescent="0.3">
      <c r="B458" s="21"/>
    </row>
    <row r="459" spans="2:2" ht="14.4" x14ac:dyDescent="0.3">
      <c r="B459" s="21"/>
    </row>
    <row r="460" spans="2:2" ht="14.4" x14ac:dyDescent="0.3">
      <c r="B460" s="21"/>
    </row>
    <row r="461" spans="2:2" ht="14.4" x14ac:dyDescent="0.3">
      <c r="B461" s="21"/>
    </row>
    <row r="462" spans="2:2" ht="14.4" x14ac:dyDescent="0.3">
      <c r="B462" s="21"/>
    </row>
    <row r="463" spans="2:2" ht="14.4" x14ac:dyDescent="0.3">
      <c r="B463" s="21"/>
    </row>
    <row r="464" spans="2:2" ht="14.4" x14ac:dyDescent="0.3">
      <c r="B464" s="21"/>
    </row>
    <row r="465" spans="2:2" ht="14.4" x14ac:dyDescent="0.3">
      <c r="B465" s="21"/>
    </row>
    <row r="466" spans="2:2" ht="14.4" x14ac:dyDescent="0.3">
      <c r="B466" s="21"/>
    </row>
    <row r="467" spans="2:2" ht="14.4" x14ac:dyDescent="0.3">
      <c r="B467" s="21"/>
    </row>
    <row r="468" spans="2:2" ht="14.4" x14ac:dyDescent="0.3">
      <c r="B468" s="21"/>
    </row>
    <row r="469" spans="2:2" ht="14.4" x14ac:dyDescent="0.3">
      <c r="B469" s="21"/>
    </row>
    <row r="470" spans="2:2" ht="14.4" x14ac:dyDescent="0.3">
      <c r="B470" s="21"/>
    </row>
    <row r="471" spans="2:2" ht="14.4" x14ac:dyDescent="0.3">
      <c r="B471" s="21"/>
    </row>
    <row r="472" spans="2:2" ht="14.4" x14ac:dyDescent="0.3">
      <c r="B472" s="21"/>
    </row>
    <row r="473" spans="2:2" ht="14.4" x14ac:dyDescent="0.3">
      <c r="B473" s="21"/>
    </row>
    <row r="474" spans="2:2" ht="14.4" x14ac:dyDescent="0.3">
      <c r="B474" s="21"/>
    </row>
    <row r="475" spans="2:2" ht="14.4" x14ac:dyDescent="0.3">
      <c r="B475" s="21"/>
    </row>
    <row r="476" spans="2:2" ht="14.4" x14ac:dyDescent="0.3">
      <c r="B476" s="21"/>
    </row>
    <row r="477" spans="2:2" ht="14.4" x14ac:dyDescent="0.3">
      <c r="B477" s="21"/>
    </row>
    <row r="478" spans="2:2" ht="14.4" x14ac:dyDescent="0.3">
      <c r="B478" s="21"/>
    </row>
    <row r="479" spans="2:2" ht="14.4" x14ac:dyDescent="0.3">
      <c r="B479" s="21"/>
    </row>
    <row r="480" spans="2:2" ht="14.4" x14ac:dyDescent="0.3">
      <c r="B480" s="21"/>
    </row>
    <row r="481" spans="2:2" ht="14.4" x14ac:dyDescent="0.3">
      <c r="B481" s="21"/>
    </row>
    <row r="482" spans="2:2" ht="14.4" x14ac:dyDescent="0.3">
      <c r="B482" s="21"/>
    </row>
    <row r="483" spans="2:2" ht="14.4" x14ac:dyDescent="0.3">
      <c r="B483" s="21"/>
    </row>
    <row r="484" spans="2:2" ht="14.4" x14ac:dyDescent="0.3">
      <c r="B484" s="21"/>
    </row>
    <row r="485" spans="2:2" ht="14.4" x14ac:dyDescent="0.3">
      <c r="B485" s="21"/>
    </row>
    <row r="486" spans="2:2" ht="14.4" x14ac:dyDescent="0.3">
      <c r="B486" s="21"/>
    </row>
    <row r="487" spans="2:2" ht="14.4" x14ac:dyDescent="0.3">
      <c r="B487" s="21"/>
    </row>
    <row r="488" spans="2:2" ht="14.4" x14ac:dyDescent="0.3">
      <c r="B488" s="21"/>
    </row>
    <row r="489" spans="2:2" ht="14.4" x14ac:dyDescent="0.3">
      <c r="B489" s="21"/>
    </row>
    <row r="490" spans="2:2" ht="14.4" x14ac:dyDescent="0.3">
      <c r="B490" s="21"/>
    </row>
    <row r="491" spans="2:2" ht="14.4" x14ac:dyDescent="0.3">
      <c r="B491" s="21"/>
    </row>
    <row r="492" spans="2:2" ht="14.4" x14ac:dyDescent="0.3">
      <c r="B492" s="21"/>
    </row>
    <row r="493" spans="2:2" ht="14.4" x14ac:dyDescent="0.3">
      <c r="B493" s="21"/>
    </row>
    <row r="494" spans="2:2" ht="14.4" x14ac:dyDescent="0.3">
      <c r="B494" s="21"/>
    </row>
    <row r="495" spans="2:2" ht="14.4" x14ac:dyDescent="0.3">
      <c r="B495" s="21"/>
    </row>
    <row r="496" spans="2:2" ht="14.4" x14ac:dyDescent="0.3">
      <c r="B496" s="21"/>
    </row>
    <row r="497" spans="2:2" ht="14.4" x14ac:dyDescent="0.3">
      <c r="B497" s="21"/>
    </row>
    <row r="498" spans="2:2" ht="14.4" x14ac:dyDescent="0.3">
      <c r="B498" s="21"/>
    </row>
    <row r="499" spans="2:2" ht="14.4" x14ac:dyDescent="0.3">
      <c r="B499" s="21"/>
    </row>
    <row r="500" spans="2:2" ht="14.4" x14ac:dyDescent="0.3">
      <c r="B500" s="21"/>
    </row>
    <row r="501" spans="2:2" ht="14.4" x14ac:dyDescent="0.3">
      <c r="B501" s="21"/>
    </row>
    <row r="502" spans="2:2" ht="14.4" x14ac:dyDescent="0.3">
      <c r="B502" s="21"/>
    </row>
    <row r="503" spans="2:2" ht="14.4" x14ac:dyDescent="0.3">
      <c r="B503" s="21"/>
    </row>
    <row r="504" spans="2:2" ht="14.4" x14ac:dyDescent="0.3">
      <c r="B504" s="21"/>
    </row>
    <row r="505" spans="2:2" ht="14.4" x14ac:dyDescent="0.3">
      <c r="B505" s="21"/>
    </row>
    <row r="506" spans="2:2" ht="14.4" x14ac:dyDescent="0.3">
      <c r="B506" s="21"/>
    </row>
    <row r="507" spans="2:2" ht="14.4" x14ac:dyDescent="0.3">
      <c r="B507" s="21"/>
    </row>
    <row r="508" spans="2:2" ht="14.4" x14ac:dyDescent="0.3">
      <c r="B508" s="21"/>
    </row>
    <row r="509" spans="2:2" ht="14.4" x14ac:dyDescent="0.3">
      <c r="B509" s="21"/>
    </row>
    <row r="510" spans="2:2" ht="14.4" x14ac:dyDescent="0.3">
      <c r="B510" s="21"/>
    </row>
    <row r="511" spans="2:2" ht="14.4" x14ac:dyDescent="0.3">
      <c r="B511" s="21"/>
    </row>
    <row r="512" spans="2:2" ht="14.4" x14ac:dyDescent="0.3">
      <c r="B512" s="21"/>
    </row>
    <row r="513" spans="2:2" ht="14.4" x14ac:dyDescent="0.3">
      <c r="B513" s="21"/>
    </row>
    <row r="514" spans="2:2" ht="14.4" x14ac:dyDescent="0.3">
      <c r="B514" s="21"/>
    </row>
    <row r="515" spans="2:2" ht="14.4" x14ac:dyDescent="0.3">
      <c r="B515" s="21"/>
    </row>
    <row r="516" spans="2:2" ht="14.4" x14ac:dyDescent="0.3">
      <c r="B516" s="21"/>
    </row>
    <row r="517" spans="2:2" ht="14.4" x14ac:dyDescent="0.3">
      <c r="B517" s="21"/>
    </row>
    <row r="518" spans="2:2" ht="14.4" x14ac:dyDescent="0.3">
      <c r="B518" s="21"/>
    </row>
    <row r="519" spans="2:2" ht="14.4" x14ac:dyDescent="0.3">
      <c r="B519" s="21"/>
    </row>
    <row r="520" spans="2:2" ht="14.4" x14ac:dyDescent="0.3">
      <c r="B520" s="21"/>
    </row>
    <row r="521" spans="2:2" ht="14.4" x14ac:dyDescent="0.3">
      <c r="B521" s="21"/>
    </row>
    <row r="522" spans="2:2" ht="14.4" x14ac:dyDescent="0.3">
      <c r="B522" s="21"/>
    </row>
    <row r="523" spans="2:2" ht="14.4" x14ac:dyDescent="0.3">
      <c r="B523" s="21"/>
    </row>
    <row r="524" spans="2:2" ht="14.4" x14ac:dyDescent="0.3">
      <c r="B524" s="21"/>
    </row>
    <row r="525" spans="2:2" ht="14.4" x14ac:dyDescent="0.3">
      <c r="B525" s="21"/>
    </row>
    <row r="526" spans="2:2" ht="14.4" x14ac:dyDescent="0.3">
      <c r="B526" s="21"/>
    </row>
    <row r="527" spans="2:2" ht="14.4" x14ac:dyDescent="0.3">
      <c r="B527" s="21"/>
    </row>
    <row r="528" spans="2:2" ht="14.4" x14ac:dyDescent="0.3">
      <c r="B528" s="21"/>
    </row>
    <row r="529" spans="2:2" ht="14.4" x14ac:dyDescent="0.3">
      <c r="B529" s="21"/>
    </row>
    <row r="530" spans="2:2" ht="14.4" x14ac:dyDescent="0.3">
      <c r="B530" s="21"/>
    </row>
    <row r="531" spans="2:2" ht="14.4" x14ac:dyDescent="0.3">
      <c r="B531" s="21"/>
    </row>
    <row r="532" spans="2:2" ht="14.4" x14ac:dyDescent="0.3">
      <c r="B532" s="21"/>
    </row>
    <row r="533" spans="2:2" ht="14.4" x14ac:dyDescent="0.3">
      <c r="B533" s="21"/>
    </row>
    <row r="534" spans="2:2" ht="14.4" x14ac:dyDescent="0.3">
      <c r="B534" s="21"/>
    </row>
    <row r="535" spans="2:2" ht="14.4" x14ac:dyDescent="0.3">
      <c r="B535" s="21"/>
    </row>
    <row r="536" spans="2:2" ht="14.4" x14ac:dyDescent="0.3">
      <c r="B536" s="21"/>
    </row>
    <row r="537" spans="2:2" ht="14.4" x14ac:dyDescent="0.3">
      <c r="B537" s="21"/>
    </row>
    <row r="538" spans="2:2" ht="14.4" x14ac:dyDescent="0.3">
      <c r="B538" s="21"/>
    </row>
    <row r="539" spans="2:2" ht="14.4" x14ac:dyDescent="0.3">
      <c r="B539" s="21"/>
    </row>
    <row r="540" spans="2:2" ht="14.4" x14ac:dyDescent="0.3">
      <c r="B540" s="21"/>
    </row>
    <row r="541" spans="2:2" ht="14.4" x14ac:dyDescent="0.3">
      <c r="B541" s="21"/>
    </row>
    <row r="542" spans="2:2" ht="14.4" x14ac:dyDescent="0.3">
      <c r="B542" s="21"/>
    </row>
    <row r="543" spans="2:2" ht="14.4" x14ac:dyDescent="0.3">
      <c r="B543" s="21"/>
    </row>
    <row r="544" spans="2:2" ht="14.4" x14ac:dyDescent="0.3">
      <c r="B544" s="21"/>
    </row>
    <row r="545" spans="2:2" ht="14.4" x14ac:dyDescent="0.3">
      <c r="B545" s="21"/>
    </row>
    <row r="546" spans="2:2" ht="14.4" x14ac:dyDescent="0.3">
      <c r="B546" s="21"/>
    </row>
    <row r="547" spans="2:2" ht="14.4" x14ac:dyDescent="0.3">
      <c r="B547" s="21"/>
    </row>
    <row r="548" spans="2:2" ht="14.4" x14ac:dyDescent="0.3">
      <c r="B548" s="21"/>
    </row>
    <row r="549" spans="2:2" ht="14.4" x14ac:dyDescent="0.3">
      <c r="B549" s="21"/>
    </row>
    <row r="550" spans="2:2" ht="14.4" x14ac:dyDescent="0.3">
      <c r="B550" s="21"/>
    </row>
    <row r="551" spans="2:2" ht="14.4" x14ac:dyDescent="0.3">
      <c r="B551" s="21"/>
    </row>
    <row r="552" spans="2:2" ht="14.4" x14ac:dyDescent="0.3">
      <c r="B552" s="21"/>
    </row>
    <row r="553" spans="2:2" ht="14.4" x14ac:dyDescent="0.3">
      <c r="B553" s="21"/>
    </row>
    <row r="554" spans="2:2" ht="14.4" x14ac:dyDescent="0.3">
      <c r="B554" s="21"/>
    </row>
    <row r="555" spans="2:2" ht="14.4" x14ac:dyDescent="0.3">
      <c r="B555" s="21"/>
    </row>
    <row r="556" spans="2:2" ht="14.4" x14ac:dyDescent="0.3">
      <c r="B556" s="21"/>
    </row>
    <row r="557" spans="2:2" ht="14.4" x14ac:dyDescent="0.3">
      <c r="B557" s="21"/>
    </row>
    <row r="558" spans="2:2" ht="14.4" x14ac:dyDescent="0.3">
      <c r="B558" s="21"/>
    </row>
    <row r="559" spans="2:2" ht="14.4" x14ac:dyDescent="0.3">
      <c r="B559" s="21"/>
    </row>
    <row r="560" spans="2:2" ht="14.4" x14ac:dyDescent="0.3">
      <c r="B560" s="21"/>
    </row>
    <row r="561" spans="2:2" ht="14.4" x14ac:dyDescent="0.3">
      <c r="B561" s="21"/>
    </row>
    <row r="562" spans="2:2" ht="14.4" x14ac:dyDescent="0.3">
      <c r="B562" s="21"/>
    </row>
    <row r="563" spans="2:2" ht="14.4" x14ac:dyDescent="0.3">
      <c r="B563" s="21"/>
    </row>
    <row r="564" spans="2:2" ht="14.4" x14ac:dyDescent="0.3">
      <c r="B564" s="21"/>
    </row>
    <row r="565" spans="2:2" ht="14.4" x14ac:dyDescent="0.3">
      <c r="B565" s="21"/>
    </row>
    <row r="566" spans="2:2" ht="14.4" x14ac:dyDescent="0.3">
      <c r="B566" s="21"/>
    </row>
    <row r="567" spans="2:2" ht="14.4" x14ac:dyDescent="0.3">
      <c r="B567" s="21"/>
    </row>
    <row r="568" spans="2:2" ht="14.4" x14ac:dyDescent="0.3">
      <c r="B568" s="21"/>
    </row>
    <row r="569" spans="2:2" ht="14.4" x14ac:dyDescent="0.3">
      <c r="B569" s="21"/>
    </row>
    <row r="570" spans="2:2" ht="14.4" x14ac:dyDescent="0.3">
      <c r="B570" s="21"/>
    </row>
    <row r="571" spans="2:2" ht="14.4" x14ac:dyDescent="0.3">
      <c r="B571" s="21"/>
    </row>
    <row r="572" spans="2:2" ht="14.4" x14ac:dyDescent="0.3">
      <c r="B572" s="21"/>
    </row>
    <row r="573" spans="2:2" ht="14.4" x14ac:dyDescent="0.3">
      <c r="B573" s="21"/>
    </row>
    <row r="574" spans="2:2" ht="14.4" x14ac:dyDescent="0.3">
      <c r="B574" s="21"/>
    </row>
    <row r="575" spans="2:2" ht="14.4" x14ac:dyDescent="0.3">
      <c r="B575" s="21"/>
    </row>
    <row r="576" spans="2:2" ht="14.4" x14ac:dyDescent="0.3">
      <c r="B576" s="21"/>
    </row>
    <row r="577" spans="2:2" ht="14.4" x14ac:dyDescent="0.3">
      <c r="B577" s="21"/>
    </row>
    <row r="578" spans="2:2" ht="14.4" x14ac:dyDescent="0.3">
      <c r="B578" s="21"/>
    </row>
    <row r="579" spans="2:2" ht="14.4" x14ac:dyDescent="0.3">
      <c r="B579" s="21"/>
    </row>
    <row r="580" spans="2:2" ht="14.4" x14ac:dyDescent="0.3">
      <c r="B580" s="21"/>
    </row>
    <row r="581" spans="2:2" ht="14.4" x14ac:dyDescent="0.3">
      <c r="B581" s="21"/>
    </row>
    <row r="582" spans="2:2" ht="14.4" x14ac:dyDescent="0.3">
      <c r="B582" s="21"/>
    </row>
    <row r="583" spans="2:2" ht="14.4" x14ac:dyDescent="0.3">
      <c r="B583" s="21"/>
    </row>
    <row r="584" spans="2:2" ht="14.4" x14ac:dyDescent="0.3">
      <c r="B584" s="21"/>
    </row>
    <row r="585" spans="2:2" ht="14.4" x14ac:dyDescent="0.3">
      <c r="B585" s="21"/>
    </row>
    <row r="586" spans="2:2" ht="14.4" x14ac:dyDescent="0.3">
      <c r="B586" s="21"/>
    </row>
    <row r="587" spans="2:2" ht="14.4" x14ac:dyDescent="0.3">
      <c r="B587" s="21"/>
    </row>
    <row r="588" spans="2:2" ht="14.4" x14ac:dyDescent="0.3">
      <c r="B588" s="21"/>
    </row>
    <row r="589" spans="2:2" ht="14.4" x14ac:dyDescent="0.3">
      <c r="B589" s="21"/>
    </row>
    <row r="590" spans="2:2" ht="14.4" x14ac:dyDescent="0.3">
      <c r="B590" s="21"/>
    </row>
    <row r="591" spans="2:2" ht="14.4" x14ac:dyDescent="0.3">
      <c r="B591" s="21"/>
    </row>
    <row r="592" spans="2:2" ht="14.4" x14ac:dyDescent="0.3">
      <c r="B592" s="21"/>
    </row>
    <row r="593" spans="2:2" ht="14.4" x14ac:dyDescent="0.3">
      <c r="B593" s="21"/>
    </row>
    <row r="594" spans="2:2" ht="14.4" x14ac:dyDescent="0.3">
      <c r="B594" s="21"/>
    </row>
    <row r="595" spans="2:2" ht="14.4" x14ac:dyDescent="0.3">
      <c r="B595" s="21"/>
    </row>
    <row r="596" spans="2:2" ht="14.4" x14ac:dyDescent="0.3">
      <c r="B596" s="21"/>
    </row>
    <row r="597" spans="2:2" ht="14.4" x14ac:dyDescent="0.3">
      <c r="B597" s="21"/>
    </row>
    <row r="598" spans="2:2" ht="14.4" x14ac:dyDescent="0.3">
      <c r="B598" s="21"/>
    </row>
    <row r="599" spans="2:2" ht="14.4" x14ac:dyDescent="0.3">
      <c r="B599" s="21"/>
    </row>
    <row r="600" spans="2:2" ht="14.4" x14ac:dyDescent="0.3">
      <c r="B600" s="21"/>
    </row>
    <row r="601" spans="2:2" ht="14.4" x14ac:dyDescent="0.3">
      <c r="B601" s="21"/>
    </row>
    <row r="602" spans="2:2" ht="14.4" x14ac:dyDescent="0.3">
      <c r="B602" s="21"/>
    </row>
    <row r="603" spans="2:2" ht="14.4" x14ac:dyDescent="0.3">
      <c r="B603" s="21"/>
    </row>
    <row r="604" spans="2:2" ht="14.4" x14ac:dyDescent="0.3">
      <c r="B604" s="21"/>
    </row>
    <row r="605" spans="2:2" ht="14.4" x14ac:dyDescent="0.3">
      <c r="B605" s="21"/>
    </row>
    <row r="606" spans="2:2" ht="14.4" x14ac:dyDescent="0.3">
      <c r="B606" s="21"/>
    </row>
    <row r="607" spans="2:2" ht="14.4" x14ac:dyDescent="0.3">
      <c r="B607" s="21"/>
    </row>
    <row r="608" spans="2:2" ht="14.4" x14ac:dyDescent="0.3">
      <c r="B608" s="21"/>
    </row>
    <row r="609" spans="2:2" ht="14.4" x14ac:dyDescent="0.3">
      <c r="B609" s="21"/>
    </row>
    <row r="610" spans="2:2" ht="14.4" x14ac:dyDescent="0.3">
      <c r="B610" s="21"/>
    </row>
    <row r="611" spans="2:2" ht="14.4" x14ac:dyDescent="0.3">
      <c r="B611" s="21"/>
    </row>
    <row r="612" spans="2:2" ht="14.4" x14ac:dyDescent="0.3">
      <c r="B612" s="21"/>
    </row>
    <row r="613" spans="2:2" ht="14.4" x14ac:dyDescent="0.3">
      <c r="B613" s="21"/>
    </row>
    <row r="614" spans="2:2" ht="14.4" x14ac:dyDescent="0.3">
      <c r="B614" s="21"/>
    </row>
    <row r="615" spans="2:2" ht="14.4" x14ac:dyDescent="0.3">
      <c r="B615" s="21"/>
    </row>
    <row r="616" spans="2:2" ht="14.4" x14ac:dyDescent="0.3">
      <c r="B616" s="21"/>
    </row>
    <row r="617" spans="2:2" ht="14.4" x14ac:dyDescent="0.3">
      <c r="B617" s="21"/>
    </row>
    <row r="618" spans="2:2" ht="14.4" x14ac:dyDescent="0.3">
      <c r="B618" s="21"/>
    </row>
    <row r="619" spans="2:2" ht="14.4" x14ac:dyDescent="0.3">
      <c r="B619" s="21"/>
    </row>
    <row r="620" spans="2:2" ht="14.4" x14ac:dyDescent="0.3">
      <c r="B620" s="21"/>
    </row>
    <row r="621" spans="2:2" ht="14.4" x14ac:dyDescent="0.3">
      <c r="B621" s="21"/>
    </row>
    <row r="622" spans="2:2" ht="14.4" x14ac:dyDescent="0.3">
      <c r="B622" s="21"/>
    </row>
    <row r="623" spans="2:2" ht="14.4" x14ac:dyDescent="0.3">
      <c r="B623" s="21"/>
    </row>
    <row r="624" spans="2:2" ht="14.4" x14ac:dyDescent="0.3">
      <c r="B624" s="21"/>
    </row>
    <row r="625" spans="2:2" ht="14.4" x14ac:dyDescent="0.3">
      <c r="B625" s="21"/>
    </row>
    <row r="626" spans="2:2" ht="14.4" x14ac:dyDescent="0.3">
      <c r="B626" s="21"/>
    </row>
    <row r="627" spans="2:2" ht="14.4" x14ac:dyDescent="0.3">
      <c r="B627" s="21"/>
    </row>
    <row r="628" spans="2:2" ht="14.4" x14ac:dyDescent="0.3">
      <c r="B628" s="21"/>
    </row>
    <row r="629" spans="2:2" ht="14.4" x14ac:dyDescent="0.3">
      <c r="B629" s="21"/>
    </row>
    <row r="630" spans="2:2" ht="14.4" x14ac:dyDescent="0.3">
      <c r="B630" s="21"/>
    </row>
    <row r="631" spans="2:2" ht="14.4" x14ac:dyDescent="0.3">
      <c r="B631" s="21"/>
    </row>
    <row r="632" spans="2:2" ht="14.4" x14ac:dyDescent="0.3">
      <c r="B632" s="21"/>
    </row>
    <row r="633" spans="2:2" ht="14.4" x14ac:dyDescent="0.3">
      <c r="B633" s="21"/>
    </row>
    <row r="634" spans="2:2" ht="14.4" x14ac:dyDescent="0.3">
      <c r="B634" s="21"/>
    </row>
    <row r="635" spans="2:2" ht="14.4" x14ac:dyDescent="0.3">
      <c r="B635" s="21"/>
    </row>
    <row r="636" spans="2:2" ht="14.4" x14ac:dyDescent="0.3">
      <c r="B636" s="21"/>
    </row>
    <row r="637" spans="2:2" ht="14.4" x14ac:dyDescent="0.3">
      <c r="B637" s="21"/>
    </row>
    <row r="638" spans="2:2" ht="14.4" x14ac:dyDescent="0.3">
      <c r="B638" s="21"/>
    </row>
    <row r="639" spans="2:2" ht="14.4" x14ac:dyDescent="0.3">
      <c r="B639" s="21"/>
    </row>
    <row r="640" spans="2:2" ht="14.4" x14ac:dyDescent="0.3">
      <c r="B640" s="21"/>
    </row>
    <row r="641" spans="2:2" ht="14.4" x14ac:dyDescent="0.3">
      <c r="B641" s="21"/>
    </row>
    <row r="642" spans="2:2" ht="14.4" x14ac:dyDescent="0.3">
      <c r="B642" s="21"/>
    </row>
    <row r="643" spans="2:2" ht="14.4" x14ac:dyDescent="0.3">
      <c r="B643" s="21"/>
    </row>
    <row r="644" spans="2:2" ht="14.4" x14ac:dyDescent="0.3">
      <c r="B644" s="21"/>
    </row>
    <row r="645" spans="2:2" ht="14.4" x14ac:dyDescent="0.3">
      <c r="B645" s="21"/>
    </row>
    <row r="646" spans="2:2" ht="14.4" x14ac:dyDescent="0.3">
      <c r="B646" s="21"/>
    </row>
    <row r="647" spans="2:2" ht="14.4" x14ac:dyDescent="0.3">
      <c r="B647" s="21"/>
    </row>
    <row r="648" spans="2:2" ht="14.4" x14ac:dyDescent="0.3">
      <c r="B648" s="21"/>
    </row>
    <row r="649" spans="2:2" ht="14.4" x14ac:dyDescent="0.3">
      <c r="B649" s="21"/>
    </row>
    <row r="650" spans="2:2" ht="14.4" x14ac:dyDescent="0.3">
      <c r="B650" s="21"/>
    </row>
    <row r="651" spans="2:2" ht="14.4" x14ac:dyDescent="0.3">
      <c r="B651" s="21"/>
    </row>
    <row r="652" spans="2:2" ht="14.4" x14ac:dyDescent="0.3">
      <c r="B652" s="21"/>
    </row>
    <row r="653" spans="2:2" ht="14.4" x14ac:dyDescent="0.3">
      <c r="B653" s="21"/>
    </row>
    <row r="654" spans="2:2" ht="14.4" x14ac:dyDescent="0.3">
      <c r="B654" s="21"/>
    </row>
    <row r="655" spans="2:2" ht="14.4" x14ac:dyDescent="0.3">
      <c r="B655" s="21"/>
    </row>
    <row r="656" spans="2:2" ht="14.4" x14ac:dyDescent="0.3">
      <c r="B656" s="21"/>
    </row>
    <row r="657" spans="2:2" ht="14.4" x14ac:dyDescent="0.3">
      <c r="B657" s="21"/>
    </row>
    <row r="658" spans="2:2" ht="14.4" x14ac:dyDescent="0.3">
      <c r="B658" s="21"/>
    </row>
    <row r="659" spans="2:2" ht="14.4" x14ac:dyDescent="0.3">
      <c r="B659" s="21"/>
    </row>
    <row r="660" spans="2:2" ht="14.4" x14ac:dyDescent="0.3">
      <c r="B660" s="21"/>
    </row>
    <row r="661" spans="2:2" ht="14.4" x14ac:dyDescent="0.3">
      <c r="B661" s="21"/>
    </row>
    <row r="662" spans="2:2" ht="14.4" x14ac:dyDescent="0.3">
      <c r="B662" s="21"/>
    </row>
    <row r="663" spans="2:2" ht="14.4" x14ac:dyDescent="0.3">
      <c r="B663" s="21"/>
    </row>
    <row r="664" spans="2:2" ht="14.4" x14ac:dyDescent="0.3">
      <c r="B664" s="21"/>
    </row>
    <row r="665" spans="2:2" ht="14.4" x14ac:dyDescent="0.3">
      <c r="B665" s="21"/>
    </row>
    <row r="666" spans="2:2" ht="14.4" x14ac:dyDescent="0.3">
      <c r="B666" s="21"/>
    </row>
    <row r="667" spans="2:2" ht="14.4" x14ac:dyDescent="0.3">
      <c r="B667" s="21"/>
    </row>
    <row r="668" spans="2:2" ht="14.4" x14ac:dyDescent="0.3">
      <c r="B668" s="21"/>
    </row>
    <row r="669" spans="2:2" ht="14.4" x14ac:dyDescent="0.3">
      <c r="B669" s="21"/>
    </row>
    <row r="670" spans="2:2" ht="14.4" x14ac:dyDescent="0.3">
      <c r="B670" s="21"/>
    </row>
    <row r="671" spans="2:2" ht="14.4" x14ac:dyDescent="0.3">
      <c r="B671" s="21"/>
    </row>
    <row r="672" spans="2:2" ht="14.4" x14ac:dyDescent="0.3">
      <c r="B672" s="21"/>
    </row>
    <row r="673" spans="2:2" ht="14.4" x14ac:dyDescent="0.3">
      <c r="B673" s="21"/>
    </row>
    <row r="674" spans="2:2" ht="14.4" x14ac:dyDescent="0.3">
      <c r="B674" s="21"/>
    </row>
    <row r="675" spans="2:2" ht="14.4" x14ac:dyDescent="0.3">
      <c r="B675" s="21"/>
    </row>
    <row r="676" spans="2:2" ht="14.4" x14ac:dyDescent="0.3">
      <c r="B676" s="21"/>
    </row>
    <row r="677" spans="2:2" ht="14.4" x14ac:dyDescent="0.3">
      <c r="B677" s="21"/>
    </row>
    <row r="678" spans="2:2" ht="14.4" x14ac:dyDescent="0.3">
      <c r="B678" s="21"/>
    </row>
    <row r="679" spans="2:2" ht="14.4" x14ac:dyDescent="0.3">
      <c r="B679" s="21"/>
    </row>
    <row r="680" spans="2:2" ht="14.4" x14ac:dyDescent="0.3">
      <c r="B680" s="21"/>
    </row>
    <row r="681" spans="2:2" ht="14.4" x14ac:dyDescent="0.3">
      <c r="B681" s="21"/>
    </row>
    <row r="682" spans="2:2" ht="14.4" x14ac:dyDescent="0.3">
      <c r="B682" s="21"/>
    </row>
    <row r="683" spans="2:2" ht="14.4" x14ac:dyDescent="0.3">
      <c r="B683" s="21"/>
    </row>
    <row r="684" spans="2:2" ht="14.4" x14ac:dyDescent="0.3">
      <c r="B684" s="21"/>
    </row>
    <row r="685" spans="2:2" ht="14.4" x14ac:dyDescent="0.3">
      <c r="B685" s="21"/>
    </row>
    <row r="686" spans="2:2" ht="14.4" x14ac:dyDescent="0.3">
      <c r="B686" s="21"/>
    </row>
    <row r="687" spans="2:2" ht="14.4" x14ac:dyDescent="0.3">
      <c r="B687" s="21"/>
    </row>
    <row r="688" spans="2:2" ht="14.4" x14ac:dyDescent="0.3">
      <c r="B688" s="21"/>
    </row>
    <row r="689" spans="2:2" ht="14.4" x14ac:dyDescent="0.3">
      <c r="B689" s="21"/>
    </row>
    <row r="690" spans="2:2" ht="14.4" x14ac:dyDescent="0.3">
      <c r="B690" s="21"/>
    </row>
    <row r="691" spans="2:2" ht="14.4" x14ac:dyDescent="0.3">
      <c r="B691" s="21"/>
    </row>
    <row r="692" spans="2:2" ht="14.4" x14ac:dyDescent="0.3">
      <c r="B692" s="21"/>
    </row>
    <row r="693" spans="2:2" ht="14.4" x14ac:dyDescent="0.3">
      <c r="B693" s="21"/>
    </row>
    <row r="694" spans="2:2" ht="14.4" x14ac:dyDescent="0.3">
      <c r="B694" s="21"/>
    </row>
    <row r="695" spans="2:2" ht="14.4" x14ac:dyDescent="0.3">
      <c r="B695" s="21"/>
    </row>
    <row r="696" spans="2:2" ht="14.4" x14ac:dyDescent="0.3">
      <c r="B696" s="21"/>
    </row>
    <row r="697" spans="2:2" ht="14.4" x14ac:dyDescent="0.3">
      <c r="B697" s="21"/>
    </row>
    <row r="698" spans="2:2" ht="14.4" x14ac:dyDescent="0.3">
      <c r="B698" s="21"/>
    </row>
    <row r="699" spans="2:2" ht="14.4" x14ac:dyDescent="0.3">
      <c r="B699" s="21"/>
    </row>
    <row r="700" spans="2:2" ht="14.4" x14ac:dyDescent="0.3">
      <c r="B700" s="21"/>
    </row>
    <row r="701" spans="2:2" ht="14.4" x14ac:dyDescent="0.3">
      <c r="B701" s="21"/>
    </row>
    <row r="702" spans="2:2" ht="14.4" x14ac:dyDescent="0.3">
      <c r="B702" s="21"/>
    </row>
    <row r="703" spans="2:2" ht="14.4" x14ac:dyDescent="0.3">
      <c r="B703" s="21"/>
    </row>
    <row r="704" spans="2:2" ht="14.4" x14ac:dyDescent="0.3">
      <c r="B704" s="21"/>
    </row>
    <row r="705" spans="2:2" ht="14.4" x14ac:dyDescent="0.3">
      <c r="B705" s="21"/>
    </row>
    <row r="706" spans="2:2" ht="14.4" x14ac:dyDescent="0.3">
      <c r="B706" s="21"/>
    </row>
    <row r="707" spans="2:2" ht="14.4" x14ac:dyDescent="0.3">
      <c r="B707" s="21"/>
    </row>
    <row r="708" spans="2:2" ht="14.4" x14ac:dyDescent="0.3">
      <c r="B708" s="21"/>
    </row>
    <row r="709" spans="2:2" ht="14.4" x14ac:dyDescent="0.3">
      <c r="B709" s="21"/>
    </row>
    <row r="710" spans="2:2" ht="14.4" x14ac:dyDescent="0.3">
      <c r="B710" s="21"/>
    </row>
    <row r="711" spans="2:2" ht="14.4" x14ac:dyDescent="0.3">
      <c r="B711" s="21"/>
    </row>
    <row r="712" spans="2:2" ht="14.4" x14ac:dyDescent="0.3">
      <c r="B712" s="21"/>
    </row>
    <row r="713" spans="2:2" ht="14.4" x14ac:dyDescent="0.3">
      <c r="B713" s="21"/>
    </row>
    <row r="714" spans="2:2" ht="14.4" x14ac:dyDescent="0.3">
      <c r="B714" s="21"/>
    </row>
    <row r="715" spans="2:2" ht="14.4" x14ac:dyDescent="0.3">
      <c r="B715" s="21"/>
    </row>
    <row r="716" spans="2:2" ht="14.4" x14ac:dyDescent="0.3">
      <c r="B716" s="21"/>
    </row>
    <row r="717" spans="2:2" ht="14.4" x14ac:dyDescent="0.3">
      <c r="B717" s="21"/>
    </row>
    <row r="718" spans="2:2" ht="14.4" x14ac:dyDescent="0.3">
      <c r="B718" s="21"/>
    </row>
    <row r="719" spans="2:2" ht="14.4" x14ac:dyDescent="0.3">
      <c r="B719" s="21"/>
    </row>
    <row r="720" spans="2:2" ht="14.4" x14ac:dyDescent="0.3">
      <c r="B720" s="21"/>
    </row>
    <row r="721" spans="2:2" ht="14.4" x14ac:dyDescent="0.3">
      <c r="B721" s="21"/>
    </row>
    <row r="722" spans="2:2" ht="14.4" x14ac:dyDescent="0.3">
      <c r="B722" s="21"/>
    </row>
    <row r="723" spans="2:2" ht="14.4" x14ac:dyDescent="0.3">
      <c r="B723" s="21"/>
    </row>
    <row r="724" spans="2:2" ht="14.4" x14ac:dyDescent="0.3">
      <c r="B724" s="21"/>
    </row>
    <row r="725" spans="2:2" ht="14.4" x14ac:dyDescent="0.3">
      <c r="B725" s="21"/>
    </row>
    <row r="726" spans="2:2" ht="14.4" x14ac:dyDescent="0.3">
      <c r="B726" s="21"/>
    </row>
    <row r="727" spans="2:2" ht="14.4" x14ac:dyDescent="0.3">
      <c r="B727" s="21"/>
    </row>
    <row r="728" spans="2:2" ht="14.4" x14ac:dyDescent="0.3">
      <c r="B728" s="21"/>
    </row>
    <row r="729" spans="2:2" ht="14.4" x14ac:dyDescent="0.3">
      <c r="B729" s="21"/>
    </row>
    <row r="730" spans="2:2" ht="14.4" x14ac:dyDescent="0.3">
      <c r="B730" s="21"/>
    </row>
    <row r="731" spans="2:2" ht="14.4" x14ac:dyDescent="0.3">
      <c r="B731" s="21"/>
    </row>
    <row r="732" spans="2:2" ht="14.4" x14ac:dyDescent="0.3">
      <c r="B732" s="21"/>
    </row>
    <row r="733" spans="2:2" ht="14.4" x14ac:dyDescent="0.3">
      <c r="B733" s="21"/>
    </row>
    <row r="734" spans="2:2" ht="14.4" x14ac:dyDescent="0.3">
      <c r="B734" s="21"/>
    </row>
    <row r="735" spans="2:2" ht="14.4" x14ac:dyDescent="0.3">
      <c r="B735" s="21"/>
    </row>
    <row r="736" spans="2:2" ht="14.4" x14ac:dyDescent="0.3">
      <c r="B736" s="21"/>
    </row>
    <row r="737" spans="2:2" ht="14.4" x14ac:dyDescent="0.3">
      <c r="B737" s="21"/>
    </row>
    <row r="738" spans="2:2" ht="14.4" x14ac:dyDescent="0.3">
      <c r="B738" s="21"/>
    </row>
    <row r="739" spans="2:2" ht="14.4" x14ac:dyDescent="0.3">
      <c r="B739" s="21"/>
    </row>
    <row r="740" spans="2:2" ht="14.4" x14ac:dyDescent="0.3">
      <c r="B740" s="21"/>
    </row>
    <row r="741" spans="2:2" ht="14.4" x14ac:dyDescent="0.3">
      <c r="B741" s="21"/>
    </row>
    <row r="742" spans="2:2" ht="14.4" x14ac:dyDescent="0.3">
      <c r="B742" s="21"/>
    </row>
    <row r="743" spans="2:2" ht="14.4" x14ac:dyDescent="0.3">
      <c r="B743" s="21"/>
    </row>
    <row r="744" spans="2:2" ht="14.4" x14ac:dyDescent="0.3">
      <c r="B744" s="21"/>
    </row>
    <row r="745" spans="2:2" ht="14.4" x14ac:dyDescent="0.3">
      <c r="B745" s="21"/>
    </row>
    <row r="746" spans="2:2" ht="14.4" x14ac:dyDescent="0.3">
      <c r="B746" s="21"/>
    </row>
    <row r="747" spans="2:2" ht="14.4" x14ac:dyDescent="0.3">
      <c r="B747" s="21"/>
    </row>
    <row r="748" spans="2:2" ht="14.4" x14ac:dyDescent="0.3">
      <c r="B748" s="21"/>
    </row>
    <row r="749" spans="2:2" ht="14.4" x14ac:dyDescent="0.3">
      <c r="B749" s="21"/>
    </row>
    <row r="750" spans="2:2" ht="14.4" x14ac:dyDescent="0.3">
      <c r="B750" s="21"/>
    </row>
    <row r="751" spans="2:2" ht="14.4" x14ac:dyDescent="0.3">
      <c r="B751" s="21"/>
    </row>
    <row r="752" spans="2:2" ht="14.4" x14ac:dyDescent="0.3">
      <c r="B752" s="21"/>
    </row>
    <row r="753" spans="2:2" ht="14.4" x14ac:dyDescent="0.3">
      <c r="B753" s="21"/>
    </row>
    <row r="754" spans="2:2" ht="14.4" x14ac:dyDescent="0.3">
      <c r="B754" s="21"/>
    </row>
    <row r="755" spans="2:2" ht="14.4" x14ac:dyDescent="0.3">
      <c r="B755" s="21"/>
    </row>
    <row r="756" spans="2:2" ht="14.4" x14ac:dyDescent="0.3">
      <c r="B756" s="21"/>
    </row>
    <row r="757" spans="2:2" ht="14.4" x14ac:dyDescent="0.3">
      <c r="B757" s="21"/>
    </row>
    <row r="758" spans="2:2" ht="14.4" x14ac:dyDescent="0.3">
      <c r="B758" s="21"/>
    </row>
    <row r="759" spans="2:2" ht="14.4" x14ac:dyDescent="0.3">
      <c r="B759" s="21"/>
    </row>
    <row r="760" spans="2:2" ht="14.4" x14ac:dyDescent="0.3">
      <c r="B760" s="21"/>
    </row>
    <row r="761" spans="2:2" ht="14.4" x14ac:dyDescent="0.3">
      <c r="B761" s="21"/>
    </row>
    <row r="762" spans="2:2" ht="14.4" x14ac:dyDescent="0.3">
      <c r="B762" s="21"/>
    </row>
    <row r="763" spans="2:2" ht="14.4" x14ac:dyDescent="0.3">
      <c r="B763" s="21"/>
    </row>
    <row r="764" spans="2:2" ht="14.4" x14ac:dyDescent="0.3">
      <c r="B764" s="21"/>
    </row>
    <row r="765" spans="2:2" ht="14.4" x14ac:dyDescent="0.3">
      <c r="B765" s="21"/>
    </row>
    <row r="766" spans="2:2" ht="14.4" x14ac:dyDescent="0.3">
      <c r="B766" s="21"/>
    </row>
    <row r="767" spans="2:2" ht="14.4" x14ac:dyDescent="0.3">
      <c r="B767" s="21"/>
    </row>
    <row r="768" spans="2:2" ht="14.4" x14ac:dyDescent="0.3">
      <c r="B768" s="21"/>
    </row>
    <row r="769" spans="2:2" ht="14.4" x14ac:dyDescent="0.3">
      <c r="B769" s="21"/>
    </row>
    <row r="770" spans="2:2" ht="14.4" x14ac:dyDescent="0.3">
      <c r="B770" s="21"/>
    </row>
    <row r="771" spans="2:2" ht="14.4" x14ac:dyDescent="0.3">
      <c r="B771" s="21"/>
    </row>
    <row r="772" spans="2:2" ht="14.4" x14ac:dyDescent="0.3">
      <c r="B772" s="21"/>
    </row>
    <row r="773" spans="2:2" ht="14.4" x14ac:dyDescent="0.3">
      <c r="B773" s="21"/>
    </row>
    <row r="774" spans="2:2" ht="14.4" x14ac:dyDescent="0.3">
      <c r="B774" s="21"/>
    </row>
    <row r="775" spans="2:2" ht="14.4" x14ac:dyDescent="0.3">
      <c r="B775" s="21"/>
    </row>
    <row r="776" spans="2:2" ht="14.4" x14ac:dyDescent="0.3">
      <c r="B776" s="21"/>
    </row>
    <row r="777" spans="2:2" ht="14.4" x14ac:dyDescent="0.3">
      <c r="B777" s="21"/>
    </row>
    <row r="778" spans="2:2" ht="14.4" x14ac:dyDescent="0.3">
      <c r="B778" s="21"/>
    </row>
    <row r="779" spans="2:2" ht="14.4" x14ac:dyDescent="0.3">
      <c r="B779" s="21"/>
    </row>
    <row r="780" spans="2:2" ht="14.4" x14ac:dyDescent="0.3">
      <c r="B780" s="21"/>
    </row>
    <row r="781" spans="2:2" ht="14.4" x14ac:dyDescent="0.3">
      <c r="B781" s="21"/>
    </row>
    <row r="782" spans="2:2" ht="14.4" x14ac:dyDescent="0.3">
      <c r="B782" s="21"/>
    </row>
    <row r="783" spans="2:2" ht="14.4" x14ac:dyDescent="0.3">
      <c r="B783" s="21"/>
    </row>
    <row r="784" spans="2:2" ht="14.4" x14ac:dyDescent="0.3">
      <c r="B784" s="21"/>
    </row>
    <row r="785" spans="2:2" ht="14.4" x14ac:dyDescent="0.3">
      <c r="B785" s="21"/>
    </row>
    <row r="786" spans="2:2" ht="14.4" x14ac:dyDescent="0.3">
      <c r="B786" s="21"/>
    </row>
    <row r="787" spans="2:2" ht="14.4" x14ac:dyDescent="0.3">
      <c r="B787" s="21"/>
    </row>
    <row r="788" spans="2:2" ht="14.4" x14ac:dyDescent="0.3">
      <c r="B788" s="21"/>
    </row>
    <row r="789" spans="2:2" ht="14.4" x14ac:dyDescent="0.3">
      <c r="B789" s="21"/>
    </row>
    <row r="790" spans="2:2" ht="14.4" x14ac:dyDescent="0.3">
      <c r="B790" s="21"/>
    </row>
    <row r="791" spans="2:2" ht="14.4" x14ac:dyDescent="0.3">
      <c r="B791" s="21"/>
    </row>
    <row r="792" spans="2:2" ht="14.4" x14ac:dyDescent="0.3">
      <c r="B792" s="21"/>
    </row>
    <row r="793" spans="2:2" ht="14.4" x14ac:dyDescent="0.3">
      <c r="B793" s="21"/>
    </row>
    <row r="794" spans="2:2" ht="14.4" x14ac:dyDescent="0.3">
      <c r="B794" s="21"/>
    </row>
    <row r="795" spans="2:2" ht="14.4" x14ac:dyDescent="0.3">
      <c r="B795" s="21"/>
    </row>
    <row r="796" spans="2:2" ht="14.4" x14ac:dyDescent="0.3">
      <c r="B796" s="21"/>
    </row>
    <row r="797" spans="2:2" ht="14.4" x14ac:dyDescent="0.3">
      <c r="B797" s="21"/>
    </row>
    <row r="798" spans="2:2" ht="14.4" x14ac:dyDescent="0.3">
      <c r="B798" s="21"/>
    </row>
    <row r="799" spans="2:2" ht="14.4" x14ac:dyDescent="0.3">
      <c r="B799" s="21"/>
    </row>
    <row r="800" spans="2:2" ht="14.4" x14ac:dyDescent="0.3">
      <c r="B800" s="21"/>
    </row>
    <row r="801" spans="2:2" ht="14.4" x14ac:dyDescent="0.3">
      <c r="B801" s="21"/>
    </row>
    <row r="802" spans="2:2" ht="14.4" x14ac:dyDescent="0.3">
      <c r="B802" s="21"/>
    </row>
    <row r="803" spans="2:2" ht="14.4" x14ac:dyDescent="0.3">
      <c r="B803" s="21"/>
    </row>
    <row r="804" spans="2:2" ht="14.4" x14ac:dyDescent="0.3">
      <c r="B804" s="21"/>
    </row>
    <row r="805" spans="2:2" ht="14.4" x14ac:dyDescent="0.3">
      <c r="B805" s="21"/>
    </row>
    <row r="806" spans="2:2" ht="14.4" x14ac:dyDescent="0.3">
      <c r="B806" s="21"/>
    </row>
    <row r="807" spans="2:2" ht="14.4" x14ac:dyDescent="0.3">
      <c r="B807" s="21"/>
    </row>
    <row r="808" spans="2:2" ht="14.4" x14ac:dyDescent="0.3">
      <c r="B808" s="21"/>
    </row>
    <row r="809" spans="2:2" ht="14.4" x14ac:dyDescent="0.3">
      <c r="B809" s="21"/>
    </row>
    <row r="810" spans="2:2" ht="14.4" x14ac:dyDescent="0.3">
      <c r="B810" s="21"/>
    </row>
    <row r="811" spans="2:2" ht="14.4" x14ac:dyDescent="0.3">
      <c r="B811" s="21"/>
    </row>
    <row r="812" spans="2:2" ht="14.4" x14ac:dyDescent="0.3">
      <c r="B812" s="21"/>
    </row>
    <row r="813" spans="2:2" ht="14.4" x14ac:dyDescent="0.3">
      <c r="B813" s="21"/>
    </row>
    <row r="814" spans="2:2" ht="14.4" x14ac:dyDescent="0.3">
      <c r="B814" s="21"/>
    </row>
    <row r="815" spans="2:2" ht="14.4" x14ac:dyDescent="0.3">
      <c r="B815" s="21"/>
    </row>
    <row r="816" spans="2:2" ht="14.4" x14ac:dyDescent="0.3">
      <c r="B816" s="21"/>
    </row>
    <row r="817" spans="2:2" ht="14.4" x14ac:dyDescent="0.3">
      <c r="B817" s="21"/>
    </row>
    <row r="818" spans="2:2" ht="14.4" x14ac:dyDescent="0.3">
      <c r="B818" s="21"/>
    </row>
    <row r="819" spans="2:2" ht="14.4" x14ac:dyDescent="0.3">
      <c r="B819" s="21"/>
    </row>
    <row r="820" spans="2:2" ht="14.4" x14ac:dyDescent="0.3">
      <c r="B820" s="21"/>
    </row>
    <row r="821" spans="2:2" ht="14.4" x14ac:dyDescent="0.3">
      <c r="B821" s="21"/>
    </row>
    <row r="822" spans="2:2" ht="14.4" x14ac:dyDescent="0.3">
      <c r="B822" s="21"/>
    </row>
    <row r="823" spans="2:2" ht="14.4" x14ac:dyDescent="0.3">
      <c r="B823" s="21"/>
    </row>
    <row r="824" spans="2:2" ht="14.4" x14ac:dyDescent="0.3">
      <c r="B824" s="21"/>
    </row>
    <row r="825" spans="2:2" ht="14.4" x14ac:dyDescent="0.3">
      <c r="B825" s="21"/>
    </row>
    <row r="826" spans="2:2" ht="14.4" x14ac:dyDescent="0.3">
      <c r="B826" s="21"/>
    </row>
    <row r="827" spans="2:2" ht="14.4" x14ac:dyDescent="0.3">
      <c r="B827" s="21"/>
    </row>
    <row r="828" spans="2:2" ht="14.4" x14ac:dyDescent="0.3">
      <c r="B828" s="21"/>
    </row>
    <row r="829" spans="2:2" ht="14.4" x14ac:dyDescent="0.3">
      <c r="B829" s="21"/>
    </row>
    <row r="830" spans="2:2" ht="14.4" x14ac:dyDescent="0.3">
      <c r="B830" s="21"/>
    </row>
    <row r="831" spans="2:2" ht="14.4" x14ac:dyDescent="0.3">
      <c r="B831" s="21"/>
    </row>
    <row r="832" spans="2:2" ht="14.4" x14ac:dyDescent="0.3">
      <c r="B832" s="21"/>
    </row>
    <row r="833" spans="2:2" ht="14.4" x14ac:dyDescent="0.3">
      <c r="B833" s="21"/>
    </row>
    <row r="834" spans="2:2" ht="14.4" x14ac:dyDescent="0.3">
      <c r="B834" s="21"/>
    </row>
    <row r="835" spans="2:2" ht="14.4" x14ac:dyDescent="0.3">
      <c r="B835" s="21"/>
    </row>
    <row r="836" spans="2:2" ht="14.4" x14ac:dyDescent="0.3">
      <c r="B836" s="21"/>
    </row>
    <row r="837" spans="2:2" ht="14.4" x14ac:dyDescent="0.3">
      <c r="B837" s="21"/>
    </row>
    <row r="838" spans="2:2" ht="14.4" x14ac:dyDescent="0.3">
      <c r="B838" s="21"/>
    </row>
    <row r="839" spans="2:2" ht="14.4" x14ac:dyDescent="0.3">
      <c r="B839" s="21"/>
    </row>
    <row r="840" spans="2:2" ht="14.4" x14ac:dyDescent="0.3">
      <c r="B840" s="21"/>
    </row>
    <row r="841" spans="2:2" ht="14.4" x14ac:dyDescent="0.3">
      <c r="B841" s="21"/>
    </row>
    <row r="842" spans="2:2" ht="14.4" x14ac:dyDescent="0.3">
      <c r="B842" s="21"/>
    </row>
    <row r="843" spans="2:2" ht="14.4" x14ac:dyDescent="0.3">
      <c r="B843" s="21"/>
    </row>
    <row r="844" spans="2:2" ht="14.4" x14ac:dyDescent="0.3">
      <c r="B844" s="21"/>
    </row>
    <row r="845" spans="2:2" ht="14.4" x14ac:dyDescent="0.3">
      <c r="B845" s="21"/>
    </row>
    <row r="846" spans="2:2" ht="14.4" x14ac:dyDescent="0.3">
      <c r="B846" s="21"/>
    </row>
    <row r="847" spans="2:2" ht="14.4" x14ac:dyDescent="0.3">
      <c r="B847" s="21"/>
    </row>
    <row r="848" spans="2:2" ht="14.4" x14ac:dyDescent="0.3">
      <c r="B848" s="21"/>
    </row>
    <row r="849" spans="2:2" ht="14.4" x14ac:dyDescent="0.3">
      <c r="B849" s="21"/>
    </row>
    <row r="850" spans="2:2" ht="14.4" x14ac:dyDescent="0.3">
      <c r="B850" s="21"/>
    </row>
    <row r="851" spans="2:2" ht="14.4" x14ac:dyDescent="0.3">
      <c r="B851" s="21"/>
    </row>
    <row r="852" spans="2:2" ht="14.4" x14ac:dyDescent="0.3">
      <c r="B852" s="21"/>
    </row>
    <row r="853" spans="2:2" ht="14.4" x14ac:dyDescent="0.3">
      <c r="B853" s="21"/>
    </row>
    <row r="854" spans="2:2" ht="14.4" x14ac:dyDescent="0.3">
      <c r="B854" s="21"/>
    </row>
    <row r="855" spans="2:2" ht="14.4" x14ac:dyDescent="0.3">
      <c r="B855" s="21"/>
    </row>
    <row r="856" spans="2:2" ht="14.4" x14ac:dyDescent="0.3">
      <c r="B856" s="21"/>
    </row>
    <row r="857" spans="2:2" ht="14.4" x14ac:dyDescent="0.3">
      <c r="B857" s="21"/>
    </row>
    <row r="858" spans="2:2" ht="14.4" x14ac:dyDescent="0.3">
      <c r="B858" s="21"/>
    </row>
    <row r="859" spans="2:2" ht="14.4" x14ac:dyDescent="0.3">
      <c r="B859" s="21"/>
    </row>
    <row r="860" spans="2:2" ht="14.4" x14ac:dyDescent="0.3">
      <c r="B860" s="21"/>
    </row>
    <row r="861" spans="2:2" ht="14.4" x14ac:dyDescent="0.3">
      <c r="B861" s="21"/>
    </row>
    <row r="862" spans="2:2" ht="14.4" x14ac:dyDescent="0.3">
      <c r="B862" s="21"/>
    </row>
    <row r="863" spans="2:2" ht="14.4" x14ac:dyDescent="0.3">
      <c r="B863" s="21"/>
    </row>
    <row r="864" spans="2:2" ht="14.4" x14ac:dyDescent="0.3">
      <c r="B864" s="21"/>
    </row>
    <row r="865" spans="2:2" ht="14.4" x14ac:dyDescent="0.3">
      <c r="B865" s="21"/>
    </row>
    <row r="866" spans="2:2" ht="14.4" x14ac:dyDescent="0.3">
      <c r="B866" s="21"/>
    </row>
    <row r="867" spans="2:2" ht="14.4" x14ac:dyDescent="0.3">
      <c r="B867" s="21"/>
    </row>
    <row r="868" spans="2:2" ht="14.4" x14ac:dyDescent="0.3">
      <c r="B868" s="21"/>
    </row>
    <row r="869" spans="2:2" ht="14.4" x14ac:dyDescent="0.3">
      <c r="B869" s="21"/>
    </row>
    <row r="870" spans="2:2" ht="14.4" x14ac:dyDescent="0.3">
      <c r="B870" s="21"/>
    </row>
    <row r="871" spans="2:2" ht="14.4" x14ac:dyDescent="0.3">
      <c r="B871" s="21"/>
    </row>
    <row r="872" spans="2:2" ht="14.4" x14ac:dyDescent="0.3">
      <c r="B872" s="21"/>
    </row>
    <row r="873" spans="2:2" ht="14.4" x14ac:dyDescent="0.3">
      <c r="B873" s="21"/>
    </row>
    <row r="874" spans="2:2" ht="14.4" x14ac:dyDescent="0.3">
      <c r="B874" s="21"/>
    </row>
    <row r="875" spans="2:2" ht="14.4" x14ac:dyDescent="0.3">
      <c r="B875" s="21"/>
    </row>
    <row r="876" spans="2:2" ht="14.4" x14ac:dyDescent="0.3">
      <c r="B876" s="21"/>
    </row>
    <row r="877" spans="2:2" ht="14.4" x14ac:dyDescent="0.3">
      <c r="B877" s="21"/>
    </row>
    <row r="878" spans="2:2" ht="14.4" x14ac:dyDescent="0.3">
      <c r="B878" s="21"/>
    </row>
    <row r="879" spans="2:2" ht="14.4" x14ac:dyDescent="0.3">
      <c r="B879" s="21"/>
    </row>
    <row r="880" spans="2:2" ht="14.4" x14ac:dyDescent="0.3">
      <c r="B880" s="21"/>
    </row>
    <row r="881" spans="2:2" ht="14.4" x14ac:dyDescent="0.3">
      <c r="B881" s="21"/>
    </row>
    <row r="882" spans="2:2" ht="14.4" x14ac:dyDescent="0.3">
      <c r="B882" s="21"/>
    </row>
    <row r="883" spans="2:2" ht="14.4" x14ac:dyDescent="0.3">
      <c r="B883" s="21"/>
    </row>
    <row r="884" spans="2:2" ht="14.4" x14ac:dyDescent="0.3">
      <c r="B884" s="21"/>
    </row>
    <row r="885" spans="2:2" ht="14.4" x14ac:dyDescent="0.3">
      <c r="B885" s="21"/>
    </row>
    <row r="886" spans="2:2" ht="14.4" x14ac:dyDescent="0.3">
      <c r="B886" s="21"/>
    </row>
    <row r="887" spans="2:2" ht="14.4" x14ac:dyDescent="0.3">
      <c r="B887" s="21"/>
    </row>
    <row r="888" spans="2:2" ht="14.4" x14ac:dyDescent="0.3">
      <c r="B888" s="21"/>
    </row>
    <row r="889" spans="2:2" ht="14.4" x14ac:dyDescent="0.3">
      <c r="B889" s="21"/>
    </row>
    <row r="890" spans="2:2" ht="14.4" x14ac:dyDescent="0.3">
      <c r="B890" s="21"/>
    </row>
    <row r="891" spans="2:2" ht="14.4" x14ac:dyDescent="0.3">
      <c r="B891" s="21"/>
    </row>
    <row r="892" spans="2:2" ht="14.4" x14ac:dyDescent="0.3">
      <c r="B892" s="21"/>
    </row>
    <row r="893" spans="2:2" ht="14.4" x14ac:dyDescent="0.3">
      <c r="B893" s="21"/>
    </row>
    <row r="894" spans="2:2" ht="14.4" x14ac:dyDescent="0.3">
      <c r="B894" s="21"/>
    </row>
    <row r="895" spans="2:2" ht="14.4" x14ac:dyDescent="0.3">
      <c r="B895" s="21"/>
    </row>
    <row r="896" spans="2:2" ht="14.4" x14ac:dyDescent="0.3">
      <c r="B896" s="21"/>
    </row>
    <row r="897" spans="2:2" ht="14.4" x14ac:dyDescent="0.3">
      <c r="B897" s="21"/>
    </row>
    <row r="898" spans="2:2" ht="14.4" x14ac:dyDescent="0.3">
      <c r="B898" s="21"/>
    </row>
    <row r="899" spans="2:2" ht="14.4" x14ac:dyDescent="0.3">
      <c r="B899" s="21"/>
    </row>
    <row r="900" spans="2:2" ht="14.4" x14ac:dyDescent="0.3">
      <c r="B900" s="21"/>
    </row>
    <row r="901" spans="2:2" ht="14.4" x14ac:dyDescent="0.3">
      <c r="B901" s="21"/>
    </row>
    <row r="902" spans="2:2" ht="14.4" x14ac:dyDescent="0.3">
      <c r="B902" s="21"/>
    </row>
    <row r="903" spans="2:2" ht="14.4" x14ac:dyDescent="0.3">
      <c r="B903" s="21"/>
    </row>
    <row r="904" spans="2:2" ht="14.4" x14ac:dyDescent="0.3">
      <c r="B904" s="21"/>
    </row>
    <row r="905" spans="2:2" ht="14.4" x14ac:dyDescent="0.3">
      <c r="B905" s="21"/>
    </row>
    <row r="906" spans="2:2" ht="14.4" x14ac:dyDescent="0.3">
      <c r="B906" s="21"/>
    </row>
    <row r="907" spans="2:2" ht="14.4" x14ac:dyDescent="0.3">
      <c r="B907" s="21"/>
    </row>
    <row r="908" spans="2:2" ht="14.4" x14ac:dyDescent="0.3">
      <c r="B908" s="21"/>
    </row>
    <row r="909" spans="2:2" ht="14.4" x14ac:dyDescent="0.3">
      <c r="B909" s="21"/>
    </row>
    <row r="910" spans="2:2" ht="14.4" x14ac:dyDescent="0.3">
      <c r="B910" s="21"/>
    </row>
    <row r="911" spans="2:2" ht="14.4" x14ac:dyDescent="0.3">
      <c r="B911" s="21"/>
    </row>
    <row r="912" spans="2:2" ht="14.4" x14ac:dyDescent="0.3">
      <c r="B912" s="21"/>
    </row>
    <row r="913" spans="2:2" ht="14.4" x14ac:dyDescent="0.3">
      <c r="B913" s="21"/>
    </row>
    <row r="914" spans="2:2" ht="14.4" x14ac:dyDescent="0.3">
      <c r="B914" s="21"/>
    </row>
    <row r="915" spans="2:2" ht="14.4" x14ac:dyDescent="0.3">
      <c r="B915" s="21"/>
    </row>
    <row r="916" spans="2:2" ht="14.4" x14ac:dyDescent="0.3">
      <c r="B916" s="21"/>
    </row>
    <row r="917" spans="2:2" ht="14.4" x14ac:dyDescent="0.3">
      <c r="B917" s="21"/>
    </row>
    <row r="918" spans="2:2" ht="14.4" x14ac:dyDescent="0.3">
      <c r="B918" s="21"/>
    </row>
    <row r="919" spans="2:2" ht="14.4" x14ac:dyDescent="0.3">
      <c r="B919" s="21"/>
    </row>
    <row r="920" spans="2:2" ht="14.4" x14ac:dyDescent="0.3">
      <c r="B920" s="21"/>
    </row>
    <row r="921" spans="2:2" ht="14.4" x14ac:dyDescent="0.3">
      <c r="B921" s="21"/>
    </row>
    <row r="922" spans="2:2" ht="14.4" x14ac:dyDescent="0.3">
      <c r="B922" s="21"/>
    </row>
    <row r="923" spans="2:2" ht="14.4" x14ac:dyDescent="0.3">
      <c r="B923" s="21"/>
    </row>
    <row r="924" spans="2:2" ht="14.4" x14ac:dyDescent="0.3">
      <c r="B924" s="21"/>
    </row>
    <row r="925" spans="2:2" ht="14.4" x14ac:dyDescent="0.3">
      <c r="B925" s="21"/>
    </row>
    <row r="926" spans="2:2" ht="14.4" x14ac:dyDescent="0.3">
      <c r="B926" s="21"/>
    </row>
    <row r="927" spans="2:2" ht="14.4" x14ac:dyDescent="0.3">
      <c r="B927" s="21"/>
    </row>
    <row r="928" spans="2:2" ht="14.4" x14ac:dyDescent="0.3">
      <c r="B928" s="21"/>
    </row>
    <row r="929" spans="2:2" ht="14.4" x14ac:dyDescent="0.3">
      <c r="B929" s="21"/>
    </row>
    <row r="930" spans="2:2" ht="14.4" x14ac:dyDescent="0.3">
      <c r="B930" s="21"/>
    </row>
    <row r="931" spans="2:2" ht="14.4" x14ac:dyDescent="0.3">
      <c r="B931" s="21"/>
    </row>
    <row r="932" spans="2:2" ht="14.4" x14ac:dyDescent="0.3">
      <c r="B932" s="21"/>
    </row>
    <row r="933" spans="2:2" ht="14.4" x14ac:dyDescent="0.3">
      <c r="B933" s="21"/>
    </row>
    <row r="934" spans="2:2" ht="14.4" x14ac:dyDescent="0.3">
      <c r="B934" s="21"/>
    </row>
    <row r="935" spans="2:2" ht="14.4" x14ac:dyDescent="0.3">
      <c r="B935" s="21"/>
    </row>
    <row r="936" spans="2:2" ht="14.4" x14ac:dyDescent="0.3">
      <c r="B936" s="21"/>
    </row>
    <row r="937" spans="2:2" ht="14.4" x14ac:dyDescent="0.3">
      <c r="B937" s="21"/>
    </row>
    <row r="938" spans="2:2" ht="14.4" x14ac:dyDescent="0.3">
      <c r="B938" s="21"/>
    </row>
    <row r="939" spans="2:2" ht="14.4" x14ac:dyDescent="0.3">
      <c r="B939" s="21"/>
    </row>
    <row r="940" spans="2:2" ht="14.4" x14ac:dyDescent="0.3">
      <c r="B940" s="21"/>
    </row>
    <row r="941" spans="2:2" ht="14.4" x14ac:dyDescent="0.3">
      <c r="B941" s="21"/>
    </row>
    <row r="942" spans="2:2" ht="14.4" x14ac:dyDescent="0.3">
      <c r="B942" s="21"/>
    </row>
    <row r="943" spans="2:2" ht="14.4" x14ac:dyDescent="0.3">
      <c r="B943" s="21"/>
    </row>
    <row r="944" spans="2:2" ht="14.4" x14ac:dyDescent="0.3">
      <c r="B944" s="21"/>
    </row>
    <row r="945" spans="2:2" ht="14.4" x14ac:dyDescent="0.3">
      <c r="B945" s="21"/>
    </row>
    <row r="946" spans="2:2" ht="14.4" x14ac:dyDescent="0.3">
      <c r="B946" s="21"/>
    </row>
    <row r="947" spans="2:2" ht="14.4" x14ac:dyDescent="0.3">
      <c r="B947" s="21"/>
    </row>
    <row r="948" spans="2:2" ht="14.4" x14ac:dyDescent="0.3">
      <c r="B948" s="21"/>
    </row>
    <row r="949" spans="2:2" ht="14.4" x14ac:dyDescent="0.3">
      <c r="B949" s="21"/>
    </row>
    <row r="950" spans="2:2" ht="14.4" x14ac:dyDescent="0.3">
      <c r="B950" s="21"/>
    </row>
    <row r="951" spans="2:2" ht="14.4" x14ac:dyDescent="0.3">
      <c r="B951" s="21"/>
    </row>
    <row r="952" spans="2:2" ht="14.4" x14ac:dyDescent="0.3">
      <c r="B952" s="21"/>
    </row>
    <row r="953" spans="2:2" ht="14.4" x14ac:dyDescent="0.3">
      <c r="B953" s="21"/>
    </row>
    <row r="954" spans="2:2" ht="14.4" x14ac:dyDescent="0.3">
      <c r="B954" s="21"/>
    </row>
    <row r="955" spans="2:2" ht="14.4" x14ac:dyDescent="0.3">
      <c r="B955" s="21"/>
    </row>
    <row r="956" spans="2:2" ht="14.4" x14ac:dyDescent="0.3">
      <c r="B956" s="21"/>
    </row>
    <row r="957" spans="2:2" ht="14.4" x14ac:dyDescent="0.3">
      <c r="B957" s="21"/>
    </row>
    <row r="958" spans="2:2" ht="14.4" x14ac:dyDescent="0.3">
      <c r="B958" s="21"/>
    </row>
    <row r="959" spans="2:2" ht="14.4" x14ac:dyDescent="0.3">
      <c r="B959" s="21"/>
    </row>
    <row r="960" spans="2:2" ht="14.4" x14ac:dyDescent="0.3">
      <c r="B960" s="21"/>
    </row>
    <row r="961" spans="2:2" ht="14.4" x14ac:dyDescent="0.3">
      <c r="B961" s="21"/>
    </row>
    <row r="962" spans="2:2" ht="14.4" x14ac:dyDescent="0.3">
      <c r="B962" s="21"/>
    </row>
    <row r="963" spans="2:2" ht="14.4" x14ac:dyDescent="0.3">
      <c r="B963" s="21"/>
    </row>
    <row r="964" spans="2:2" ht="14.4" x14ac:dyDescent="0.3">
      <c r="B964" s="21"/>
    </row>
    <row r="965" spans="2:2" ht="14.4" x14ac:dyDescent="0.3">
      <c r="B965" s="21"/>
    </row>
    <row r="966" spans="2:2" ht="14.4" x14ac:dyDescent="0.3">
      <c r="B966" s="21"/>
    </row>
    <row r="967" spans="2:2" ht="14.4" x14ac:dyDescent="0.3">
      <c r="B967" s="21"/>
    </row>
    <row r="968" spans="2:2" ht="14.4" x14ac:dyDescent="0.3">
      <c r="B968" s="21"/>
    </row>
    <row r="969" spans="2:2" ht="14.4" x14ac:dyDescent="0.3">
      <c r="B969" s="21"/>
    </row>
    <row r="970" spans="2:2" ht="14.4" x14ac:dyDescent="0.3">
      <c r="B970" s="21"/>
    </row>
    <row r="971" spans="2:2" ht="14.4" x14ac:dyDescent="0.3">
      <c r="B971" s="21"/>
    </row>
    <row r="972" spans="2:2" ht="14.4" x14ac:dyDescent="0.3">
      <c r="B972" s="21"/>
    </row>
    <row r="973" spans="2:2" ht="14.4" x14ac:dyDescent="0.3">
      <c r="B973" s="21"/>
    </row>
    <row r="974" spans="2:2" ht="14.4" x14ac:dyDescent="0.3">
      <c r="B974" s="21"/>
    </row>
    <row r="975" spans="2:2" ht="14.4" x14ac:dyDescent="0.3">
      <c r="B975" s="21"/>
    </row>
    <row r="976" spans="2:2" ht="14.4" x14ac:dyDescent="0.3">
      <c r="B976" s="21"/>
    </row>
    <row r="977" spans="2:2" ht="14.4" x14ac:dyDescent="0.3">
      <c r="B977" s="21"/>
    </row>
    <row r="978" spans="2:2" ht="14.4" x14ac:dyDescent="0.3">
      <c r="B978" s="21"/>
    </row>
    <row r="979" spans="2:2" ht="14.4" x14ac:dyDescent="0.3">
      <c r="B979" s="21"/>
    </row>
    <row r="980" spans="2:2" ht="14.4" x14ac:dyDescent="0.3">
      <c r="B980" s="21"/>
    </row>
    <row r="981" spans="2:2" ht="14.4" x14ac:dyDescent="0.3">
      <c r="B981" s="21"/>
    </row>
    <row r="982" spans="2:2" ht="14.4" x14ac:dyDescent="0.3">
      <c r="B982" s="21"/>
    </row>
    <row r="983" spans="2:2" ht="14.4" x14ac:dyDescent="0.3">
      <c r="B983" s="21"/>
    </row>
    <row r="984" spans="2:2" ht="14.4" x14ac:dyDescent="0.3">
      <c r="B984" s="21"/>
    </row>
    <row r="985" spans="2:2" ht="14.4" x14ac:dyDescent="0.3">
      <c r="B985" s="21"/>
    </row>
    <row r="986" spans="2:2" ht="14.4" x14ac:dyDescent="0.3">
      <c r="B986" s="21"/>
    </row>
    <row r="987" spans="2:2" ht="14.4" x14ac:dyDescent="0.3">
      <c r="B987" s="21"/>
    </row>
    <row r="988" spans="2:2" ht="14.4" x14ac:dyDescent="0.3">
      <c r="B988" s="21"/>
    </row>
    <row r="989" spans="2:2" ht="14.4" x14ac:dyDescent="0.3">
      <c r="B989" s="21"/>
    </row>
    <row r="990" spans="2:2" ht="14.4" x14ac:dyDescent="0.3">
      <c r="B990" s="21"/>
    </row>
    <row r="991" spans="2:2" ht="14.4" x14ac:dyDescent="0.3">
      <c r="B991" s="21"/>
    </row>
    <row r="992" spans="2:2" ht="14.4" x14ac:dyDescent="0.3">
      <c r="B992" s="21"/>
    </row>
    <row r="993" spans="2:2" ht="14.4" x14ac:dyDescent="0.3">
      <c r="B993" s="21"/>
    </row>
    <row r="994" spans="2:2" ht="14.4" x14ac:dyDescent="0.3">
      <c r="B994" s="21"/>
    </row>
    <row r="995" spans="2:2" ht="14.4" x14ac:dyDescent="0.3">
      <c r="B995" s="21"/>
    </row>
    <row r="996" spans="2:2" ht="14.4" x14ac:dyDescent="0.3">
      <c r="B996" s="21"/>
    </row>
    <row r="997" spans="2:2" ht="14.4" x14ac:dyDescent="0.3">
      <c r="B997" s="21"/>
    </row>
    <row r="998" spans="2:2" ht="14.4" x14ac:dyDescent="0.3">
      <c r="B998" s="21"/>
    </row>
    <row r="999" spans="2:2" ht="14.4" x14ac:dyDescent="0.3">
      <c r="B999" s="21"/>
    </row>
    <row r="1000" spans="2:2" ht="14.4" x14ac:dyDescent="0.3">
      <c r="B1000" s="21"/>
    </row>
    <row r="1001" spans="2:2" ht="14.4" x14ac:dyDescent="0.3">
      <c r="B1001" s="21"/>
    </row>
    <row r="1002" spans="2:2" ht="14.4" x14ac:dyDescent="0.3">
      <c r="B1002" s="21"/>
    </row>
    <row r="1003" spans="2:2" ht="14.4" x14ac:dyDescent="0.3">
      <c r="B1003" s="21"/>
    </row>
  </sheetData>
  <autoFilter ref="T33:X38" xr:uid="{00000000-0009-0000-0000-000002000000}">
    <sortState xmlns:xlrd2="http://schemas.microsoft.com/office/spreadsheetml/2017/richdata2" ref="T33:X38">
      <sortCondition descending="1" ref="U33:U38"/>
    </sortState>
  </autoFilter>
  <mergeCells count="1">
    <mergeCell ref="R13:R15"/>
  </mergeCells>
  <conditionalFormatting sqref="C27:C37 D28">
    <cfRule type="colorScale" priority="1">
      <colorScale>
        <cfvo type="min"/>
        <cfvo type="max"/>
        <color rgb="FFFFFFFF"/>
        <color rgb="FF57BB8A"/>
      </colorScale>
    </cfRule>
  </conditionalFormatting>
  <conditionalFormatting sqref="C23:D23 C25:E25 G25:H25 K25:L25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9:E2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27:D37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27:E35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7:F37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7:H32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7:J32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3:L13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4:L14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5:L15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8:L18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27:L37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21:Q31 AA21:AC28 V27:V28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31:Q38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31:R38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21:V28 AA28:AC28 Q31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34:W36">
    <cfRule type="colorScale" priority="8">
      <colorScale>
        <cfvo type="min"/>
        <cfvo type="max"/>
        <color rgb="FFFFFFFF"/>
        <color rgb="FF57BB8A"/>
      </colorScale>
    </cfRule>
  </conditionalFormatting>
  <conditionalFormatting sqref="X34:X36">
    <cfRule type="colorScale" priority="9">
      <colorScale>
        <cfvo type="min"/>
        <cfvo type="max"/>
        <color rgb="FFFFFFFF"/>
        <color rgb="FF57BB8A"/>
      </colorScale>
    </cfRule>
  </conditionalFormatting>
  <conditionalFormatting sqref="AC34:AC44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7AAB-DB33-43F0-ABE7-FFF374C2EEBB}">
  <sheetPr>
    <outlinePr summaryBelow="0" summaryRight="0"/>
  </sheetPr>
  <dimension ref="A1:AO1000"/>
  <sheetViews>
    <sheetView workbookViewId="0"/>
  </sheetViews>
  <sheetFormatPr defaultColWidth="14" defaultRowHeight="15" customHeight="1" x14ac:dyDescent="0.3"/>
  <cols>
    <col min="1" max="6" width="14" customWidth="1"/>
    <col min="20" max="21" width="16.77734375" customWidth="1"/>
    <col min="22" max="23" width="15.44140625" customWidth="1"/>
    <col min="26" max="26" width="15.77734375" customWidth="1"/>
    <col min="27" max="27" width="16.6640625" customWidth="1"/>
    <col min="28" max="28" width="16.88671875" customWidth="1"/>
    <col min="33" max="33" width="15.44140625" customWidth="1"/>
  </cols>
  <sheetData>
    <row r="1" spans="1:41" ht="15.75" customHeight="1" x14ac:dyDescent="0.3">
      <c r="A1" s="86" t="s">
        <v>135</v>
      </c>
      <c r="B1" s="86" t="s">
        <v>136</v>
      </c>
      <c r="C1" s="86" t="s">
        <v>137</v>
      </c>
      <c r="D1" s="86" t="s">
        <v>138</v>
      </c>
      <c r="E1" s="86" t="s">
        <v>139</v>
      </c>
      <c r="F1" s="86" t="s">
        <v>140</v>
      </c>
      <c r="G1" s="86" t="s">
        <v>141</v>
      </c>
      <c r="H1" s="86" t="s">
        <v>142</v>
      </c>
      <c r="I1" s="86" t="s">
        <v>84</v>
      </c>
      <c r="J1" s="86" t="s">
        <v>143</v>
      </c>
      <c r="K1" s="86" t="s">
        <v>144</v>
      </c>
      <c r="L1" s="86" t="s">
        <v>145</v>
      </c>
      <c r="M1" s="86" t="s">
        <v>9</v>
      </c>
      <c r="N1" s="86" t="s">
        <v>146</v>
      </c>
      <c r="O1" s="86" t="s">
        <v>55</v>
      </c>
      <c r="P1" s="86" t="s">
        <v>147</v>
      </c>
      <c r="Q1" s="86" t="s">
        <v>148</v>
      </c>
      <c r="R1" s="86" t="s">
        <v>149</v>
      </c>
      <c r="S1" s="86" t="s">
        <v>150</v>
      </c>
      <c r="T1" s="86" t="s">
        <v>151</v>
      </c>
      <c r="U1" s="86" t="s">
        <v>152</v>
      </c>
      <c r="V1" s="86" t="s">
        <v>153</v>
      </c>
      <c r="W1" s="86" t="s">
        <v>154</v>
      </c>
      <c r="X1" s="86" t="s">
        <v>89</v>
      </c>
      <c r="Y1" s="86" t="s">
        <v>155</v>
      </c>
      <c r="Z1" s="87" t="s">
        <v>156</v>
      </c>
      <c r="AA1" s="87" t="s">
        <v>157</v>
      </c>
      <c r="AB1" s="87" t="s">
        <v>158</v>
      </c>
      <c r="AC1" s="87" t="s">
        <v>65</v>
      </c>
      <c r="AD1" s="87" t="s">
        <v>38</v>
      </c>
      <c r="AE1" s="87" t="s">
        <v>159</v>
      </c>
      <c r="AF1" s="87" t="s">
        <v>160</v>
      </c>
      <c r="AG1" s="87" t="s">
        <v>36</v>
      </c>
      <c r="AH1" s="87" t="s">
        <v>37</v>
      </c>
      <c r="AI1" s="87" t="s">
        <v>39</v>
      </c>
      <c r="AJ1" s="87" t="s">
        <v>161</v>
      </c>
      <c r="AK1" s="87" t="s">
        <v>40</v>
      </c>
      <c r="AL1" s="87" t="s">
        <v>162</v>
      </c>
      <c r="AM1" s="87" t="s">
        <v>42</v>
      </c>
      <c r="AN1" s="87" t="s">
        <v>43</v>
      </c>
      <c r="AO1" s="87" t="s">
        <v>44</v>
      </c>
    </row>
    <row r="2" spans="1:41" ht="15.75" customHeight="1" x14ac:dyDescent="0.3">
      <c r="A2" s="88">
        <v>543265</v>
      </c>
      <c r="B2" s="89" t="s">
        <v>163</v>
      </c>
      <c r="C2" s="90">
        <f ca="1">IFERROR(__xludf.DUMMYFUNCTION("GOOGLEFINANCE(""bom:""&amp;A2,""price"")"),409.3)</f>
        <v>409.3</v>
      </c>
      <c r="D2" s="91">
        <f ca="1">IFERROR(__xludf.DUMMYFUNCTION("GOOGLEFINANCE(""bom:""&amp;A2,""marketcap"")/10000000"),12752.9598)</f>
        <v>12752.959800000001</v>
      </c>
      <c r="E2" s="92">
        <v>2183</v>
      </c>
      <c r="F2" s="92">
        <v>1651</v>
      </c>
      <c r="G2" s="92">
        <v>3550</v>
      </c>
      <c r="H2" s="92">
        <v>1826</v>
      </c>
      <c r="I2" s="92">
        <v>320</v>
      </c>
      <c r="J2" s="92">
        <v>1722</v>
      </c>
      <c r="K2" s="92">
        <v>0</v>
      </c>
      <c r="L2" s="92">
        <v>1271</v>
      </c>
      <c r="M2" s="92">
        <v>10</v>
      </c>
      <c r="N2" s="92"/>
      <c r="O2" s="90">
        <v>7.63</v>
      </c>
      <c r="P2" s="93">
        <v>0.42099999999999999</v>
      </c>
      <c r="Q2" s="90">
        <v>1025</v>
      </c>
      <c r="R2" s="90">
        <v>1963</v>
      </c>
      <c r="S2" s="90">
        <v>189</v>
      </c>
      <c r="T2" s="90">
        <v>1735</v>
      </c>
      <c r="U2" s="90">
        <v>1260</v>
      </c>
      <c r="V2" s="90">
        <v>169</v>
      </c>
      <c r="W2" s="90">
        <v>113</v>
      </c>
      <c r="X2" s="92">
        <v>6</v>
      </c>
      <c r="Y2" s="92">
        <v>1745</v>
      </c>
      <c r="Z2" s="93">
        <v>0.377</v>
      </c>
      <c r="AA2" s="94">
        <v>0.5</v>
      </c>
      <c r="AB2" s="93">
        <v>0.13880000000000001</v>
      </c>
      <c r="AC2" s="93">
        <v>9.6299999999999997E-2</v>
      </c>
      <c r="AD2" s="91">
        <v>37</v>
      </c>
      <c r="AE2" s="95">
        <v>1.3</v>
      </c>
      <c r="AF2" s="96">
        <v>236.33</v>
      </c>
      <c r="AG2" s="97">
        <v>0</v>
      </c>
      <c r="AH2" s="96">
        <v>0.51</v>
      </c>
      <c r="AI2" s="93">
        <v>0.10979999999999999</v>
      </c>
      <c r="AJ2" s="96">
        <v>0.59</v>
      </c>
      <c r="AK2" s="93">
        <v>5.3199999999999997E-2</v>
      </c>
      <c r="AL2" s="90">
        <v>7.63</v>
      </c>
      <c r="AM2" s="93">
        <v>1.9099999999999999E-2</v>
      </c>
      <c r="AN2" s="91">
        <v>54</v>
      </c>
      <c r="AO2" s="95">
        <v>7.4</v>
      </c>
    </row>
    <row r="3" spans="1:41" ht="15.75" customHeight="1" x14ac:dyDescent="0.3">
      <c r="A3" s="88">
        <v>543228</v>
      </c>
      <c r="B3" s="89" t="s">
        <v>24</v>
      </c>
      <c r="C3" s="90">
        <f ca="1">IFERROR(__xludf.DUMMYFUNCTION("GOOGLEFINANCE(""bom:""&amp;A3,""price"")"),1439.25)</f>
        <v>1439.25</v>
      </c>
      <c r="D3" s="91">
        <f ca="1">IFERROR(__xludf.DUMMYFUNCTION("GOOGLEFINANCE(""bom:""&amp;A3,""marketcap"")/10000000"),8653.9310355)</f>
        <v>8653.9310354999998</v>
      </c>
      <c r="E3" s="92">
        <v>1972</v>
      </c>
      <c r="F3" s="92">
        <v>959</v>
      </c>
      <c r="G3" s="92">
        <v>3166</v>
      </c>
      <c r="H3" s="92">
        <v>1158</v>
      </c>
      <c r="I3" s="92">
        <v>62</v>
      </c>
      <c r="J3" s="92">
        <v>2008</v>
      </c>
      <c r="K3" s="92">
        <v>149</v>
      </c>
      <c r="L3" s="92">
        <v>896</v>
      </c>
      <c r="M3" s="92">
        <v>10</v>
      </c>
      <c r="N3" s="90"/>
      <c r="O3" s="90">
        <v>61.07</v>
      </c>
      <c r="P3" s="93">
        <v>0.32829999999999998</v>
      </c>
      <c r="Q3" s="90">
        <v>509</v>
      </c>
      <c r="R3" s="90">
        <v>3569</v>
      </c>
      <c r="S3" s="90">
        <v>333</v>
      </c>
      <c r="T3" s="90">
        <v>3006</v>
      </c>
      <c r="U3" s="90">
        <v>2560</v>
      </c>
      <c r="V3" s="90">
        <v>293</v>
      </c>
      <c r="W3" s="90">
        <v>229</v>
      </c>
      <c r="X3" s="92">
        <v>20</v>
      </c>
      <c r="Y3" s="92">
        <v>3227</v>
      </c>
      <c r="Z3" s="93">
        <v>0.17419999999999999</v>
      </c>
      <c r="AA3" s="94">
        <v>0.28000000000000003</v>
      </c>
      <c r="AB3" s="93">
        <v>0.4763</v>
      </c>
      <c r="AC3" s="93">
        <v>9.3299999999999994E-2</v>
      </c>
      <c r="AD3" s="91">
        <v>18</v>
      </c>
      <c r="AE3" s="95">
        <v>2.1</v>
      </c>
      <c r="AF3" s="96">
        <v>91.63</v>
      </c>
      <c r="AG3" s="97">
        <v>7.0000000000000007E-2</v>
      </c>
      <c r="AH3" s="96">
        <v>0.37</v>
      </c>
      <c r="AI3" s="93">
        <v>0.1658</v>
      </c>
      <c r="AJ3" s="96">
        <v>5.37</v>
      </c>
      <c r="AK3" s="93">
        <v>0.1052</v>
      </c>
      <c r="AL3" s="90">
        <v>61.07</v>
      </c>
      <c r="AM3" s="93">
        <v>3.8300000000000001E-2</v>
      </c>
      <c r="AN3" s="91">
        <v>324</v>
      </c>
      <c r="AO3" s="95">
        <v>4.9000000000000004</v>
      </c>
    </row>
    <row r="4" spans="1:41" ht="15.75" customHeight="1" x14ac:dyDescent="0.3">
      <c r="A4" s="88">
        <v>532374</v>
      </c>
      <c r="B4" s="89" t="s">
        <v>164</v>
      </c>
      <c r="C4" s="90">
        <f ca="1">IFERROR(__xludf.DUMMYFUNCTION("GOOGLEFINANCE(""bom:""&amp;A4,""price"")"),117.8)</f>
        <v>117.8</v>
      </c>
      <c r="D4" s="91">
        <f ca="1">IFERROR(__xludf.DUMMYFUNCTION("GOOGLEFINANCE(""bom:""&amp;A4,""marketcap"")/10000000"),5692.2256)</f>
        <v>5692.2255999999998</v>
      </c>
      <c r="E4" s="92">
        <v>4803</v>
      </c>
      <c r="F4" s="92">
        <v>5123</v>
      </c>
      <c r="G4" s="92">
        <v>8454</v>
      </c>
      <c r="H4" s="92">
        <v>6258</v>
      </c>
      <c r="I4" s="92">
        <v>80</v>
      </c>
      <c r="J4" s="92">
        <v>2136</v>
      </c>
      <c r="K4" s="92">
        <v>3531</v>
      </c>
      <c r="L4" s="92">
        <v>1591</v>
      </c>
      <c r="M4" s="92">
        <v>2</v>
      </c>
      <c r="N4" s="90"/>
      <c r="O4" s="90">
        <v>2.42</v>
      </c>
      <c r="P4" s="93">
        <v>0.17810000000000001</v>
      </c>
      <c r="Q4" s="90">
        <v>3205</v>
      </c>
      <c r="R4" s="90">
        <v>6925</v>
      </c>
      <c r="S4" s="90">
        <v>127</v>
      </c>
      <c r="T4" s="90">
        <v>4338</v>
      </c>
      <c r="U4" s="90">
        <v>5054</v>
      </c>
      <c r="V4" s="90">
        <v>30</v>
      </c>
      <c r="W4" s="90">
        <v>74</v>
      </c>
      <c r="X4" s="92">
        <v>311</v>
      </c>
      <c r="Y4" s="92">
        <v>6655</v>
      </c>
      <c r="Z4" s="93">
        <v>-0.14169999999999999</v>
      </c>
      <c r="AA4" s="94">
        <v>-0.59</v>
      </c>
      <c r="AB4" s="93">
        <v>0.1666</v>
      </c>
      <c r="AC4" s="93">
        <v>1.83E-2</v>
      </c>
      <c r="AD4" s="91">
        <v>2</v>
      </c>
      <c r="AE4" s="95">
        <v>0.9</v>
      </c>
      <c r="AF4" s="96">
        <v>83.86</v>
      </c>
      <c r="AG4" s="97">
        <v>1.65</v>
      </c>
      <c r="AH4" s="96">
        <v>0.74</v>
      </c>
      <c r="AI4" s="93">
        <v>5.9499999999999997E-2</v>
      </c>
      <c r="AJ4" s="96">
        <v>1.59</v>
      </c>
      <c r="AK4" s="93">
        <v>1.4999999999999999E-2</v>
      </c>
      <c r="AL4" s="90">
        <v>2.42</v>
      </c>
      <c r="AM4" s="93">
        <v>1.78E-2</v>
      </c>
      <c r="AN4" s="91">
        <v>53</v>
      </c>
      <c r="AO4" s="95">
        <v>2.5</v>
      </c>
    </row>
    <row r="5" spans="1:41" ht="15.75" customHeight="1" x14ac:dyDescent="0.3">
      <c r="A5" s="88">
        <v>532944</v>
      </c>
      <c r="B5" s="98" t="s">
        <v>165</v>
      </c>
      <c r="C5" s="90">
        <f ca="1">IFERROR(__xludf.DUMMYFUNCTION("GOOGLEFINANCE(""bom:""&amp;A5,""price"")"),77.16)</f>
        <v>77.16</v>
      </c>
      <c r="D5" s="91">
        <f ca="1">IFERROR(__xludf.DUMMYFUNCTION("GOOGLEFINANCE(""bom:""&amp;A5,""marketcap"")/10000000"),817.8709)</f>
        <v>817.87090000000001</v>
      </c>
      <c r="E5" s="92">
        <v>317</v>
      </c>
      <c r="F5" s="92">
        <v>240</v>
      </c>
      <c r="G5" s="92">
        <v>914</v>
      </c>
      <c r="H5" s="92">
        <v>256</v>
      </c>
      <c r="I5" s="92">
        <v>106</v>
      </c>
      <c r="J5" s="92">
        <v>657</v>
      </c>
      <c r="K5" s="92">
        <v>10</v>
      </c>
      <c r="L5" s="92">
        <v>105</v>
      </c>
      <c r="M5" s="92">
        <v>10</v>
      </c>
      <c r="N5" s="90"/>
      <c r="O5" s="90">
        <v>1.92</v>
      </c>
      <c r="P5" s="93">
        <v>3.4099999999999998E-2</v>
      </c>
      <c r="Q5" s="90">
        <v>635</v>
      </c>
      <c r="R5" s="90">
        <v>525</v>
      </c>
      <c r="S5" s="90">
        <v>7</v>
      </c>
      <c r="T5" s="90">
        <v>270</v>
      </c>
      <c r="U5" s="90">
        <v>266</v>
      </c>
      <c r="V5" s="90">
        <v>18</v>
      </c>
      <c r="W5" s="90">
        <v>4</v>
      </c>
      <c r="X5" s="92">
        <v>1</v>
      </c>
      <c r="Y5" s="92">
        <v>523</v>
      </c>
      <c r="Z5" s="93">
        <v>1.4999999999999999E-2</v>
      </c>
      <c r="AA5" s="94">
        <v>3.5</v>
      </c>
      <c r="AB5" s="93">
        <v>-3.73E-2</v>
      </c>
      <c r="AC5" s="93">
        <v>1.3299999999999999E-2</v>
      </c>
      <c r="AD5" s="91">
        <v>5</v>
      </c>
      <c r="AE5" s="95">
        <v>1.3</v>
      </c>
      <c r="AF5" s="96">
        <v>73</v>
      </c>
      <c r="AG5" s="97">
        <v>0.02</v>
      </c>
      <c r="AH5" s="96">
        <v>0.28000000000000003</v>
      </c>
      <c r="AI5" s="93">
        <v>1.0699999999999999E-2</v>
      </c>
      <c r="AJ5" s="96">
        <v>7.0000000000000007E-2</v>
      </c>
      <c r="AK5" s="93">
        <v>7.7000000000000002E-3</v>
      </c>
      <c r="AL5" s="90">
        <v>1.92</v>
      </c>
      <c r="AM5" s="93">
        <v>1.9699999999999999E-2</v>
      </c>
      <c r="AN5" s="91">
        <v>62</v>
      </c>
      <c r="AO5" s="95">
        <v>1.6</v>
      </c>
    </row>
    <row r="6" spans="1:41" ht="15.75" customHeight="1" x14ac:dyDescent="0.3">
      <c r="A6" s="88">
        <v>532408</v>
      </c>
      <c r="B6" s="89" t="s">
        <v>166</v>
      </c>
      <c r="C6" s="90">
        <f ca="1">IFERROR(__xludf.DUMMYFUNCTION("GOOGLEFINANCE(""bom:""&amp;A6,""price"")"),71.69)</f>
        <v>71.69</v>
      </c>
      <c r="D6" s="91">
        <f ca="1">IFERROR(__xludf.DUMMYFUNCTION("GOOGLEFINANCE(""bom:""&amp;A6,""marketcap"")/10000000"),522.4459976)</f>
        <v>522.44599760000006</v>
      </c>
      <c r="E6" s="92"/>
      <c r="F6" s="92"/>
      <c r="G6" s="92"/>
      <c r="H6" s="92"/>
      <c r="I6" s="92"/>
      <c r="J6" s="92"/>
      <c r="K6" s="92"/>
      <c r="L6" s="92"/>
      <c r="M6" s="92"/>
      <c r="N6" s="90"/>
      <c r="O6" s="90">
        <v>0.62</v>
      </c>
      <c r="P6" s="93">
        <v>1.6799999999999999E-2</v>
      </c>
      <c r="Q6" s="90"/>
      <c r="R6" s="90">
        <v>1.97</v>
      </c>
      <c r="S6" s="90">
        <v>8.33</v>
      </c>
      <c r="T6" s="90"/>
      <c r="U6" s="90"/>
      <c r="V6" s="90"/>
      <c r="W6" s="90"/>
      <c r="X6" s="92"/>
      <c r="Y6" s="92"/>
      <c r="Z6" s="90"/>
      <c r="AA6" s="90"/>
      <c r="AB6" s="90"/>
      <c r="AC6" s="93">
        <v>0</v>
      </c>
      <c r="AD6" s="90"/>
      <c r="AE6" s="90"/>
      <c r="AF6" s="90"/>
      <c r="AG6" s="90"/>
      <c r="AH6" s="90"/>
      <c r="AI6" s="90"/>
      <c r="AJ6" s="96" t="e">
        <v>#DIV/0!</v>
      </c>
      <c r="AK6" s="90"/>
      <c r="AL6" s="90">
        <v>0.62</v>
      </c>
      <c r="AM6" s="93">
        <v>8.8999999999999999E-3</v>
      </c>
      <c r="AN6" s="90"/>
      <c r="AO6" s="90"/>
    </row>
    <row r="7" spans="1:41" ht="15.75" customHeight="1" x14ac:dyDescent="0.3">
      <c r="A7" s="88">
        <v>500160</v>
      </c>
      <c r="B7" s="89" t="s">
        <v>167</v>
      </c>
      <c r="C7" s="90">
        <f ca="1">IFERROR(__xludf.DUMMYFUNCTION("GOOGLEFINANCE(""bom:""&amp;A7,""price"")"),12.85)</f>
        <v>12.85</v>
      </c>
      <c r="D7" s="91">
        <f ca="1">IFERROR(__xludf.DUMMYFUNCTION("GOOGLEFINANCE(""bom:""&amp;A7,""marketcap"")/10000000"),185.04928)</f>
        <v>185.04928000000001</v>
      </c>
      <c r="E7" s="92"/>
      <c r="F7" s="92"/>
      <c r="G7" s="92"/>
      <c r="H7" s="92"/>
      <c r="I7" s="92"/>
      <c r="J7" s="92"/>
      <c r="K7" s="92"/>
      <c r="L7" s="92"/>
      <c r="M7" s="92"/>
      <c r="N7" s="90"/>
      <c r="O7" s="90">
        <v>5.53</v>
      </c>
      <c r="P7" s="93">
        <v>8.5000000000000006E-3</v>
      </c>
      <c r="Q7" s="90"/>
      <c r="R7" s="90">
        <v>1458</v>
      </c>
      <c r="S7" s="90">
        <v>-1817</v>
      </c>
      <c r="T7" s="90"/>
      <c r="U7" s="90"/>
      <c r="V7" s="90"/>
      <c r="W7" s="90"/>
      <c r="X7" s="92"/>
      <c r="Y7" s="92"/>
      <c r="Z7" s="90"/>
      <c r="AA7" s="90"/>
      <c r="AB7" s="90"/>
      <c r="AC7" s="93">
        <v>-1.2462</v>
      </c>
      <c r="AD7" s="90"/>
      <c r="AE7" s="90"/>
      <c r="AF7" s="90"/>
      <c r="AG7" s="90"/>
      <c r="AH7" s="90"/>
      <c r="AI7" s="90"/>
      <c r="AJ7" s="96" t="e">
        <v>#DIV/0!</v>
      </c>
      <c r="AK7" s="90"/>
      <c r="AL7" s="90">
        <v>5.53</v>
      </c>
      <c r="AM7" s="93">
        <v>0.3422</v>
      </c>
      <c r="AN7" s="90"/>
      <c r="AO7" s="90"/>
    </row>
    <row r="8" spans="1:41" ht="15.75" customHeight="1" x14ac:dyDescent="0.3">
      <c r="A8" s="88">
        <v>511658</v>
      </c>
      <c r="B8" s="89" t="s">
        <v>168</v>
      </c>
      <c r="C8" s="90">
        <f ca="1">IFERROR(__xludf.DUMMYFUNCTION("GOOGLEFINANCE(""bom:""&amp;A8,""price"")"),80.3)</f>
        <v>80.3</v>
      </c>
      <c r="D8" s="91">
        <f ca="1">IFERROR(__xludf.DUMMYFUNCTION("GOOGLEFINANCE(""bom:""&amp;A8,""marketcap"")/10000000"),200.1421366)</f>
        <v>200.14213659999999</v>
      </c>
      <c r="E8" s="92"/>
      <c r="F8" s="92"/>
      <c r="G8" s="92"/>
      <c r="H8" s="92"/>
      <c r="I8" s="92"/>
      <c r="J8" s="92"/>
      <c r="K8" s="92"/>
      <c r="L8" s="92"/>
      <c r="M8" s="92"/>
      <c r="N8" s="90"/>
      <c r="O8" s="90">
        <v>1.99</v>
      </c>
      <c r="P8" s="93">
        <v>7.9000000000000008E-3</v>
      </c>
      <c r="Q8" s="90"/>
      <c r="R8" s="90">
        <v>21.64</v>
      </c>
      <c r="S8" s="90">
        <v>-0.22</v>
      </c>
      <c r="T8" s="90"/>
      <c r="U8" s="90"/>
      <c r="V8" s="90"/>
      <c r="W8" s="90"/>
      <c r="X8" s="92"/>
      <c r="Y8" s="92"/>
      <c r="Z8" s="90"/>
      <c r="AA8" s="90"/>
      <c r="AB8" s="90"/>
      <c r="AC8" s="93">
        <v>-1.0200000000000001E-2</v>
      </c>
      <c r="AD8" s="90"/>
      <c r="AE8" s="90"/>
      <c r="AF8" s="90"/>
      <c r="AG8" s="90"/>
      <c r="AH8" s="90"/>
      <c r="AI8" s="90"/>
      <c r="AJ8" s="96" t="e">
        <v>#DIV/0!</v>
      </c>
      <c r="AK8" s="90"/>
      <c r="AL8" s="90">
        <v>1.99</v>
      </c>
      <c r="AM8" s="93">
        <v>0.02</v>
      </c>
      <c r="AN8" s="90"/>
      <c r="AO8" s="90"/>
    </row>
    <row r="9" spans="1:41" ht="15.75" customHeight="1" x14ac:dyDescent="0.3">
      <c r="A9" s="88">
        <v>543622</v>
      </c>
      <c r="B9" s="89" t="s">
        <v>169</v>
      </c>
      <c r="C9" s="90">
        <f ca="1">IFERROR(__xludf.DUMMYFUNCTION("GOOGLEFINANCE(""bom:""&amp;A9,""price"")"),131.2)</f>
        <v>131.19999999999999</v>
      </c>
      <c r="D9" s="91">
        <f ca="1">IFERROR(__xludf.DUMMYFUNCTION("GOOGLEFINANCE(""bom:""&amp;A9,""marketcap"")/10000000"),129.2464027)</f>
        <v>129.2464027</v>
      </c>
      <c r="E9" s="92"/>
      <c r="F9" s="92"/>
      <c r="G9" s="92"/>
      <c r="H9" s="92"/>
      <c r="I9" s="92"/>
      <c r="J9" s="92"/>
      <c r="K9" s="92"/>
      <c r="L9" s="92"/>
      <c r="M9" s="92"/>
      <c r="N9" s="90"/>
      <c r="O9" s="90">
        <v>0.96</v>
      </c>
      <c r="P9" s="93">
        <v>5.1999999999999998E-3</v>
      </c>
      <c r="Q9" s="90"/>
      <c r="R9" s="90">
        <v>135</v>
      </c>
      <c r="S9" s="90">
        <v>1</v>
      </c>
      <c r="T9" s="90"/>
      <c r="U9" s="90"/>
      <c r="V9" s="90"/>
      <c r="W9" s="90"/>
      <c r="X9" s="92"/>
      <c r="Y9" s="92"/>
      <c r="Z9" s="90"/>
      <c r="AA9" s="90"/>
      <c r="AB9" s="90"/>
      <c r="AC9" s="93">
        <v>7.4000000000000003E-3</v>
      </c>
      <c r="AD9" s="90"/>
      <c r="AE9" s="90"/>
      <c r="AF9" s="90"/>
      <c r="AG9" s="90"/>
      <c r="AH9" s="90"/>
      <c r="AI9" s="90"/>
      <c r="AJ9" s="96" t="e">
        <v>#DIV/0!</v>
      </c>
      <c r="AK9" s="90"/>
      <c r="AL9" s="90">
        <v>0.96</v>
      </c>
      <c r="AM9" s="93">
        <v>5.7999999999999996E-3</v>
      </c>
      <c r="AN9" s="90"/>
      <c r="AO9" s="90"/>
    </row>
    <row r="10" spans="1:41" ht="15.75" customHeight="1" x14ac:dyDescent="0.3">
      <c r="A10" s="90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101"/>
      <c r="AB10" s="100"/>
      <c r="AC10" s="93"/>
      <c r="AD10" s="102"/>
      <c r="AE10" s="103"/>
      <c r="AF10" s="104"/>
      <c r="AG10" s="105"/>
      <c r="AH10" s="104"/>
      <c r="AI10" s="100"/>
      <c r="AJ10" s="104"/>
      <c r="AK10" s="100"/>
      <c r="AL10" s="106"/>
      <c r="AM10" s="106"/>
      <c r="AN10" s="102"/>
      <c r="AO10" s="102"/>
    </row>
    <row r="11" spans="1:41" ht="15.75" customHeight="1" x14ac:dyDescent="0.3">
      <c r="A11" s="90"/>
      <c r="B11" s="99" t="s">
        <v>170</v>
      </c>
      <c r="C11" s="99">
        <f t="shared" ref="C11:D11" ca="1" si="0">SUM(C2:C9)</f>
        <v>2339.5499999999997</v>
      </c>
      <c r="D11" s="102">
        <f t="shared" ca="1" si="0"/>
        <v>28953.871152399999</v>
      </c>
      <c r="E11" s="99">
        <v>9275</v>
      </c>
      <c r="F11" s="99">
        <v>7973</v>
      </c>
      <c r="G11" s="99">
        <v>16084</v>
      </c>
      <c r="H11" s="99">
        <v>9498</v>
      </c>
      <c r="I11" s="99">
        <v>568</v>
      </c>
      <c r="J11" s="99">
        <v>6523</v>
      </c>
      <c r="K11" s="99">
        <v>3690</v>
      </c>
      <c r="L11" s="99">
        <v>3863</v>
      </c>
      <c r="M11" s="99">
        <v>10</v>
      </c>
      <c r="N11" s="99"/>
      <c r="O11" s="99">
        <v>82.14</v>
      </c>
      <c r="P11" s="99"/>
      <c r="Q11" s="99">
        <v>5374</v>
      </c>
      <c r="R11" s="102">
        <v>14599</v>
      </c>
      <c r="S11" s="99">
        <v>-1151.8900000000001</v>
      </c>
      <c r="T11" s="99">
        <v>9349</v>
      </c>
      <c r="U11" s="99">
        <v>9140</v>
      </c>
      <c r="V11" s="99">
        <v>510</v>
      </c>
      <c r="W11" s="99">
        <v>420</v>
      </c>
      <c r="X11" s="99">
        <v>338</v>
      </c>
      <c r="Y11" s="99">
        <v>12150</v>
      </c>
      <c r="Z11" s="100">
        <v>2.29E-2</v>
      </c>
      <c r="AA11" s="101">
        <v>0.21</v>
      </c>
      <c r="AB11" s="100">
        <v>0.22120000000000001</v>
      </c>
      <c r="AC11" s="100">
        <v>-7.8899999999999998E-2</v>
      </c>
      <c r="AD11" s="102">
        <v>8</v>
      </c>
      <c r="AE11" s="103">
        <v>1.2</v>
      </c>
      <c r="AF11" s="104">
        <v>96.58</v>
      </c>
      <c r="AG11" s="105">
        <v>0.56999999999999995</v>
      </c>
      <c r="AH11" s="104">
        <v>0.59</v>
      </c>
      <c r="AI11" s="100">
        <v>-0.17660000000000001</v>
      </c>
      <c r="AJ11" s="104">
        <v>-2.0299999999999998</v>
      </c>
      <c r="AK11" s="100">
        <v>-7.1599999999999997E-2</v>
      </c>
      <c r="AL11" s="91">
        <v>31</v>
      </c>
      <c r="AM11" s="107">
        <v>1.9400000000000001E-2</v>
      </c>
      <c r="AN11" s="102">
        <v>115</v>
      </c>
      <c r="AO11" s="102">
        <v>4</v>
      </c>
    </row>
    <row r="12" spans="1:41" ht="15.75" customHeight="1" x14ac:dyDescent="0.3"/>
    <row r="13" spans="1:41" ht="15.75" customHeight="1" x14ac:dyDescent="0.3">
      <c r="F13" s="86" t="s">
        <v>138</v>
      </c>
      <c r="H13" s="86" t="s">
        <v>84</v>
      </c>
    </row>
    <row r="14" spans="1:41" ht="15.75" customHeight="1" x14ac:dyDescent="0.3">
      <c r="F14" s="91">
        <v>30533.982268199998</v>
      </c>
      <c r="H14" s="108">
        <f>SUM(H5:H12)</f>
        <v>9754</v>
      </c>
    </row>
    <row r="15" spans="1:41" ht="15.75" customHeight="1" x14ac:dyDescent="0.3"/>
    <row r="16" spans="1:41" ht="15.75" customHeight="1" x14ac:dyDescent="0.3">
      <c r="F16" s="86" t="s">
        <v>59</v>
      </c>
      <c r="H16" s="86" t="s">
        <v>144</v>
      </c>
    </row>
    <row r="17" spans="1:20" ht="15.75" customHeight="1" x14ac:dyDescent="0.3">
      <c r="F17" s="91">
        <v>14598.609999999999</v>
      </c>
      <c r="H17" s="108">
        <f>SUM(H8:H15)</f>
        <v>19252</v>
      </c>
    </row>
    <row r="18" spans="1:20" ht="15.75" customHeight="1" x14ac:dyDescent="0.3"/>
    <row r="19" spans="1:20" ht="15.75" customHeight="1" x14ac:dyDescent="0.3">
      <c r="F19" s="86" t="s">
        <v>61</v>
      </c>
      <c r="H19" s="86" t="s">
        <v>143</v>
      </c>
    </row>
    <row r="20" spans="1:20" ht="15.75" customHeight="1" x14ac:dyDescent="0.3">
      <c r="F20" s="109">
        <v>-1151.8900000000001</v>
      </c>
      <c r="H20" s="108">
        <f>SUM(H11:H18)</f>
        <v>38504</v>
      </c>
    </row>
    <row r="21" spans="1:20" ht="15.75" customHeight="1" x14ac:dyDescent="0.3"/>
    <row r="22" spans="1:20" ht="15.75" customHeight="1" x14ac:dyDescent="0.3"/>
    <row r="23" spans="1:20" ht="15.75" customHeight="1" x14ac:dyDescent="0.3"/>
    <row r="24" spans="1:20" ht="15.75" customHeight="1" x14ac:dyDescent="0.3"/>
    <row r="25" spans="1:20" ht="15.75" customHeight="1" x14ac:dyDescent="0.3">
      <c r="A25" s="86" t="s">
        <v>171</v>
      </c>
      <c r="B25" s="110"/>
      <c r="C25" s="110"/>
    </row>
    <row r="26" spans="1:20" ht="15.75" customHeight="1" x14ac:dyDescent="0.3">
      <c r="A26" s="110"/>
      <c r="B26" s="111" t="s">
        <v>136</v>
      </c>
      <c r="C26" s="111" t="s">
        <v>138</v>
      </c>
      <c r="F26" s="111" t="s">
        <v>136</v>
      </c>
      <c r="G26" s="111" t="s">
        <v>149</v>
      </c>
      <c r="J26" s="111" t="s">
        <v>136</v>
      </c>
      <c r="K26" s="111" t="s">
        <v>150</v>
      </c>
      <c r="N26" s="111" t="s">
        <v>136</v>
      </c>
      <c r="O26" s="111" t="s">
        <v>158</v>
      </c>
      <c r="R26" s="111" t="s">
        <v>136</v>
      </c>
      <c r="S26" s="111" t="s">
        <v>156</v>
      </c>
      <c r="T26" s="111" t="s">
        <v>157</v>
      </c>
    </row>
    <row r="27" spans="1:20" ht="15.75" customHeight="1" x14ac:dyDescent="0.3">
      <c r="A27" s="110"/>
      <c r="B27" s="89" t="s">
        <v>163</v>
      </c>
      <c r="C27" s="112">
        <v>12911.3514402</v>
      </c>
      <c r="F27" s="113" t="s">
        <v>163</v>
      </c>
      <c r="G27" s="113">
        <v>1963</v>
      </c>
      <c r="J27" s="113" t="s">
        <v>163</v>
      </c>
      <c r="K27" s="114">
        <v>189</v>
      </c>
      <c r="N27" s="113" t="s">
        <v>163</v>
      </c>
      <c r="O27" s="115">
        <v>0.13877857267635618</v>
      </c>
      <c r="R27" s="113" t="s">
        <v>163</v>
      </c>
      <c r="S27" s="116">
        <v>0.37698412698412698</v>
      </c>
      <c r="T27" s="116">
        <v>0.49557522123893816</v>
      </c>
    </row>
    <row r="28" spans="1:20" ht="15.75" customHeight="1" x14ac:dyDescent="0.3">
      <c r="A28" s="110"/>
      <c r="B28" s="117" t="s">
        <v>24</v>
      </c>
      <c r="C28" s="118">
        <v>9998.3837144999998</v>
      </c>
      <c r="F28" s="113" t="s">
        <v>24</v>
      </c>
      <c r="G28" s="113">
        <v>3569</v>
      </c>
      <c r="J28" s="113" t="s">
        <v>24</v>
      </c>
      <c r="K28" s="114">
        <v>333</v>
      </c>
      <c r="N28" s="113" t="s">
        <v>24</v>
      </c>
      <c r="O28" s="115">
        <v>0.47626985991593562</v>
      </c>
      <c r="R28" s="113" t="s">
        <v>24</v>
      </c>
      <c r="S28" s="116">
        <v>0.17421875000000009</v>
      </c>
      <c r="T28" s="116">
        <v>0.27947598253275108</v>
      </c>
    </row>
    <row r="29" spans="1:20" ht="15.75" customHeight="1" x14ac:dyDescent="0.3">
      <c r="A29" s="110"/>
      <c r="B29" s="117" t="s">
        <v>164</v>
      </c>
      <c r="C29" s="119">
        <v>5407.6112350000003</v>
      </c>
      <c r="F29" s="113" t="s">
        <v>164</v>
      </c>
      <c r="G29" s="113">
        <v>6925</v>
      </c>
      <c r="J29" s="113" t="s">
        <v>164</v>
      </c>
      <c r="K29" s="114">
        <v>127</v>
      </c>
      <c r="N29" s="113" t="s">
        <v>164</v>
      </c>
      <c r="O29" s="115">
        <v>0.16659026710001323</v>
      </c>
      <c r="R29" s="113" t="s">
        <v>164</v>
      </c>
      <c r="S29" s="116">
        <v>-0.14166996438464585</v>
      </c>
      <c r="T29" s="116">
        <v>-0.59459459459459452</v>
      </c>
    </row>
    <row r="30" spans="1:20" ht="15.75" customHeight="1" x14ac:dyDescent="0.3">
      <c r="A30" s="110"/>
      <c r="B30" s="117" t="s">
        <v>165</v>
      </c>
      <c r="C30" s="120">
        <v>1039.0361800000001</v>
      </c>
      <c r="F30" s="113" t="s">
        <v>165</v>
      </c>
      <c r="G30" s="113">
        <v>525</v>
      </c>
      <c r="J30" s="113" t="s">
        <v>165</v>
      </c>
      <c r="K30" s="114">
        <v>7</v>
      </c>
      <c r="N30" s="113" t="s">
        <v>165</v>
      </c>
      <c r="O30" s="115">
        <v>-3.733071451320813E-2</v>
      </c>
      <c r="R30" s="113" t="s">
        <v>165</v>
      </c>
      <c r="S30" s="116">
        <v>1.5037593984962516E-2</v>
      </c>
      <c r="T30" s="116">
        <v>3.5</v>
      </c>
    </row>
    <row r="31" spans="1:20" ht="15.75" customHeight="1" x14ac:dyDescent="0.3">
      <c r="A31" s="110"/>
      <c r="B31" s="117" t="s">
        <v>166</v>
      </c>
      <c r="C31" s="121">
        <v>519.41024379999999</v>
      </c>
      <c r="F31" s="113" t="s">
        <v>166</v>
      </c>
      <c r="G31" s="113">
        <v>1.97</v>
      </c>
      <c r="J31" s="113" t="s">
        <v>166</v>
      </c>
      <c r="K31" s="114">
        <v>8.33</v>
      </c>
    </row>
    <row r="32" spans="1:20" ht="15.75" customHeight="1" x14ac:dyDescent="0.3">
      <c r="A32" s="110"/>
      <c r="B32" s="117" t="s">
        <v>167</v>
      </c>
      <c r="C32" s="122">
        <v>257.82067749999999</v>
      </c>
      <c r="F32" s="113" t="s">
        <v>167</v>
      </c>
      <c r="G32" s="113">
        <v>1458</v>
      </c>
      <c r="J32" s="113" t="s">
        <v>167</v>
      </c>
      <c r="K32" s="114">
        <v>-1817</v>
      </c>
    </row>
    <row r="33" spans="1:20" ht="15.75" customHeight="1" x14ac:dyDescent="0.3">
      <c r="A33" s="110"/>
      <c r="B33" s="117" t="s">
        <v>168</v>
      </c>
      <c r="C33" s="123">
        <v>240.55736899999999</v>
      </c>
      <c r="F33" s="113" t="s">
        <v>168</v>
      </c>
      <c r="G33" s="113">
        <v>21.64</v>
      </c>
      <c r="J33" s="113" t="s">
        <v>168</v>
      </c>
      <c r="K33" s="114">
        <v>-0.22</v>
      </c>
    </row>
    <row r="34" spans="1:20" ht="15.75" customHeight="1" x14ac:dyDescent="0.3">
      <c r="A34" s="110"/>
      <c r="B34" s="117" t="s">
        <v>169</v>
      </c>
      <c r="C34" s="124">
        <v>159.0767056</v>
      </c>
      <c r="F34" s="125" t="s">
        <v>169</v>
      </c>
      <c r="G34" s="125">
        <v>135</v>
      </c>
      <c r="J34" s="113" t="s">
        <v>169</v>
      </c>
      <c r="K34" s="114">
        <v>1</v>
      </c>
    </row>
    <row r="35" spans="1:20" ht="15.75" customHeight="1" x14ac:dyDescent="0.3">
      <c r="A35" s="110"/>
      <c r="B35" s="117"/>
      <c r="C35" s="126"/>
    </row>
    <row r="36" spans="1:20" ht="15.75" customHeight="1" x14ac:dyDescent="0.3">
      <c r="A36" s="110"/>
      <c r="B36" s="127" t="s">
        <v>170</v>
      </c>
      <c r="C36" s="128">
        <v>82246</v>
      </c>
      <c r="F36" s="127" t="s">
        <v>170</v>
      </c>
      <c r="G36" s="127">
        <v>14598.609999999999</v>
      </c>
      <c r="J36" s="127" t="s">
        <v>170</v>
      </c>
      <c r="K36" s="129">
        <v>-1151.8900000000001</v>
      </c>
      <c r="N36" s="127" t="s">
        <v>170</v>
      </c>
      <c r="O36" s="130">
        <v>0.22120000000000001</v>
      </c>
      <c r="R36" s="127" t="s">
        <v>170</v>
      </c>
      <c r="S36" s="130">
        <v>2.1999999999999999E-2</v>
      </c>
      <c r="T36" s="130">
        <v>0.21</v>
      </c>
    </row>
    <row r="37" spans="1:20" ht="15.75" customHeight="1" x14ac:dyDescent="0.3">
      <c r="A37" s="110"/>
    </row>
    <row r="38" spans="1:20" ht="15.75" customHeight="1" x14ac:dyDescent="0.3">
      <c r="A38" s="110"/>
    </row>
    <row r="39" spans="1:20" ht="15.75" customHeight="1" x14ac:dyDescent="0.3"/>
    <row r="40" spans="1:20" ht="15.75" customHeight="1" x14ac:dyDescent="0.3"/>
    <row r="41" spans="1:20" ht="15.75" customHeight="1" x14ac:dyDescent="0.3"/>
    <row r="42" spans="1:20" ht="15.75" customHeight="1" x14ac:dyDescent="0.3"/>
    <row r="43" spans="1:20" ht="15.75" customHeight="1" x14ac:dyDescent="0.3"/>
    <row r="44" spans="1:20" ht="15.75" customHeight="1" x14ac:dyDescent="0.3"/>
    <row r="45" spans="1:20" ht="15.75" customHeight="1" x14ac:dyDescent="0.3"/>
    <row r="46" spans="1:20" ht="15.75" customHeight="1" x14ac:dyDescent="0.3"/>
    <row r="47" spans="1:20" ht="15.75" customHeight="1" x14ac:dyDescent="0.3"/>
    <row r="48" spans="1:20" ht="15.75" customHeight="1" x14ac:dyDescent="0.3"/>
    <row r="49" spans="1:11" ht="15.75" customHeight="1" x14ac:dyDescent="0.3"/>
    <row r="50" spans="1:11" ht="15.75" customHeight="1" x14ac:dyDescent="0.3"/>
    <row r="51" spans="1:11" ht="15.75" customHeight="1" x14ac:dyDescent="0.3"/>
    <row r="52" spans="1:11" ht="15.75" customHeight="1" x14ac:dyDescent="0.3"/>
    <row r="53" spans="1:11" ht="15.75" customHeight="1" x14ac:dyDescent="0.3"/>
    <row r="54" spans="1:11" ht="15.75" customHeight="1" x14ac:dyDescent="0.3">
      <c r="A54" s="111" t="s">
        <v>28</v>
      </c>
      <c r="B54" s="111" t="s">
        <v>136</v>
      </c>
      <c r="C54" s="111" t="s">
        <v>65</v>
      </c>
      <c r="F54" s="111" t="s">
        <v>136</v>
      </c>
      <c r="G54" s="111" t="s">
        <v>159</v>
      </c>
      <c r="J54" s="111" t="s">
        <v>136</v>
      </c>
      <c r="K54" s="111" t="s">
        <v>160</v>
      </c>
    </row>
    <row r="55" spans="1:11" ht="15.75" customHeight="1" x14ac:dyDescent="0.3">
      <c r="B55" s="113" t="s">
        <v>163</v>
      </c>
      <c r="C55" s="116">
        <v>9.6281202241467148E-2</v>
      </c>
      <c r="F55" s="113" t="s">
        <v>163</v>
      </c>
      <c r="G55" s="131">
        <v>1.322228952150212</v>
      </c>
      <c r="J55" s="113" t="s">
        <v>163</v>
      </c>
      <c r="K55" s="114">
        <v>236.3295975547631</v>
      </c>
    </row>
    <row r="56" spans="1:11" ht="15.75" customHeight="1" x14ac:dyDescent="0.3">
      <c r="B56" s="113" t="s">
        <v>24</v>
      </c>
      <c r="C56" s="116">
        <v>9.3303446343513591E-2</v>
      </c>
      <c r="F56" s="113" t="s">
        <v>24</v>
      </c>
      <c r="G56" s="131">
        <v>2.056308654848801</v>
      </c>
      <c r="J56" s="113" t="s">
        <v>24</v>
      </c>
      <c r="K56" s="114">
        <v>91.633510787335382</v>
      </c>
    </row>
    <row r="57" spans="1:11" ht="15.75" customHeight="1" x14ac:dyDescent="0.3">
      <c r="B57" s="113" t="s">
        <v>164</v>
      </c>
      <c r="C57" s="116">
        <v>1.8339350180505413E-2</v>
      </c>
      <c r="F57" s="113" t="s">
        <v>164</v>
      </c>
      <c r="G57" s="131">
        <v>0.93753659964864333</v>
      </c>
      <c r="J57" s="113" t="s">
        <v>164</v>
      </c>
      <c r="K57" s="114">
        <v>83.857761732851984</v>
      </c>
    </row>
    <row r="58" spans="1:11" ht="15.75" customHeight="1" x14ac:dyDescent="0.3">
      <c r="B58" s="113" t="s">
        <v>165</v>
      </c>
      <c r="C58" s="116">
        <v>1.3333333333333334E-2</v>
      </c>
      <c r="F58" s="113" t="s">
        <v>165</v>
      </c>
      <c r="G58" s="131">
        <v>1.3208333333333333</v>
      </c>
      <c r="J58" s="113" t="s">
        <v>165</v>
      </c>
      <c r="K58" s="114">
        <v>73</v>
      </c>
    </row>
    <row r="59" spans="1:11" ht="15.75" customHeight="1" x14ac:dyDescent="0.3">
      <c r="B59" s="113" t="s">
        <v>166</v>
      </c>
      <c r="C59" s="116">
        <v>0</v>
      </c>
    </row>
    <row r="60" spans="1:11" ht="15.75" customHeight="1" x14ac:dyDescent="0.3">
      <c r="B60" s="113" t="s">
        <v>167</v>
      </c>
      <c r="C60" s="116">
        <v>-1.2462277091906722</v>
      </c>
    </row>
    <row r="61" spans="1:11" ht="15.75" customHeight="1" x14ac:dyDescent="0.3">
      <c r="B61" s="113" t="s">
        <v>168</v>
      </c>
      <c r="C61" s="116">
        <v>-1.0166358595194085E-2</v>
      </c>
    </row>
    <row r="62" spans="1:11" ht="15.75" customHeight="1" x14ac:dyDescent="0.3">
      <c r="B62" s="113" t="s">
        <v>169</v>
      </c>
      <c r="C62" s="116">
        <v>7.4074074074074077E-3</v>
      </c>
    </row>
    <row r="63" spans="1:11" ht="15.75" customHeight="1" x14ac:dyDescent="0.3">
      <c r="C63" s="116"/>
    </row>
    <row r="64" spans="1:11" ht="15.75" customHeight="1" x14ac:dyDescent="0.3">
      <c r="B64" s="127" t="s">
        <v>170</v>
      </c>
      <c r="C64" s="132">
        <v>-7.890408744394159E-2</v>
      </c>
      <c r="F64" s="127" t="s">
        <v>170</v>
      </c>
      <c r="G64" s="127">
        <v>97</v>
      </c>
      <c r="J64" s="127" t="s">
        <v>170</v>
      </c>
      <c r="K64" s="127">
        <v>97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pans="1:11" ht="15.75" customHeight="1" x14ac:dyDescent="0.3">
      <c r="A81" s="111" t="s">
        <v>29</v>
      </c>
      <c r="B81" s="111" t="s">
        <v>136</v>
      </c>
      <c r="C81" s="111" t="s">
        <v>36</v>
      </c>
      <c r="F81" s="111" t="s">
        <v>136</v>
      </c>
      <c r="G81" s="111" t="s">
        <v>37</v>
      </c>
      <c r="J81" s="111" t="s">
        <v>136</v>
      </c>
      <c r="K81" s="111" t="s">
        <v>38</v>
      </c>
    </row>
    <row r="82" spans="1:11" ht="15.75" customHeight="1" x14ac:dyDescent="0.3">
      <c r="B82" s="113" t="s">
        <v>163</v>
      </c>
      <c r="C82" s="133">
        <v>0</v>
      </c>
      <c r="F82" s="113" t="s">
        <v>163</v>
      </c>
      <c r="G82" s="134">
        <v>0.51436619718309862</v>
      </c>
      <c r="J82" s="113" t="s">
        <v>163</v>
      </c>
      <c r="K82" s="114">
        <v>37.333333333333336</v>
      </c>
    </row>
    <row r="83" spans="1:11" ht="15.75" customHeight="1" x14ac:dyDescent="0.3">
      <c r="B83" s="113" t="s">
        <v>24</v>
      </c>
      <c r="C83" s="133">
        <v>7.4203187250996019E-2</v>
      </c>
      <c r="F83" s="113" t="s">
        <v>24</v>
      </c>
      <c r="G83" s="134">
        <v>0.36576121288692354</v>
      </c>
      <c r="J83" s="113" t="s">
        <v>24</v>
      </c>
      <c r="K83" s="114">
        <v>18.100000000000001</v>
      </c>
    </row>
    <row r="84" spans="1:11" ht="15.75" customHeight="1" x14ac:dyDescent="0.3">
      <c r="B84" s="113" t="s">
        <v>164</v>
      </c>
      <c r="C84" s="133">
        <v>1.6530898876404494</v>
      </c>
      <c r="F84" s="113" t="s">
        <v>164</v>
      </c>
      <c r="G84" s="134">
        <v>0.74024130589070258</v>
      </c>
      <c r="J84" s="113" t="s">
        <v>164</v>
      </c>
      <c r="K84" s="114">
        <v>1.8681672025723473</v>
      </c>
    </row>
    <row r="85" spans="1:11" ht="15.75" customHeight="1" x14ac:dyDescent="0.3">
      <c r="B85" s="113" t="s">
        <v>165</v>
      </c>
      <c r="C85" s="133">
        <v>1.5220700152207001E-2</v>
      </c>
      <c r="F85" s="113" t="s">
        <v>165</v>
      </c>
      <c r="G85" s="134">
        <v>0.28008752735229758</v>
      </c>
      <c r="J85" s="113" t="s">
        <v>165</v>
      </c>
      <c r="K85" s="114">
        <v>5</v>
      </c>
    </row>
    <row r="86" spans="1:11" ht="15.75" customHeight="1" x14ac:dyDescent="0.3"/>
    <row r="87" spans="1:11" ht="15.75" customHeight="1" x14ac:dyDescent="0.3"/>
    <row r="88" spans="1:11" ht="15.75" customHeight="1" x14ac:dyDescent="0.3">
      <c r="B88" s="127" t="s">
        <v>170</v>
      </c>
      <c r="C88" s="128">
        <v>0.56999999999999995</v>
      </c>
      <c r="F88" s="127" t="s">
        <v>170</v>
      </c>
      <c r="G88" s="128">
        <v>0.59</v>
      </c>
      <c r="J88" s="127" t="s">
        <v>170</v>
      </c>
      <c r="K88" s="127">
        <v>8</v>
      </c>
    </row>
    <row r="89" spans="1:11" ht="15.75" customHeight="1" x14ac:dyDescent="0.3"/>
    <row r="90" spans="1:11" ht="15.75" customHeight="1" x14ac:dyDescent="0.3"/>
    <row r="91" spans="1:11" ht="15.75" customHeight="1" x14ac:dyDescent="0.3"/>
    <row r="92" spans="1:11" ht="15.75" customHeight="1" x14ac:dyDescent="0.3"/>
    <row r="93" spans="1:11" ht="15.75" customHeight="1" x14ac:dyDescent="0.3"/>
    <row r="94" spans="1:11" ht="15.75" customHeight="1" x14ac:dyDescent="0.3"/>
    <row r="95" spans="1:11" ht="15.75" customHeight="1" x14ac:dyDescent="0.3"/>
    <row r="96" spans="1:11" ht="15.75" customHeight="1" x14ac:dyDescent="0.3"/>
    <row r="97" spans="1:10" ht="15.75" customHeight="1" x14ac:dyDescent="0.3"/>
    <row r="98" spans="1:10" ht="15.75" customHeight="1" x14ac:dyDescent="0.3"/>
    <row r="99" spans="1:10" ht="15.75" customHeight="1" x14ac:dyDescent="0.3"/>
    <row r="100" spans="1:10" ht="15.75" customHeight="1" x14ac:dyDescent="0.3"/>
    <row r="101" spans="1:10" ht="15.75" customHeight="1" x14ac:dyDescent="0.3"/>
    <row r="102" spans="1:10" ht="15.75" customHeight="1" x14ac:dyDescent="0.3"/>
    <row r="103" spans="1:10" ht="15.75" customHeight="1" x14ac:dyDescent="0.3"/>
    <row r="104" spans="1:10" ht="15.75" customHeight="1" x14ac:dyDescent="0.3">
      <c r="A104" s="111" t="s">
        <v>30</v>
      </c>
      <c r="B104" s="111" t="s">
        <v>136</v>
      </c>
      <c r="C104" s="111" t="s">
        <v>39</v>
      </c>
      <c r="D104" s="111" t="s">
        <v>40</v>
      </c>
      <c r="F104" s="111" t="s">
        <v>31</v>
      </c>
      <c r="G104" s="111" t="s">
        <v>136</v>
      </c>
      <c r="H104" s="111" t="s">
        <v>162</v>
      </c>
      <c r="I104" s="111" t="s">
        <v>42</v>
      </c>
      <c r="J104" s="111" t="s">
        <v>44</v>
      </c>
    </row>
    <row r="105" spans="1:10" ht="15.75" customHeight="1" x14ac:dyDescent="0.3">
      <c r="B105" s="113" t="s">
        <v>163</v>
      </c>
      <c r="C105" s="115">
        <v>0.10975609756097561</v>
      </c>
      <c r="D105" s="115">
        <v>5.3239436619718312E-2</v>
      </c>
      <c r="G105" s="113" t="s">
        <v>163</v>
      </c>
      <c r="H105" s="135">
        <v>7.63</v>
      </c>
      <c r="I105" s="116">
        <v>1.9029804214989402E-2</v>
      </c>
      <c r="J105" s="131">
        <v>7.4508710801393727</v>
      </c>
    </row>
    <row r="106" spans="1:10" ht="15.75" customHeight="1" x14ac:dyDescent="0.3">
      <c r="B106" s="113" t="s">
        <v>24</v>
      </c>
      <c r="C106" s="115">
        <v>0.16583665338645417</v>
      </c>
      <c r="D106" s="115">
        <v>0.10518003790271636</v>
      </c>
      <c r="G106" s="113" t="s">
        <v>24</v>
      </c>
      <c r="H106" s="135">
        <v>61.07</v>
      </c>
      <c r="I106" s="116">
        <v>3.8218912322423179E-2</v>
      </c>
      <c r="J106" s="131">
        <v>4.9337549800796818</v>
      </c>
    </row>
    <row r="107" spans="1:10" ht="15.75" customHeight="1" x14ac:dyDescent="0.3">
      <c r="B107" s="113" t="s">
        <v>164</v>
      </c>
      <c r="C107" s="115">
        <v>5.945692883895131E-2</v>
      </c>
      <c r="D107" s="115">
        <v>1.5022474568251716E-2</v>
      </c>
      <c r="G107" s="113" t="s">
        <v>164</v>
      </c>
      <c r="H107" s="135">
        <v>2.42</v>
      </c>
      <c r="I107" s="116">
        <v>1.7833456153279293E-2</v>
      </c>
      <c r="J107" s="131">
        <v>2.5411985018726591</v>
      </c>
    </row>
    <row r="108" spans="1:10" ht="15.75" customHeight="1" x14ac:dyDescent="0.3">
      <c r="B108" s="113" t="s">
        <v>165</v>
      </c>
      <c r="C108" s="115">
        <v>1.06544901065449E-2</v>
      </c>
      <c r="D108" s="115">
        <v>7.658643326039387E-3</v>
      </c>
      <c r="G108" s="113" t="s">
        <v>165</v>
      </c>
      <c r="H108" s="135">
        <v>1.92</v>
      </c>
      <c r="I108" s="116">
        <v>1.9502285424073132E-2</v>
      </c>
      <c r="J108" s="131">
        <v>1.588386605783866</v>
      </c>
    </row>
    <row r="109" spans="1:10" ht="15.75" customHeight="1" x14ac:dyDescent="0.3">
      <c r="G109" s="113" t="s">
        <v>166</v>
      </c>
      <c r="H109" s="135">
        <v>0.62</v>
      </c>
      <c r="I109" s="116">
        <v>8.9118873077475933E-3</v>
      </c>
    </row>
    <row r="110" spans="1:10" ht="15.75" customHeight="1" x14ac:dyDescent="0.3">
      <c r="B110" s="127" t="s">
        <v>170</v>
      </c>
      <c r="C110" s="132">
        <v>-7.890408744394159E-2</v>
      </c>
      <c r="D110" s="132">
        <v>-7.890408744394159E-2</v>
      </c>
      <c r="G110" s="113" t="s">
        <v>167</v>
      </c>
      <c r="H110" s="135">
        <v>5.53</v>
      </c>
      <c r="I110" s="116">
        <v>0.34220297029702973</v>
      </c>
    </row>
    <row r="111" spans="1:10" ht="15.75" customHeight="1" x14ac:dyDescent="0.3">
      <c r="G111" s="113" t="s">
        <v>168</v>
      </c>
      <c r="H111" s="135">
        <v>1.99</v>
      </c>
      <c r="I111" s="116">
        <v>0.02</v>
      </c>
    </row>
    <row r="112" spans="1:10" ht="15.75" customHeight="1" x14ac:dyDescent="0.3">
      <c r="G112" s="113" t="s">
        <v>169</v>
      </c>
      <c r="H112" s="135">
        <v>0.96</v>
      </c>
      <c r="I112" s="116">
        <v>5.8394160583941602E-3</v>
      </c>
    </row>
    <row r="113" spans="7:10" ht="15.75" customHeight="1" x14ac:dyDescent="0.3">
      <c r="H113" s="135"/>
      <c r="I113" s="116"/>
      <c r="J113" s="114"/>
    </row>
    <row r="114" spans="7:10" ht="15.75" customHeight="1" x14ac:dyDescent="0.3">
      <c r="G114" s="129" t="s">
        <v>170</v>
      </c>
      <c r="H114" s="129">
        <v>31.477112247382514</v>
      </c>
      <c r="I114" s="136">
        <v>1.9266044819531265E-2</v>
      </c>
      <c r="J114" s="129">
        <v>3.7374767409761702</v>
      </c>
    </row>
    <row r="115" spans="7:10" ht="15.75" customHeight="1" x14ac:dyDescent="0.3"/>
    <row r="116" spans="7:10" ht="15.75" customHeight="1" x14ac:dyDescent="0.3"/>
    <row r="117" spans="7:10" ht="15.75" customHeight="1" x14ac:dyDescent="0.3"/>
    <row r="118" spans="7:10" ht="15.75" customHeight="1" x14ac:dyDescent="0.3"/>
    <row r="119" spans="7:10" ht="15.75" customHeight="1" x14ac:dyDescent="0.3"/>
    <row r="120" spans="7:10" ht="15.75" customHeight="1" x14ac:dyDescent="0.3"/>
    <row r="121" spans="7:10" ht="15.75" customHeight="1" x14ac:dyDescent="0.3"/>
    <row r="122" spans="7:10" ht="15.75" customHeight="1" x14ac:dyDescent="0.3"/>
    <row r="123" spans="7:10" ht="15.75" customHeight="1" x14ac:dyDescent="0.3"/>
    <row r="124" spans="7:10" ht="15.75" customHeight="1" x14ac:dyDescent="0.3"/>
    <row r="125" spans="7:10" ht="15.75" customHeight="1" x14ac:dyDescent="0.3"/>
    <row r="126" spans="7:10" ht="15.75" customHeight="1" x14ac:dyDescent="0.3"/>
    <row r="127" spans="7:10" ht="15.75" customHeight="1" x14ac:dyDescent="0.3"/>
    <row r="128" spans="7:10" ht="15.75" customHeight="1" x14ac:dyDescent="0.3"/>
    <row r="129" spans="1:12" ht="15.75" customHeight="1" x14ac:dyDescent="0.3"/>
    <row r="130" spans="1:12" ht="15.75" customHeight="1" x14ac:dyDescent="0.3"/>
    <row r="131" spans="1:12" ht="15.75" customHeight="1" x14ac:dyDescent="0.3">
      <c r="A131" s="137" t="s">
        <v>172</v>
      </c>
      <c r="B131" s="137" t="s">
        <v>136</v>
      </c>
      <c r="C131" s="137" t="s">
        <v>137</v>
      </c>
      <c r="D131" s="137" t="s">
        <v>173</v>
      </c>
      <c r="E131" s="137" t="s">
        <v>174</v>
      </c>
      <c r="F131" s="137" t="s">
        <v>175</v>
      </c>
      <c r="G131" s="137" t="s">
        <v>176</v>
      </c>
      <c r="H131" s="110"/>
      <c r="I131" s="137" t="s">
        <v>136</v>
      </c>
      <c r="J131" s="137" t="s">
        <v>137</v>
      </c>
      <c r="K131" s="137" t="s">
        <v>177</v>
      </c>
      <c r="L131" s="137" t="s">
        <v>178</v>
      </c>
    </row>
    <row r="132" spans="1:12" ht="15.75" customHeight="1" x14ac:dyDescent="0.3">
      <c r="A132" s="110"/>
      <c r="B132" s="110" t="s">
        <v>163</v>
      </c>
      <c r="C132" s="138">
        <v>400.95</v>
      </c>
      <c r="D132" s="139"/>
      <c r="E132" s="139"/>
      <c r="F132" s="140"/>
      <c r="G132" s="141"/>
      <c r="H132" s="110"/>
      <c r="I132" s="110" t="s">
        <v>163</v>
      </c>
      <c r="J132" s="138">
        <v>400.95</v>
      </c>
      <c r="K132" s="142">
        <f>2.05/5.89</f>
        <v>0.34804753820033957</v>
      </c>
      <c r="L132" s="143"/>
    </row>
    <row r="133" spans="1:12" ht="15.75" customHeight="1" x14ac:dyDescent="0.3">
      <c r="B133" s="113" t="s">
        <v>24</v>
      </c>
      <c r="C133" s="114">
        <v>1597.9</v>
      </c>
      <c r="I133" s="113" t="s">
        <v>24</v>
      </c>
      <c r="J133" s="114">
        <v>1597.9</v>
      </c>
      <c r="K133" s="116">
        <f>6/21</f>
        <v>0.2857142857142857</v>
      </c>
    </row>
    <row r="134" spans="1:12" ht="15.75" customHeight="1" x14ac:dyDescent="0.3">
      <c r="B134" s="113" t="s">
        <v>164</v>
      </c>
      <c r="C134" s="114">
        <v>135.69999999999999</v>
      </c>
      <c r="D134" s="113">
        <v>62</v>
      </c>
      <c r="E134" s="113">
        <v>15.95</v>
      </c>
      <c r="F134" s="144">
        <f t="shared" ref="F134:F138" si="1">(C134/D134)^(1/10)-1</f>
        <v>8.1480805458072458E-2</v>
      </c>
      <c r="G134" s="144">
        <f t="shared" ref="G134:G138" si="2">(C134/E134)^(1/20)-1</f>
        <v>0.11298922018763546</v>
      </c>
      <c r="I134" s="113" t="s">
        <v>164</v>
      </c>
      <c r="J134" s="114">
        <v>135.69999999999999</v>
      </c>
      <c r="K134" s="116">
        <f>1/3.53</f>
        <v>0.28328611898016998</v>
      </c>
      <c r="L134" s="144">
        <f>1/E134</f>
        <v>6.269592476489029E-2</v>
      </c>
    </row>
    <row r="135" spans="1:12" ht="15.75" customHeight="1" x14ac:dyDescent="0.3">
      <c r="B135" s="113" t="s">
        <v>165</v>
      </c>
      <c r="C135" s="114">
        <v>98.45</v>
      </c>
      <c r="D135" s="113">
        <v>33</v>
      </c>
      <c r="E135" s="113">
        <v>220</v>
      </c>
      <c r="F135" s="144">
        <f t="shared" si="1"/>
        <v>0.11550154995644046</v>
      </c>
      <c r="G135" s="144">
        <f t="shared" si="2"/>
        <v>-3.9406481445991348E-2</v>
      </c>
      <c r="I135" s="113" t="s">
        <v>165</v>
      </c>
      <c r="J135" s="114">
        <v>98.45</v>
      </c>
      <c r="K135" s="113">
        <v>0</v>
      </c>
      <c r="L135" s="113">
        <v>0</v>
      </c>
    </row>
    <row r="136" spans="1:12" ht="15.75" customHeight="1" x14ac:dyDescent="0.3">
      <c r="B136" s="113" t="s">
        <v>166</v>
      </c>
      <c r="C136" s="114">
        <v>69.569999999999993</v>
      </c>
      <c r="D136" s="113">
        <v>5.73</v>
      </c>
      <c r="E136" s="113">
        <v>42.26</v>
      </c>
      <c r="F136" s="144">
        <f t="shared" si="1"/>
        <v>0.28359122106259993</v>
      </c>
      <c r="G136" s="144">
        <f t="shared" si="2"/>
        <v>2.523783660596135E-2</v>
      </c>
      <c r="I136" s="113" t="s">
        <v>166</v>
      </c>
      <c r="J136" s="114">
        <v>69.569999999999993</v>
      </c>
      <c r="K136" s="113">
        <v>0</v>
      </c>
      <c r="L136" s="113">
        <v>0</v>
      </c>
    </row>
    <row r="137" spans="1:12" ht="15.75" customHeight="1" x14ac:dyDescent="0.3">
      <c r="B137" s="113" t="s">
        <v>167</v>
      </c>
      <c r="C137" s="114">
        <v>16.16</v>
      </c>
      <c r="D137" s="113">
        <v>20</v>
      </c>
      <c r="E137" s="113">
        <v>129</v>
      </c>
      <c r="F137" s="144">
        <f t="shared" si="1"/>
        <v>-2.1093671715405105E-2</v>
      </c>
      <c r="G137" s="144">
        <f t="shared" si="2"/>
        <v>-9.8651827962397243E-2</v>
      </c>
      <c r="I137" s="113" t="s">
        <v>167</v>
      </c>
      <c r="J137" s="114">
        <v>16.16</v>
      </c>
      <c r="K137" s="113">
        <v>0</v>
      </c>
      <c r="L137" s="113">
        <v>0</v>
      </c>
    </row>
    <row r="138" spans="1:12" ht="15.75" customHeight="1" x14ac:dyDescent="0.3">
      <c r="B138" s="113" t="s">
        <v>168</v>
      </c>
      <c r="C138" s="114">
        <v>99.5</v>
      </c>
      <c r="D138" s="113">
        <v>14</v>
      </c>
      <c r="E138" s="113">
        <v>4.83</v>
      </c>
      <c r="F138" s="144">
        <f t="shared" si="1"/>
        <v>0.21666076892413799</v>
      </c>
      <c r="G138" s="144">
        <f t="shared" si="2"/>
        <v>0.16330554311958179</v>
      </c>
      <c r="I138" s="113" t="s">
        <v>168</v>
      </c>
      <c r="J138" s="114">
        <v>99.5</v>
      </c>
      <c r="K138" s="116">
        <f>0.4/1.63</f>
        <v>0.245398773006135</v>
      </c>
      <c r="L138" s="144">
        <f>0.4/E138</f>
        <v>8.2815734989648032E-2</v>
      </c>
    </row>
    <row r="139" spans="1:12" ht="15.75" customHeight="1" x14ac:dyDescent="0.3">
      <c r="B139" s="125" t="s">
        <v>169</v>
      </c>
      <c r="C139" s="145">
        <v>164.4</v>
      </c>
      <c r="D139" s="125"/>
      <c r="E139" s="125"/>
      <c r="F139" s="125"/>
      <c r="G139" s="125"/>
      <c r="I139" s="125" t="s">
        <v>169</v>
      </c>
      <c r="J139" s="145">
        <v>164.4</v>
      </c>
      <c r="K139" s="125">
        <v>0</v>
      </c>
      <c r="L139" s="125">
        <v>0</v>
      </c>
    </row>
    <row r="140" spans="1:12" ht="15.75" customHeight="1" x14ac:dyDescent="0.3"/>
    <row r="141" spans="1:12" ht="15.75" customHeight="1" x14ac:dyDescent="0.3"/>
    <row r="142" spans="1:12" ht="15.75" customHeight="1" x14ac:dyDescent="0.3"/>
    <row r="143" spans="1:12" ht="15.75" customHeight="1" x14ac:dyDescent="0.3"/>
    <row r="144" spans="1:12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C55:C62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82:C85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05:C108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05:D108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34:G138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7:G34">
    <cfRule type="colorScale" priority="1">
      <colorScale>
        <cfvo type="min"/>
        <cfvo type="max"/>
        <color rgb="FFFFFFFF"/>
        <color rgb="FF57BB8A"/>
      </colorScale>
    </cfRule>
  </conditionalFormatting>
  <conditionalFormatting sqref="G55:G58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G82:G85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05:H112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05:I112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05:J10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27:K34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82:K85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32:K139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27:O3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27:T3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</vt:lpstr>
      <vt:lpstr>Other Telecom Services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2024-11-29T11:06:32Z</dcterms:created>
  <dcterms:modified xsi:type="dcterms:W3CDTF">2024-11-29T11:07:17Z</dcterms:modified>
</cp:coreProperties>
</file>