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profi\Desktop\Documents\Annual Result\Q1_fy26\"/>
    </mc:Choice>
  </mc:AlternateContent>
  <xr:revisionPtr revIDLastSave="0" documentId="8_{71ED3333-3E9B-4A01-8B81-5D49E3C7951E}" xr6:coauthVersionLast="47" xr6:coauthVersionMax="47" xr10:uidLastSave="{00000000-0000-0000-0000-000000000000}"/>
  <bookViews>
    <workbookView xWindow="-108" yWindow="-108" windowWidth="23256" windowHeight="12456" xr2:uid="{D4D158BA-52EF-4039-8371-56DAD1D35A5F}"/>
  </bookViews>
  <sheets>
    <sheet name="HDFCBANK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3" i="1" l="1"/>
  <c r="L83" i="1"/>
  <c r="M81" i="1"/>
  <c r="M80" i="1"/>
  <c r="D79" i="1"/>
  <c r="V77" i="1"/>
  <c r="U77" i="1"/>
  <c r="S77" i="1"/>
  <c r="T75" i="1"/>
  <c r="T77" i="1" s="1"/>
  <c r="F74" i="1"/>
  <c r="D74" i="1"/>
  <c r="D75" i="1" s="1"/>
  <c r="C74" i="1"/>
  <c r="C75" i="1" s="1"/>
  <c r="C76" i="1" s="1"/>
  <c r="N67" i="1"/>
  <c r="M67" i="1"/>
  <c r="O67" i="1" s="1"/>
  <c r="I67" i="1"/>
  <c r="H67" i="1"/>
  <c r="J67" i="1" s="1"/>
  <c r="E67" i="1"/>
  <c r="D67" i="1"/>
  <c r="C67" i="1"/>
  <c r="O66" i="1"/>
  <c r="J66" i="1"/>
  <c r="E66" i="1"/>
  <c r="U65" i="1"/>
  <c r="T65" i="1"/>
  <c r="S65" i="1"/>
  <c r="R65" i="1"/>
  <c r="O65" i="1"/>
  <c r="J65" i="1"/>
  <c r="E65" i="1"/>
  <c r="O64" i="1"/>
  <c r="J64" i="1"/>
  <c r="E64" i="1"/>
  <c r="U63" i="1"/>
  <c r="T63" i="1"/>
  <c r="O63" i="1"/>
  <c r="J63" i="1"/>
  <c r="E63" i="1"/>
  <c r="U62" i="1"/>
  <c r="T62" i="1"/>
  <c r="O62" i="1"/>
  <c r="N62" i="1"/>
  <c r="M62" i="1"/>
  <c r="I62" i="1"/>
  <c r="H62" i="1"/>
  <c r="J62" i="1" s="1"/>
  <c r="D62" i="1"/>
  <c r="C62" i="1"/>
  <c r="E62" i="1" s="1"/>
  <c r="U61" i="1"/>
  <c r="T61" i="1"/>
  <c r="O61" i="1"/>
  <c r="J61" i="1"/>
  <c r="E61" i="1"/>
  <c r="U60" i="1"/>
  <c r="T60" i="1"/>
  <c r="O60" i="1"/>
  <c r="J60" i="1"/>
  <c r="E60" i="1"/>
  <c r="U59" i="1"/>
  <c r="T59" i="1"/>
  <c r="O59" i="1"/>
  <c r="J59" i="1"/>
  <c r="E59" i="1"/>
  <c r="B8" i="1" s="1"/>
  <c r="K56" i="1"/>
  <c r="H79" i="1" s="1"/>
  <c r="I56" i="1"/>
  <c r="J54" i="1"/>
  <c r="N51" i="1"/>
  <c r="P48" i="1"/>
  <c r="O48" i="1"/>
  <c r="L48" i="1"/>
  <c r="K48" i="1"/>
  <c r="J48" i="1"/>
  <c r="H48" i="1"/>
  <c r="G48" i="1"/>
  <c r="F48" i="1"/>
  <c r="C48" i="1"/>
  <c r="O47" i="1"/>
  <c r="L47" i="1"/>
  <c r="K47" i="1"/>
  <c r="J47" i="1"/>
  <c r="H47" i="1"/>
  <c r="G47" i="1"/>
  <c r="F47" i="1"/>
  <c r="C47" i="1"/>
  <c r="N46" i="1"/>
  <c r="L46" i="1"/>
  <c r="K46" i="1"/>
  <c r="J46" i="1"/>
  <c r="H46" i="1"/>
  <c r="G46" i="1"/>
  <c r="F46" i="1"/>
  <c r="C46" i="1"/>
  <c r="L45" i="1"/>
  <c r="K45" i="1"/>
  <c r="J45" i="1"/>
  <c r="H45" i="1"/>
  <c r="G45" i="1"/>
  <c r="F45" i="1"/>
  <c r="E45" i="1"/>
  <c r="C45" i="1"/>
  <c r="L44" i="1"/>
  <c r="K44" i="1"/>
  <c r="J44" i="1"/>
  <c r="H44" i="1"/>
  <c r="G44" i="1"/>
  <c r="F44" i="1"/>
  <c r="E44" i="1"/>
  <c r="D44" i="1"/>
  <c r="C44" i="1"/>
  <c r="BU42" i="1"/>
  <c r="P41" i="1"/>
  <c r="O41" i="1"/>
  <c r="Q41" i="1" s="1"/>
  <c r="Q48" i="1" s="1"/>
  <c r="N41" i="1"/>
  <c r="N48" i="1" s="1"/>
  <c r="M41" i="1"/>
  <c r="M48" i="1" s="1"/>
  <c r="F41" i="1"/>
  <c r="Q40" i="1"/>
  <c r="O40" i="1"/>
  <c r="O44" i="1" s="1"/>
  <c r="N40" i="1"/>
  <c r="M40" i="1"/>
  <c r="E40" i="1"/>
  <c r="E48" i="1" s="1"/>
  <c r="D40" i="1"/>
  <c r="D46" i="1" s="1"/>
  <c r="Q39" i="1"/>
  <c r="O39" i="1"/>
  <c r="P39" i="1" s="1"/>
  <c r="N39" i="1"/>
  <c r="M39" i="1"/>
  <c r="I39" i="1"/>
  <c r="O38" i="1"/>
  <c r="Q38" i="1" s="1"/>
  <c r="N38" i="1"/>
  <c r="M38" i="1"/>
  <c r="I38" i="1"/>
  <c r="Q37" i="1"/>
  <c r="O37" i="1"/>
  <c r="P37" i="1" s="1"/>
  <c r="N37" i="1"/>
  <c r="M37" i="1"/>
  <c r="I37" i="1"/>
  <c r="O36" i="1"/>
  <c r="Q36" i="1" s="1"/>
  <c r="N36" i="1"/>
  <c r="M36" i="1"/>
  <c r="I36" i="1"/>
  <c r="Q35" i="1"/>
  <c r="O35" i="1"/>
  <c r="P35" i="1" s="1"/>
  <c r="N35" i="1"/>
  <c r="N47" i="1" s="1"/>
  <c r="M35" i="1"/>
  <c r="M47" i="1" s="1"/>
  <c r="I35" i="1"/>
  <c r="BU34" i="1"/>
  <c r="AA34" i="1"/>
  <c r="Q34" i="1"/>
  <c r="O34" i="1"/>
  <c r="P34" i="1" s="1"/>
  <c r="N34" i="1"/>
  <c r="M34" i="1"/>
  <c r="I34" i="1"/>
  <c r="BU33" i="1"/>
  <c r="P33" i="1"/>
  <c r="O33" i="1"/>
  <c r="Q33" i="1" s="1"/>
  <c r="N33" i="1"/>
  <c r="M33" i="1"/>
  <c r="I33" i="1"/>
  <c r="BU32" i="1"/>
  <c r="W32" i="1"/>
  <c r="V32" i="1"/>
  <c r="O32" i="1"/>
  <c r="Q32" i="1" s="1"/>
  <c r="N32" i="1"/>
  <c r="M32" i="1"/>
  <c r="I32" i="1"/>
  <c r="BU31" i="1"/>
  <c r="Y31" i="1"/>
  <c r="X31" i="1"/>
  <c r="W31" i="1"/>
  <c r="V31" i="1"/>
  <c r="Q31" i="1"/>
  <c r="P31" i="1"/>
  <c r="O31" i="1"/>
  <c r="N31" i="1"/>
  <c r="M31" i="1"/>
  <c r="I31" i="1"/>
  <c r="BU30" i="1"/>
  <c r="O30" i="1"/>
  <c r="O46" i="1" s="1"/>
  <c r="N30" i="1"/>
  <c r="M30" i="1"/>
  <c r="M46" i="1" s="1"/>
  <c r="I30" i="1"/>
  <c r="BU29" i="1"/>
  <c r="BU47" i="1" s="1"/>
  <c r="AI67" i="1" s="1"/>
  <c r="O29" i="1"/>
  <c r="Q29" i="1" s="1"/>
  <c r="N29" i="1"/>
  <c r="M29" i="1"/>
  <c r="I29" i="1"/>
  <c r="W28" i="1"/>
  <c r="V28" i="1"/>
  <c r="O28" i="1"/>
  <c r="Q28" i="1" s="1"/>
  <c r="N28" i="1"/>
  <c r="M28" i="1"/>
  <c r="I28" i="1"/>
  <c r="W27" i="1"/>
  <c r="Q27" i="1"/>
  <c r="O27" i="1"/>
  <c r="P27" i="1" s="1"/>
  <c r="N27" i="1"/>
  <c r="M27" i="1"/>
  <c r="I27" i="1"/>
  <c r="W26" i="1"/>
  <c r="V26" i="1"/>
  <c r="Q26" i="1"/>
  <c r="O26" i="1"/>
  <c r="P26" i="1" s="1"/>
  <c r="N26" i="1"/>
  <c r="M26" i="1"/>
  <c r="I26" i="1"/>
  <c r="O25" i="1"/>
  <c r="Q25" i="1" s="1"/>
  <c r="N25" i="1"/>
  <c r="M25" i="1"/>
  <c r="I25" i="1"/>
  <c r="Q24" i="1"/>
  <c r="O24" i="1"/>
  <c r="P24" i="1" s="1"/>
  <c r="N24" i="1"/>
  <c r="M24" i="1"/>
  <c r="I24" i="1"/>
  <c r="O23" i="1"/>
  <c r="P23" i="1" s="1"/>
  <c r="N23" i="1"/>
  <c r="M23" i="1"/>
  <c r="I23" i="1"/>
  <c r="Q22" i="1"/>
  <c r="O22" i="1"/>
  <c r="P22" i="1" s="1"/>
  <c r="N22" i="1"/>
  <c r="N45" i="1" s="1"/>
  <c r="M22" i="1"/>
  <c r="M45" i="1" s="1"/>
  <c r="I22" i="1"/>
  <c r="O21" i="1"/>
  <c r="Q21" i="1" s="1"/>
  <c r="N21" i="1"/>
  <c r="M21" i="1"/>
  <c r="I21" i="1"/>
  <c r="Q20" i="1"/>
  <c r="O20" i="1"/>
  <c r="P20" i="1" s="1"/>
  <c r="N20" i="1"/>
  <c r="M20" i="1"/>
  <c r="I20" i="1"/>
  <c r="W19" i="1"/>
  <c r="V19" i="1"/>
  <c r="Q19" i="1"/>
  <c r="O19" i="1"/>
  <c r="P19" i="1" s="1"/>
  <c r="N19" i="1"/>
  <c r="M19" i="1"/>
  <c r="I19" i="1"/>
  <c r="O18" i="1"/>
  <c r="P18" i="1" s="1"/>
  <c r="N18" i="1"/>
  <c r="M18" i="1"/>
  <c r="I18" i="1"/>
  <c r="Q17" i="1"/>
  <c r="O17" i="1"/>
  <c r="P17" i="1" s="1"/>
  <c r="N17" i="1"/>
  <c r="M17" i="1"/>
  <c r="M44" i="1" s="1"/>
  <c r="I17" i="1"/>
  <c r="O16" i="1"/>
  <c r="Q16" i="1" s="1"/>
  <c r="N16" i="1"/>
  <c r="M16" i="1"/>
  <c r="I16" i="1"/>
  <c r="Q15" i="1"/>
  <c r="P15" i="1"/>
  <c r="O15" i="1"/>
  <c r="N15" i="1"/>
  <c r="N44" i="1" s="1"/>
  <c r="M15" i="1"/>
  <c r="I15" i="1"/>
  <c r="N14" i="1"/>
  <c r="M14" i="1"/>
  <c r="I14" i="1"/>
  <c r="N13" i="1"/>
  <c r="M13" i="1"/>
  <c r="I13" i="1"/>
  <c r="N12" i="1"/>
  <c r="M12" i="1"/>
  <c r="I12" i="1"/>
  <c r="N11" i="1"/>
  <c r="M11" i="1"/>
  <c r="I11" i="1"/>
  <c r="D8" i="1"/>
  <c r="C8" i="1"/>
  <c r="Q6" i="1"/>
  <c r="P6" i="1"/>
  <c r="O6" i="1"/>
  <c r="L6" i="1"/>
  <c r="K6" i="1"/>
  <c r="J6" i="1"/>
  <c r="Q5" i="1"/>
  <c r="P5" i="1"/>
  <c r="O5" i="1"/>
  <c r="N5" i="1"/>
  <c r="M5" i="1"/>
  <c r="L5" i="1"/>
  <c r="G8" i="1" s="1"/>
  <c r="K5" i="1"/>
  <c r="J5" i="1"/>
  <c r="F8" i="1" s="1"/>
  <c r="I5" i="1"/>
  <c r="H5" i="1"/>
  <c r="D5" i="1"/>
  <c r="D4" i="1"/>
  <c r="G3" i="1"/>
  <c r="K8" i="1" s="1"/>
  <c r="C3" i="1"/>
  <c r="N8" i="1" s="1"/>
  <c r="L1" i="1"/>
  <c r="J1" i="1"/>
  <c r="E75" i="1" l="1"/>
  <c r="D76" i="1"/>
  <c r="Q44" i="1"/>
  <c r="Q47" i="1"/>
  <c r="I74" i="1"/>
  <c r="F79" i="1" s="1"/>
  <c r="P36" i="1"/>
  <c r="P47" i="1" s="1"/>
  <c r="C5" i="1"/>
  <c r="I40" i="1"/>
  <c r="I44" i="1" s="1"/>
  <c r="D45" i="1"/>
  <c r="E46" i="1"/>
  <c r="J56" i="1"/>
  <c r="K74" i="1"/>
  <c r="P30" i="1"/>
  <c r="Q18" i="1"/>
  <c r="Q23" i="1"/>
  <c r="Q45" i="1" s="1"/>
  <c r="P28" i="1"/>
  <c r="P29" i="1"/>
  <c r="Q30" i="1"/>
  <c r="Q46" i="1" s="1"/>
  <c r="O45" i="1"/>
  <c r="E74" i="1"/>
  <c r="E70" i="1" s="1"/>
  <c r="G5" i="1"/>
  <c r="J8" i="1"/>
  <c r="P32" i="1"/>
  <c r="P40" i="1"/>
  <c r="G74" i="1"/>
  <c r="P16" i="1"/>
  <c r="P44" i="1" s="1"/>
  <c r="P21" i="1"/>
  <c r="P45" i="1" s="1"/>
  <c r="P25" i="1"/>
  <c r="P38" i="1"/>
  <c r="D41" i="1"/>
  <c r="E3" i="1" s="1"/>
  <c r="E5" i="1" s="1"/>
  <c r="D47" i="1"/>
  <c r="D48" i="1"/>
  <c r="L54" i="1"/>
  <c r="L8" i="1" s="1"/>
  <c r="E41" i="1"/>
  <c r="E47" i="1"/>
  <c r="F75" i="1" l="1"/>
  <c r="E76" i="1"/>
  <c r="P46" i="1"/>
  <c r="L74" i="1"/>
  <c r="K75" i="1"/>
  <c r="N74" i="1"/>
  <c r="G79" i="1" s="1"/>
  <c r="I79" i="1" s="1"/>
  <c r="I45" i="1"/>
  <c r="I41" i="1"/>
  <c r="I48" i="1" s="1"/>
  <c r="F3" i="1"/>
  <c r="I46" i="1"/>
  <c r="I47" i="1"/>
  <c r="H74" i="1"/>
  <c r="K76" i="1" l="1"/>
  <c r="N75" i="1"/>
  <c r="L75" i="1"/>
  <c r="M74" i="1"/>
  <c r="F76" i="1"/>
  <c r="I75" i="1"/>
  <c r="G75" i="1"/>
  <c r="H75" i="1" s="1"/>
  <c r="I8" i="1"/>
  <c r="F5" i="1"/>
  <c r="H8" i="1"/>
  <c r="I76" i="1" l="1"/>
  <c r="G76" i="1"/>
  <c r="H76" i="1" s="1"/>
  <c r="N76" i="1"/>
  <c r="L76" i="1"/>
  <c r="M76" i="1" s="1"/>
  <c r="M75" i="1"/>
</calcChain>
</file>

<file path=xl/sharedStrings.xml><?xml version="1.0" encoding="utf-8"?>
<sst xmlns="http://schemas.openxmlformats.org/spreadsheetml/2006/main" count="629" uniqueCount="320">
  <si>
    <t>q1</t>
  </si>
  <si>
    <t>Security Code</t>
  </si>
  <si>
    <t>Security Name</t>
  </si>
  <si>
    <t>Ex Date</t>
  </si>
  <si>
    <t>Purpose</t>
  </si>
  <si>
    <t>Record Date</t>
  </si>
  <si>
    <t>BC Start Date</t>
  </si>
  <si>
    <t>BC End Date</t>
  </si>
  <si>
    <t>ND Start Date</t>
  </si>
  <si>
    <t>ND End Date</t>
  </si>
  <si>
    <t>Actual Payment Date</t>
  </si>
  <si>
    <t>COMPANY</t>
  </si>
  <si>
    <t>PRICE</t>
  </si>
  <si>
    <t>MARKETCAP IN CR</t>
  </si>
  <si>
    <t>SALES</t>
  </si>
  <si>
    <t>PROFIT</t>
  </si>
  <si>
    <t>T_EPS</t>
  </si>
  <si>
    <t>EQUITY</t>
  </si>
  <si>
    <t>RESERVE</t>
  </si>
  <si>
    <t>DEPOSITS</t>
  </si>
  <si>
    <t>BORROWING</t>
  </si>
  <si>
    <t>ADVANCES</t>
  </si>
  <si>
    <t>ASSETS</t>
  </si>
  <si>
    <t>FV</t>
  </si>
  <si>
    <t>BRANCHES</t>
  </si>
  <si>
    <t>EMPOYEES</t>
  </si>
  <si>
    <t>CUSTOMER</t>
  </si>
  <si>
    <t>HDFCBANK</t>
  </si>
  <si>
    <t>PREVIOUS YEAR_FY25</t>
  </si>
  <si>
    <t>GROWTH</t>
  </si>
  <si>
    <t>SALES GR</t>
  </si>
  <si>
    <t>P-MARGIN</t>
  </si>
  <si>
    <t>GNPA%</t>
  </si>
  <si>
    <t>CAR</t>
  </si>
  <si>
    <t>DEPOSIT GR</t>
  </si>
  <si>
    <t>ADVANCES%</t>
  </si>
  <si>
    <t>ROE</t>
  </si>
  <si>
    <t>ROA</t>
  </si>
  <si>
    <t>F_PE</t>
  </si>
  <si>
    <t>YIELD</t>
  </si>
  <si>
    <t>PEG</t>
  </si>
  <si>
    <t>BOOKVALUE</t>
  </si>
  <si>
    <t>PBV</t>
  </si>
  <si>
    <t>Year</t>
  </si>
  <si>
    <t>Revenue</t>
  </si>
  <si>
    <t>Net Profit</t>
  </si>
  <si>
    <t>EPS</t>
  </si>
  <si>
    <t>Equity</t>
  </si>
  <si>
    <t>Other Equity</t>
  </si>
  <si>
    <t>NPM</t>
  </si>
  <si>
    <t>Low Price</t>
  </si>
  <si>
    <t>High Price</t>
  </si>
  <si>
    <t>Low P/E</t>
  </si>
  <si>
    <t>High P/E</t>
  </si>
  <si>
    <t>BookValue</t>
  </si>
  <si>
    <t>Low PBV</t>
  </si>
  <si>
    <t>High PBV</t>
  </si>
  <si>
    <t>Qgrowth</t>
  </si>
  <si>
    <t>2019-20</t>
  </si>
  <si>
    <t>2018-19</t>
  </si>
  <si>
    <t>(in Million)</t>
  </si>
  <si>
    <t>Period Ending</t>
  </si>
  <si>
    <t>Date Begin</t>
  </si>
  <si>
    <t>Open Price</t>
  </si>
  <si>
    <t>Close Price</t>
  </si>
  <si>
    <t>No.of Shares</t>
  </si>
  <si>
    <t>No. of Trades</t>
  </si>
  <si>
    <t>Total Turnover (Rs.)</t>
  </si>
  <si>
    <t>Deliverable Quantity</t>
  </si>
  <si>
    <t>% Deli. Qty to Traded Qty</t>
  </si>
  <si>
    <t>Spread High-Low</t>
  </si>
  <si>
    <t>Spread Close-Open</t>
  </si>
  <si>
    <t>DematFlagExist</t>
  </si>
  <si>
    <t>Dividend</t>
  </si>
  <si>
    <t>-</t>
  </si>
  <si>
    <t>Rs.</t>
  </si>
  <si>
    <t>fy_1996</t>
  </si>
  <si>
    <t>fy_1997</t>
  </si>
  <si>
    <t>fy_1998</t>
  </si>
  <si>
    <t>fy_1999</t>
  </si>
  <si>
    <t>fy_2000</t>
  </si>
  <si>
    <t>fy_2001</t>
  </si>
  <si>
    <t>Income Statement</t>
  </si>
  <si>
    <t>No. of Months</t>
  </si>
  <si>
    <t>Date End</t>
  </si>
  <si>
    <t>@</t>
  </si>
  <si>
    <t>fy_2002</t>
  </si>
  <si>
    <t>6,93,059.60</t>
  </si>
  <si>
    <t>6,02,214.50</t>
  </si>
  <si>
    <t>4,84,699.10</t>
  </si>
  <si>
    <t>4,11,355.40</t>
  </si>
  <si>
    <t>Interest Earned / Operating Income</t>
  </si>
  <si>
    <t>3,50,648.70</t>
  </si>
  <si>
    <t>2,72,863.50</t>
  </si>
  <si>
    <t>1,99,282.10</t>
  </si>
  <si>
    <t>1,61,729.10</t>
  </si>
  <si>
    <t>Description</t>
  </si>
  <si>
    <t>Amount (Rs. million)</t>
  </si>
  <si>
    <t>fy_2003</t>
  </si>
  <si>
    <t>Other Income</t>
  </si>
  <si>
    <t>1,52,203.10</t>
  </si>
  <si>
    <t>1,22,964.90</t>
  </si>
  <si>
    <t>1,07,517.20</t>
  </si>
  <si>
    <t>Interest on Advance</t>
  </si>
  <si>
    <t>2,68,223.90</t>
  </si>
  <si>
    <t>2,05,366.00</t>
  </si>
  <si>
    <t>1,50,850.10</t>
  </si>
  <si>
    <t>1,20,982.80</t>
  </si>
  <si>
    <t>Interest Earned/Net Income from sales/services</t>
  </si>
  <si>
    <t>1,63,140.20</t>
  </si>
  <si>
    <t>1,01,229.60</t>
  </si>
  <si>
    <t xml:space="preserve">Interest Earned </t>
  </si>
  <si>
    <t>fy_2004</t>
  </si>
  <si>
    <t>Total Income</t>
  </si>
  <si>
    <t>816024</t>
  </si>
  <si>
    <t>7,09,731.70</t>
  </si>
  <si>
    <t>5,74,662.50</t>
  </si>
  <si>
    <t>4,90,551.80</t>
  </si>
  <si>
    <t>Income on Investment</t>
  </si>
  <si>
    <t>Interest / discount on Advances / bills</t>
  </si>
  <si>
    <t>1,21,124.90</t>
  </si>
  <si>
    <t>Operating Income</t>
  </si>
  <si>
    <t>fy_2005</t>
  </si>
  <si>
    <t>Expenditure</t>
  </si>
  <si>
    <t>--</t>
  </si>
  <si>
    <t>-1,69,796.90</t>
  </si>
  <si>
    <t>-1,39,875.50</t>
  </si>
  <si>
    <t>-1,20,421.90</t>
  </si>
  <si>
    <t>Interest on Balances</t>
  </si>
  <si>
    <t>Income on Investments</t>
  </si>
  <si>
    <t>fy_2006</t>
  </si>
  <si>
    <t>Interest</t>
  </si>
  <si>
    <t>-3,26,299.30</t>
  </si>
  <si>
    <t>-2,60,742.30</t>
  </si>
  <si>
    <t>-2,26,529.00</t>
  </si>
  <si>
    <t>Others Interests</t>
  </si>
  <si>
    <t>Interest on Balances with RBI &amp; other inter bank funds</t>
  </si>
  <si>
    <t>fy_2007</t>
  </si>
  <si>
    <t>PBDT</t>
  </si>
  <si>
    <t>3,26,248.10</t>
  </si>
  <si>
    <t>2,57,323.90</t>
  </si>
  <si>
    <t>2,13,635.50</t>
  </si>
  <si>
    <t>1,74,044.70</t>
  </si>
  <si>
    <t>1,43,600.90</t>
  </si>
  <si>
    <t>Others</t>
  </si>
  <si>
    <t>fy_2008</t>
  </si>
  <si>
    <t>Depreciation</t>
  </si>
  <si>
    <t>3,25,300.40</t>
  </si>
  <si>
    <t>2,42,633.60</t>
  </si>
  <si>
    <t>fy_2009</t>
  </si>
  <si>
    <t>PBT</t>
  </si>
  <si>
    <t>Interest Expended</t>
  </si>
  <si>
    <t>-1,92,537.50</t>
  </si>
  <si>
    <t>-1,49,895.80</t>
  </si>
  <si>
    <t>1,97,505.40</t>
  </si>
  <si>
    <t>1,24,955.30</t>
  </si>
  <si>
    <t>fy_2010</t>
  </si>
  <si>
    <t>Tax</t>
  </si>
  <si>
    <t>-92105.7</t>
  </si>
  <si>
    <t>Operating Expenses</t>
  </si>
  <si>
    <t>-1,12,361.20</t>
  </si>
  <si>
    <t>split</t>
  </si>
  <si>
    <t>fy_2011</t>
  </si>
  <si>
    <t>145496</t>
  </si>
  <si>
    <t>1,22,962.30</t>
  </si>
  <si>
    <t>1,02,159.20</t>
  </si>
  <si>
    <t>Payment/Provisions for Employees</t>
  </si>
  <si>
    <t>Interest Expanded</t>
  </si>
  <si>
    <t>fy_2012 (split10*2)</t>
  </si>
  <si>
    <t>Total Expenditure for Banks</t>
  </si>
  <si>
    <t>-3,04,898.70</t>
  </si>
  <si>
    <t>-2,35,796.40</t>
  </si>
  <si>
    <t>-1,65,380.00</t>
  </si>
  <si>
    <t>-1,35,508.00</t>
  </si>
  <si>
    <t>Employee Cost</t>
  </si>
  <si>
    <t>fy_2013</t>
  </si>
  <si>
    <t>Profit before Tax</t>
  </si>
  <si>
    <t>1,14,276.20</t>
  </si>
  <si>
    <t>Other operating expenses</t>
  </si>
  <si>
    <t>fy_2014</t>
  </si>
  <si>
    <t>CEPS</t>
  </si>
  <si>
    <t>67.38</t>
  </si>
  <si>
    <t>-1,45,526.40</t>
  </si>
  <si>
    <t>Other Operating Expenses</t>
  </si>
  <si>
    <t>fy_2015</t>
  </si>
  <si>
    <t>OPM %</t>
  </si>
  <si>
    <t>Provisions and Contingencies</t>
  </si>
  <si>
    <t>Operating Profit Before Provisions and Contingencies</t>
  </si>
  <si>
    <t>Profit (+)/ Loss (-) from Ordinary Activities before Tax</t>
  </si>
  <si>
    <t>fy_2016</t>
  </si>
  <si>
    <t>NPM %</t>
  </si>
  <si>
    <t>Provisions (other than tax) and Contingencies</t>
  </si>
  <si>
    <t>Operating Profit</t>
  </si>
  <si>
    <t>fy_2017</t>
  </si>
  <si>
    <t>NPA</t>
  </si>
  <si>
    <t>Detailed</t>
  </si>
  <si>
    <t>Equity Capital</t>
  </si>
  <si>
    <t>Exceptional Item</t>
  </si>
  <si>
    <t>fy_2018</t>
  </si>
  <si>
    <t>dividend</t>
  </si>
  <si>
    <t>Consolidated</t>
  </si>
  <si>
    <t>Reserves</t>
  </si>
  <si>
    <t>3,57,382.60</t>
  </si>
  <si>
    <t>2,94,550.40</t>
  </si>
  <si>
    <t>2,49,111.30</t>
  </si>
  <si>
    <t>2,10,618.50</t>
  </si>
  <si>
    <t>Net Profit (+)/ Loss (-) from Ordinary Activities after Tax</t>
  </si>
  <si>
    <t>fy_2019</t>
  </si>
  <si>
    <t>dividend %</t>
  </si>
  <si>
    <t>Segment</t>
  </si>
  <si>
    <t>Capital Adequacy Ratio in Percent</t>
  </si>
  <si>
    <t>Extraordinary Items</t>
  </si>
  <si>
    <t>fy_2020 (split2*1)</t>
  </si>
  <si>
    <t>fy_2021</t>
  </si>
  <si>
    <t>fy_2022</t>
  </si>
  <si>
    <t>fy_2023</t>
  </si>
  <si>
    <t>fy_2024_Merger</t>
  </si>
  <si>
    <t>fy_2025</t>
  </si>
  <si>
    <t>Trail fy_2026</t>
  </si>
  <si>
    <t>Basic EPS after Extraordinary items</t>
  </si>
  <si>
    <t>Profit after Tax</t>
  </si>
  <si>
    <t>25 Year</t>
  </si>
  <si>
    <t>Diluted EPS after Extraordinary items</t>
  </si>
  <si>
    <t>Minority Interest</t>
  </si>
  <si>
    <t>20 Year</t>
  </si>
  <si>
    <t>Nos. of Shares - Public</t>
  </si>
  <si>
    <t>1,42,97,66,866.00</t>
  </si>
  <si>
    <t>1,39,78,42,379.00</t>
  </si>
  <si>
    <t>27,54,40,073.00</t>
  </si>
  <si>
    <t>34,91,00,052.00</t>
  </si>
  <si>
    <t>Share of Profit &amp; Loss of Asso</t>
  </si>
  <si>
    <t>10 Year</t>
  </si>
  <si>
    <t>Growth</t>
  </si>
  <si>
    <t>5 Year</t>
  </si>
  <si>
    <t>Percent of Shares-Public</t>
  </si>
  <si>
    <t>Net Profit after Mino Inter &amp; Share of P &amp; L</t>
  </si>
  <si>
    <t>LAST YEAR</t>
  </si>
  <si>
    <t>Net Profit Margin</t>
  </si>
  <si>
    <t>Any Other</t>
  </si>
  <si>
    <t>YEAR</t>
  </si>
  <si>
    <t>H1_FY_25</t>
  </si>
  <si>
    <t>9M_FY_25</t>
  </si>
  <si>
    <t>FY_25</t>
  </si>
  <si>
    <t>Q1_FY_25</t>
  </si>
  <si>
    <t>EST_FY26</t>
  </si>
  <si>
    <t>Current Trend</t>
  </si>
  <si>
    <t>Q2_2025</t>
  </si>
  <si>
    <t>Q3_2025</t>
  </si>
  <si>
    <t>Q4_2025</t>
  </si>
  <si>
    <t>Q1_2026</t>
  </si>
  <si>
    <t>T_EPS_26</t>
  </si>
  <si>
    <t>Cost of Investment In Sub</t>
  </si>
  <si>
    <t>Nos. of Shares - Non Promoters</t>
  </si>
  <si>
    <t>25,05,28,608.00</t>
  </si>
  <si>
    <t>24,42,81,408.00</t>
  </si>
  <si>
    <t>24,10,14,308.00</t>
  </si>
  <si>
    <t>21,59,30,713.00</t>
  </si>
  <si>
    <t>21,31,85,713.00</t>
  </si>
  <si>
    <t>21,25,14,613.00</t>
  </si>
  <si>
    <t>EPS_25</t>
  </si>
  <si>
    <t>F_EPS_26</t>
  </si>
  <si>
    <t>MARGIN</t>
  </si>
  <si>
    <t>PE_25</t>
  </si>
  <si>
    <t>PE_26</t>
  </si>
  <si>
    <t>RESULTS</t>
  </si>
  <si>
    <t>Q1_FY_26</t>
  </si>
  <si>
    <t>Q4_FY_25</t>
  </si>
  <si>
    <t>Q4_FY_24</t>
  </si>
  <si>
    <t>FY_24</t>
  </si>
  <si>
    <t>COST</t>
  </si>
  <si>
    <t>SHARE</t>
  </si>
  <si>
    <t>INTEREST</t>
  </si>
  <si>
    <t>EMPLOYEE</t>
  </si>
  <si>
    <t>PROVISONS</t>
  </si>
  <si>
    <t>CLAIMS</t>
  </si>
  <si>
    <t>TOTAL COST</t>
  </si>
  <si>
    <t>OTHERCOST</t>
  </si>
  <si>
    <t>Profit</t>
  </si>
  <si>
    <t>@ Shares traded in Physical form</t>
  </si>
  <si>
    <t>TOTAL</t>
  </si>
  <si>
    <t>GNPA</t>
  </si>
  <si>
    <t>Margin</t>
  </si>
  <si>
    <t>Estimates</t>
  </si>
  <si>
    <t>SEGMENT</t>
  </si>
  <si>
    <t>STAKE</t>
  </si>
  <si>
    <t>Investment</t>
  </si>
  <si>
    <t>Sales Gr</t>
  </si>
  <si>
    <t>Pr Gr</t>
  </si>
  <si>
    <t>FY_26</t>
  </si>
  <si>
    <t>HDBFSL</t>
  </si>
  <si>
    <t>LongTerm</t>
  </si>
  <si>
    <t>HDFC Life</t>
  </si>
  <si>
    <t>HDFC ERGO</t>
  </si>
  <si>
    <t>LOW PRICE RANGE</t>
  </si>
  <si>
    <t>FAIRVALUE</t>
  </si>
  <si>
    <t>HIGH PRICE RANGE</t>
  </si>
  <si>
    <t>HDFC AMC</t>
  </si>
  <si>
    <t>EST_2026</t>
  </si>
  <si>
    <t>HSL</t>
  </si>
  <si>
    <t>EST_FY30</t>
  </si>
  <si>
    <t>EST_FY35</t>
  </si>
  <si>
    <t>Company</t>
  </si>
  <si>
    <t>Price</t>
  </si>
  <si>
    <t>WEIGHTAGE</t>
  </si>
  <si>
    <t>WEIGHTAGE @ EPS</t>
  </si>
  <si>
    <t>WEIGHTAGE @ BV</t>
  </si>
  <si>
    <t>WEIGHTAGE @ PEG</t>
  </si>
  <si>
    <t>ACTUAL WEIGHTAGE</t>
  </si>
  <si>
    <t>SHP</t>
  </si>
  <si>
    <t>FY_2001</t>
  </si>
  <si>
    <t>FY_2022</t>
  </si>
  <si>
    <t>FY_23_PRE</t>
  </si>
  <si>
    <t>FY_24_POST</t>
  </si>
  <si>
    <t>Promoter</t>
  </si>
  <si>
    <t>MutualFunds &amp; INSURANCE</t>
  </si>
  <si>
    <t>FPI</t>
  </si>
  <si>
    <t>Banks, FI, Corporates</t>
  </si>
  <si>
    <t>Retail</t>
  </si>
  <si>
    <t>ADR</t>
  </si>
  <si>
    <t>www.profitfromit.in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</si>
</sst>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0.0%"/>
    <numFmt numFmtId="165" formatCode="#,##0.0"/>
    <numFmt numFmtId="166" formatCode="_ * #,##0_ ;_ * \-#,##0_ ;_ * &quot;-&quot;??_ ;_ @_ "/>
    <numFmt numFmtId="167" formatCode="_ * #,##0.0_ ;_ * \-#,##0.0_ ;_ * &quot;-&quot;??_ ;_ @_ "/>
    <numFmt numFmtId="168" formatCode="0.0"/>
    <numFmt numFmtId="169" formatCode="_-* #,##0_-;\-* #,##0_-;_-* &quot;-&quot;??_-;_-@"/>
    <numFmt numFmtId="170" formatCode="#,##0;\(#,##0\)"/>
  </numFmts>
  <fonts count="36">
    <font>
      <sz val="11"/>
      <color theme="1"/>
      <name val="Arial"/>
      <scheme val="minor"/>
    </font>
    <font>
      <sz val="11"/>
      <color theme="1"/>
      <name val="Arial"/>
      <scheme val="minor"/>
    </font>
    <font>
      <sz val="11"/>
      <color theme="1"/>
      <name val="Calibri"/>
    </font>
    <font>
      <b/>
      <sz val="9"/>
      <color rgb="FFFFFFFF"/>
      <name val="Arial"/>
    </font>
    <font>
      <b/>
      <sz val="11"/>
      <color theme="0"/>
      <name val="Calibri"/>
    </font>
    <font>
      <b/>
      <sz val="11"/>
      <color rgb="FFFFFFFF"/>
      <name val="Calibri"/>
    </font>
    <font>
      <sz val="11"/>
      <color theme="1"/>
      <name val="Arial"/>
    </font>
    <font>
      <b/>
      <i/>
      <sz val="11"/>
      <color theme="1"/>
      <name val="Calibri"/>
    </font>
    <font>
      <i/>
      <sz val="11"/>
      <color rgb="FF7F7F7F"/>
      <name val="Calibri"/>
    </font>
    <font>
      <u/>
      <sz val="11"/>
      <color theme="10"/>
      <name val="Calibri"/>
    </font>
    <font>
      <sz val="9"/>
      <color rgb="FF000000"/>
      <name val="Arial"/>
    </font>
    <font>
      <sz val="11"/>
      <color rgb="FF000000"/>
      <name val="Calibri"/>
    </font>
    <font>
      <sz val="11"/>
      <color theme="1"/>
      <name val="&quot;Times New Roman&quot;"/>
    </font>
    <font>
      <sz val="11"/>
      <color rgb="FF000000"/>
      <name val="&quot;Times New Roman&quot;"/>
    </font>
    <font>
      <sz val="11"/>
      <color theme="10"/>
      <name val="Calibri"/>
    </font>
    <font>
      <sz val="10"/>
      <color rgb="FF000000"/>
      <name val="Arial"/>
    </font>
    <font>
      <sz val="10"/>
      <color rgb="FF000000"/>
      <name val="Myfirstfont"/>
    </font>
    <font>
      <sz val="10"/>
      <color theme="1"/>
      <name val="Myfirstfont"/>
    </font>
    <font>
      <b/>
      <sz val="11"/>
      <color rgb="FF3F3F3F"/>
      <name val="Calibri"/>
    </font>
    <font>
      <b/>
      <sz val="11"/>
      <color theme="0"/>
      <name val="Arial"/>
    </font>
    <font>
      <b/>
      <sz val="11"/>
      <color rgb="FFFFFFFF"/>
      <name val="Arial"/>
    </font>
    <font>
      <b/>
      <sz val="14"/>
      <color rgb="FFFFFFFF"/>
      <name val="Arial"/>
    </font>
    <font>
      <b/>
      <sz val="22"/>
      <color theme="1"/>
      <name val="Arial"/>
      <scheme val="minor"/>
    </font>
    <font>
      <sz val="11"/>
      <name val="Arial"/>
    </font>
    <font>
      <sz val="11"/>
      <color rgb="FF000000"/>
      <name val="Arial"/>
    </font>
    <font>
      <b/>
      <i/>
      <u/>
      <sz val="11"/>
      <color theme="1"/>
      <name val="Arial"/>
    </font>
    <font>
      <b/>
      <i/>
      <u/>
      <sz val="11"/>
      <color rgb="FF000000"/>
      <name val="Arial"/>
    </font>
    <font>
      <b/>
      <i/>
      <u/>
      <sz val="11"/>
      <color theme="1"/>
      <name val="Arial"/>
      <scheme val="minor"/>
    </font>
    <font>
      <b/>
      <i/>
      <u/>
      <sz val="11"/>
      <color theme="1"/>
      <name val="Calibri"/>
    </font>
    <font>
      <i/>
      <sz val="11"/>
      <color theme="1"/>
      <name val="Calibri"/>
    </font>
    <font>
      <i/>
      <sz val="11"/>
      <color theme="1"/>
      <name val="Arial"/>
    </font>
    <font>
      <i/>
      <sz val="11"/>
      <color rgb="FF0C0C0C"/>
      <name val="Times New Roman"/>
    </font>
    <font>
      <b/>
      <sz val="9"/>
      <color rgb="FFFFFFFF"/>
      <name val="Times New Roman"/>
    </font>
    <font>
      <sz val="11"/>
      <color theme="1"/>
      <name val="Source Code Pro"/>
    </font>
    <font>
      <sz val="11"/>
      <color theme="1"/>
      <name val="Times New Roman"/>
    </font>
    <font>
      <b/>
      <u/>
      <sz val="18"/>
      <color rgb="FFFFFFFF"/>
      <name val="Calibri"/>
    </font>
  </fonts>
  <fills count="1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/>
        <bgColor theme="4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rgb="FF073763"/>
        <bgColor rgb="FF073763"/>
      </patternFill>
    </fill>
    <fill>
      <patternFill patternType="solid">
        <fgColor rgb="FFFFFFFF"/>
        <bgColor rgb="FFFFFFFF"/>
      </patternFill>
    </fill>
    <fill>
      <patternFill patternType="solid">
        <fgColor rgb="FF57BB8A"/>
        <bgColor rgb="FF57BB8A"/>
      </patternFill>
    </fill>
    <fill>
      <patternFill patternType="solid">
        <fgColor rgb="FF4F81BD"/>
        <bgColor rgb="FF4F81BD"/>
      </patternFill>
    </fill>
    <fill>
      <patternFill patternType="solid">
        <fgColor rgb="FF5B9BD5"/>
        <bgColor rgb="FF5B9BD5"/>
      </patternFill>
    </fill>
    <fill>
      <patternFill patternType="solid">
        <fgColor rgb="FF63C093"/>
        <bgColor rgb="FF63C093"/>
      </patternFill>
    </fill>
    <fill>
      <patternFill patternType="solid">
        <fgColor rgb="FFFEFAF9"/>
        <bgColor rgb="FFFEFAF9"/>
      </patternFill>
    </fill>
    <fill>
      <patternFill patternType="solid">
        <fgColor rgb="FFE67F77"/>
        <bgColor rgb="FFE67F77"/>
      </patternFill>
    </fill>
    <fill>
      <patternFill patternType="solid">
        <fgColor rgb="FFD9D9D9"/>
        <bgColor rgb="FFD9D9D9"/>
      </patternFill>
    </fill>
    <fill>
      <patternFill patternType="solid">
        <fgColor rgb="FFE67C73"/>
        <bgColor rgb="FFE67C73"/>
      </patternFill>
    </fill>
    <fill>
      <patternFill patternType="solid">
        <fgColor rgb="FF0C343D"/>
        <bgColor rgb="FF0C343D"/>
      </patternFill>
    </fill>
    <fill>
      <patternFill patternType="solid">
        <fgColor rgb="FF8DD1B0"/>
        <bgColor rgb="FF8DD1B0"/>
      </patternFill>
    </fill>
  </fills>
  <borders count="14">
    <border>
      <left/>
      <right/>
      <top/>
      <bottom/>
      <diagonal/>
    </border>
    <border>
      <left style="medium">
        <color rgb="FFD6D6D6"/>
      </left>
      <right/>
      <top style="medium">
        <color rgb="FFD6D6D6"/>
      </top>
      <bottom/>
      <diagonal/>
    </border>
    <border>
      <left style="medium">
        <color rgb="FFD6D6D6"/>
      </left>
      <right style="medium">
        <color rgb="FFD6D6D6"/>
      </right>
      <top style="medium">
        <color rgb="FFD6D6D6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D6D6D6"/>
      </left>
      <right style="medium">
        <color rgb="FFD6D6D6"/>
      </right>
      <top style="medium">
        <color rgb="FFD6D6D6"/>
      </top>
      <bottom style="medium">
        <color rgb="FFD6D6D6"/>
      </bottom>
      <diagonal/>
    </border>
    <border>
      <left/>
      <right/>
      <top style="medium">
        <color rgb="FFD6D6D6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2" borderId="0" xfId="0" applyFont="1" applyFill="1"/>
    <xf numFmtId="10" fontId="2" fillId="2" borderId="0" xfId="0" applyNumberFormat="1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1" fontId="1" fillId="0" borderId="3" xfId="0" applyNumberFormat="1" applyFont="1" applyBorder="1"/>
    <xf numFmtId="1" fontId="6" fillId="0" borderId="3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1" fillId="0" borderId="3" xfId="0" applyFont="1" applyBorder="1"/>
    <xf numFmtId="0" fontId="6" fillId="2" borderId="3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/>
    <xf numFmtId="4" fontId="2" fillId="2" borderId="3" xfId="0" applyNumberFormat="1" applyFont="1" applyFill="1" applyBorder="1"/>
    <xf numFmtId="0" fontId="6" fillId="0" borderId="3" xfId="0" applyFont="1" applyBorder="1"/>
    <xf numFmtId="0" fontId="6" fillId="0" borderId="0" xfId="0" applyFont="1"/>
    <xf numFmtId="164" fontId="7" fillId="4" borderId="3" xfId="0" applyNumberFormat="1" applyFont="1" applyFill="1" applyBorder="1"/>
    <xf numFmtId="0" fontId="1" fillId="0" borderId="0" xfId="0" applyFont="1"/>
    <xf numFmtId="9" fontId="6" fillId="5" borderId="3" xfId="0" applyNumberFormat="1" applyFont="1" applyFill="1" applyBorder="1" applyAlignment="1">
      <alignment horizontal="right"/>
    </xf>
    <xf numFmtId="164" fontId="6" fillId="5" borderId="3" xfId="0" applyNumberFormat="1" applyFont="1" applyFill="1" applyBorder="1" applyAlignment="1">
      <alignment horizontal="right"/>
    </xf>
    <xf numFmtId="10" fontId="1" fillId="5" borderId="0" xfId="0" applyNumberFormat="1" applyFont="1" applyFill="1"/>
    <xf numFmtId="3" fontId="6" fillId="5" borderId="3" xfId="0" applyNumberFormat="1" applyFont="1" applyFill="1" applyBorder="1" applyAlignment="1">
      <alignment horizontal="right"/>
    </xf>
    <xf numFmtId="165" fontId="6" fillId="5" borderId="3" xfId="0" applyNumberFormat="1" applyFont="1" applyFill="1" applyBorder="1" applyAlignment="1">
      <alignment horizontal="right"/>
    </xf>
    <xf numFmtId="9" fontId="1" fillId="0" borderId="0" xfId="0" applyNumberFormat="1" applyFont="1"/>
    <xf numFmtId="0" fontId="8" fillId="2" borderId="0" xfId="0" applyFont="1" applyFill="1"/>
    <xf numFmtId="0" fontId="6" fillId="2" borderId="0" xfId="0" applyFont="1" applyFill="1"/>
    <xf numFmtId="15" fontId="2" fillId="2" borderId="0" xfId="0" applyNumberFormat="1" applyFont="1" applyFill="1"/>
    <xf numFmtId="0" fontId="9" fillId="2" borderId="4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left" wrapText="1"/>
    </xf>
    <xf numFmtId="0" fontId="10" fillId="2" borderId="4" xfId="0" applyFont="1" applyFill="1" applyBorder="1" applyAlignment="1">
      <alignment horizontal="center" wrapText="1"/>
    </xf>
    <xf numFmtId="15" fontId="10" fillId="2" borderId="4" xfId="0" applyNumberFormat="1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left"/>
    </xf>
    <xf numFmtId="166" fontId="12" fillId="0" borderId="3" xfId="0" applyNumberFormat="1" applyFont="1" applyBorder="1" applyAlignment="1">
      <alignment horizontal="right"/>
    </xf>
    <xf numFmtId="167" fontId="13" fillId="0" borderId="3" xfId="0" applyNumberFormat="1" applyFont="1" applyBorder="1" applyAlignment="1">
      <alignment horizontal="right"/>
    </xf>
    <xf numFmtId="164" fontId="2" fillId="2" borderId="3" xfId="0" applyNumberFormat="1" applyFont="1" applyFill="1" applyBorder="1"/>
    <xf numFmtId="1" fontId="2" fillId="2" borderId="3" xfId="0" applyNumberFormat="1" applyFont="1" applyFill="1" applyBorder="1"/>
    <xf numFmtId="168" fontId="1" fillId="0" borderId="3" xfId="0" applyNumberFormat="1" applyFont="1" applyBorder="1"/>
    <xf numFmtId="0" fontId="14" fillId="2" borderId="4" xfId="0" applyFont="1" applyFill="1" applyBorder="1" applyAlignment="1">
      <alignment horizontal="center" wrapText="1"/>
    </xf>
    <xf numFmtId="167" fontId="12" fillId="0" borderId="3" xfId="0" applyNumberFormat="1" applyFont="1" applyBorder="1" applyAlignment="1">
      <alignment horizontal="right"/>
    </xf>
    <xf numFmtId="166" fontId="13" fillId="0" borderId="3" xfId="0" applyNumberFormat="1" applyFont="1" applyBorder="1" applyAlignment="1">
      <alignment horizontal="right"/>
    </xf>
    <xf numFmtId="166" fontId="12" fillId="0" borderId="3" xfId="0" applyNumberFormat="1" applyFont="1" applyBorder="1" applyAlignment="1">
      <alignment horizontal="right" wrapText="1"/>
    </xf>
    <xf numFmtId="168" fontId="2" fillId="2" borderId="3" xfId="0" applyNumberFormat="1" applyFont="1" applyFill="1" applyBorder="1"/>
    <xf numFmtId="49" fontId="2" fillId="2" borderId="0" xfId="0" applyNumberFormat="1" applyFont="1" applyFill="1"/>
    <xf numFmtId="1" fontId="15" fillId="2" borderId="3" xfId="0" applyNumberFormat="1" applyFont="1" applyFill="1" applyBorder="1"/>
    <xf numFmtId="168" fontId="16" fillId="2" borderId="3" xfId="0" applyNumberFormat="1" applyFont="1" applyFill="1" applyBorder="1"/>
    <xf numFmtId="2" fontId="2" fillId="2" borderId="0" xfId="0" applyNumberFormat="1" applyFont="1" applyFill="1"/>
    <xf numFmtId="9" fontId="2" fillId="2" borderId="0" xfId="0" applyNumberFormat="1" applyFont="1" applyFill="1"/>
    <xf numFmtId="4" fontId="2" fillId="2" borderId="0" xfId="0" applyNumberFormat="1" applyFont="1" applyFill="1"/>
    <xf numFmtId="168" fontId="17" fillId="2" borderId="3" xfId="0" applyNumberFormat="1" applyFont="1" applyFill="1" applyBorder="1"/>
    <xf numFmtId="0" fontId="2" fillId="2" borderId="3" xfId="0" applyFont="1" applyFill="1" applyBorder="1" applyAlignment="1">
      <alignment horizontal="left"/>
    </xf>
    <xf numFmtId="168" fontId="2" fillId="2" borderId="0" xfId="0" applyNumberFormat="1" applyFont="1" applyFill="1"/>
    <xf numFmtId="168" fontId="15" fillId="2" borderId="3" xfId="0" applyNumberFormat="1" applyFont="1" applyFill="1" applyBorder="1"/>
    <xf numFmtId="1" fontId="11" fillId="2" borderId="3" xfId="0" applyNumberFormat="1" applyFont="1" applyFill="1" applyBorder="1"/>
    <xf numFmtId="168" fontId="11" fillId="2" borderId="3" xfId="0" applyNumberFormat="1" applyFont="1" applyFill="1" applyBorder="1"/>
    <xf numFmtId="0" fontId="11" fillId="2" borderId="3" xfId="0" applyFont="1" applyFill="1" applyBorder="1"/>
    <xf numFmtId="3" fontId="18" fillId="2" borderId="3" xfId="0" applyNumberFormat="1" applyFont="1" applyFill="1" applyBorder="1"/>
    <xf numFmtId="165" fontId="18" fillId="2" borderId="3" xfId="0" applyNumberFormat="1" applyFont="1" applyFill="1" applyBorder="1"/>
    <xf numFmtId="0" fontId="5" fillId="3" borderId="3" xfId="0" applyFont="1" applyFill="1" applyBorder="1" applyAlignment="1">
      <alignment horizontal="left"/>
    </xf>
    <xf numFmtId="0" fontId="10" fillId="2" borderId="5" xfId="0" applyFont="1" applyFill="1" applyBorder="1" applyAlignment="1">
      <alignment vertical="top" wrapText="1"/>
    </xf>
    <xf numFmtId="0" fontId="10" fillId="2" borderId="0" xfId="0" applyFont="1" applyFill="1" applyAlignment="1">
      <alignment vertical="top" wrapText="1"/>
    </xf>
    <xf numFmtId="164" fontId="1" fillId="0" borderId="0" xfId="0" applyNumberFormat="1" applyFont="1"/>
    <xf numFmtId="165" fontId="1" fillId="0" borderId="0" xfId="0" applyNumberFormat="1" applyFont="1"/>
    <xf numFmtId="0" fontId="1" fillId="2" borderId="0" xfId="0" applyFont="1" applyFill="1"/>
    <xf numFmtId="9" fontId="18" fillId="2" borderId="3" xfId="0" applyNumberFormat="1" applyFont="1" applyFill="1" applyBorder="1"/>
    <xf numFmtId="0" fontId="4" fillId="3" borderId="3" xfId="0" applyFont="1" applyFill="1" applyBorder="1" applyAlignment="1">
      <alignment horizontal="left"/>
    </xf>
    <xf numFmtId="168" fontId="1" fillId="0" borderId="0" xfId="0" applyNumberFormat="1" applyFont="1"/>
    <xf numFmtId="164" fontId="18" fillId="2" borderId="3" xfId="0" applyNumberFormat="1" applyFont="1" applyFill="1" applyBorder="1"/>
    <xf numFmtId="0" fontId="19" fillId="3" borderId="3" xfId="0" applyFont="1" applyFill="1" applyBorder="1"/>
    <xf numFmtId="0" fontId="20" fillId="3" borderId="3" xfId="0" applyFont="1" applyFill="1" applyBorder="1"/>
    <xf numFmtId="0" fontId="6" fillId="2" borderId="3" xfId="0" applyFont="1" applyFill="1" applyBorder="1"/>
    <xf numFmtId="9" fontId="1" fillId="0" borderId="3" xfId="0" applyNumberFormat="1" applyFont="1" applyBorder="1"/>
    <xf numFmtId="2" fontId="6" fillId="0" borderId="3" xfId="0" applyNumberFormat="1" applyFont="1" applyBorder="1" applyAlignment="1">
      <alignment horizontal="right"/>
    </xf>
    <xf numFmtId="0" fontId="21" fillId="6" borderId="3" xfId="0" applyFont="1" applyFill="1" applyBorder="1" applyAlignment="1">
      <alignment horizontal="center"/>
    </xf>
    <xf numFmtId="164" fontId="1" fillId="0" borderId="3" xfId="0" applyNumberFormat="1" applyFont="1" applyBorder="1"/>
    <xf numFmtId="2" fontId="6" fillId="7" borderId="3" xfId="0" applyNumberFormat="1" applyFont="1" applyFill="1" applyBorder="1" applyAlignment="1">
      <alignment horizontal="center"/>
    </xf>
    <xf numFmtId="0" fontId="6" fillId="8" borderId="3" xfId="0" applyFont="1" applyFill="1" applyBorder="1" applyAlignment="1">
      <alignment horizontal="center"/>
    </xf>
    <xf numFmtId="168" fontId="22" fillId="4" borderId="6" xfId="0" applyNumberFormat="1" applyFont="1" applyFill="1" applyBorder="1" applyAlignment="1">
      <alignment horizontal="center" vertical="center"/>
    </xf>
    <xf numFmtId="0" fontId="23" fillId="0" borderId="7" xfId="0" applyFont="1" applyBorder="1"/>
    <xf numFmtId="1" fontId="6" fillId="7" borderId="3" xfId="0" applyNumberFormat="1" applyFont="1" applyFill="1" applyBorder="1" applyAlignment="1">
      <alignment horizontal="center"/>
    </xf>
    <xf numFmtId="0" fontId="23" fillId="0" borderId="8" xfId="0" applyFont="1" applyBorder="1"/>
    <xf numFmtId="0" fontId="24" fillId="2" borderId="3" xfId="0" applyFont="1" applyFill="1" applyBorder="1"/>
    <xf numFmtId="169" fontId="1" fillId="0" borderId="0" xfId="0" applyNumberFormat="1" applyFont="1"/>
    <xf numFmtId="0" fontId="25" fillId="2" borderId="3" xfId="0" applyFont="1" applyFill="1" applyBorder="1"/>
    <xf numFmtId="3" fontId="26" fillId="2" borderId="3" xfId="0" applyNumberFormat="1" applyFont="1" applyFill="1" applyBorder="1"/>
    <xf numFmtId="9" fontId="27" fillId="0" borderId="3" xfId="0" applyNumberFormat="1" applyFont="1" applyBorder="1"/>
    <xf numFmtId="164" fontId="28" fillId="2" borderId="3" xfId="0" applyNumberFormat="1" applyFont="1" applyFill="1" applyBorder="1"/>
    <xf numFmtId="10" fontId="24" fillId="2" borderId="3" xfId="0" applyNumberFormat="1" applyFont="1" applyFill="1" applyBorder="1"/>
    <xf numFmtId="10" fontId="2" fillId="2" borderId="3" xfId="0" applyNumberFormat="1" applyFont="1" applyFill="1" applyBorder="1"/>
    <xf numFmtId="0" fontId="5" fillId="9" borderId="0" xfId="0" applyFont="1" applyFill="1" applyAlignment="1">
      <alignment wrapText="1"/>
    </xf>
    <xf numFmtId="0" fontId="5" fillId="9" borderId="3" xfId="0" applyFont="1" applyFill="1" applyBorder="1" applyAlignment="1">
      <alignment wrapText="1"/>
    </xf>
    <xf numFmtId="0" fontId="20" fillId="10" borderId="3" xfId="0" applyFont="1" applyFill="1" applyBorder="1"/>
    <xf numFmtId="0" fontId="5" fillId="9" borderId="3" xfId="0" applyFont="1" applyFill="1" applyBorder="1" applyAlignment="1">
      <alignment horizontal="left" wrapText="1"/>
    </xf>
    <xf numFmtId="9" fontId="1" fillId="4" borderId="3" xfId="0" applyNumberFormat="1" applyFont="1" applyFill="1" applyBorder="1"/>
    <xf numFmtId="9" fontId="29" fillId="4" borderId="3" xfId="0" applyNumberFormat="1" applyFont="1" applyFill="1" applyBorder="1" applyAlignment="1">
      <alignment horizontal="right"/>
    </xf>
    <xf numFmtId="164" fontId="29" fillId="4" borderId="3" xfId="0" applyNumberFormat="1" applyFont="1" applyFill="1" applyBorder="1" applyAlignment="1">
      <alignment horizontal="right"/>
    </xf>
    <xf numFmtId="10" fontId="1" fillId="0" borderId="0" xfId="0" applyNumberFormat="1" applyFont="1"/>
    <xf numFmtId="10" fontId="1" fillId="0" borderId="3" xfId="0" applyNumberFormat="1" applyFont="1" applyBorder="1"/>
    <xf numFmtId="1" fontId="6" fillId="7" borderId="3" xfId="0" applyNumberFormat="1" applyFont="1" applyFill="1" applyBorder="1" applyAlignment="1">
      <alignment horizontal="right"/>
    </xf>
    <xf numFmtId="9" fontId="6" fillId="7" borderId="3" xfId="0" applyNumberFormat="1" applyFont="1" applyFill="1" applyBorder="1" applyAlignment="1">
      <alignment horizontal="right"/>
    </xf>
    <xf numFmtId="1" fontId="6" fillId="11" borderId="3" xfId="0" applyNumberFormat="1" applyFont="1" applyFill="1" applyBorder="1" applyAlignment="1">
      <alignment horizontal="right"/>
    </xf>
    <xf numFmtId="9" fontId="6" fillId="11" borderId="3" xfId="0" applyNumberFormat="1" applyFont="1" applyFill="1" applyBorder="1" applyAlignment="1">
      <alignment horizontal="right"/>
    </xf>
    <xf numFmtId="1" fontId="6" fillId="12" borderId="3" xfId="0" applyNumberFormat="1" applyFont="1" applyFill="1" applyBorder="1" applyAlignment="1">
      <alignment horizontal="right"/>
    </xf>
    <xf numFmtId="9" fontId="6" fillId="12" borderId="3" xfId="0" applyNumberFormat="1" applyFont="1" applyFill="1" applyBorder="1" applyAlignment="1">
      <alignment horizontal="right"/>
    </xf>
    <xf numFmtId="0" fontId="2" fillId="0" borderId="0" xfId="0" applyFont="1"/>
    <xf numFmtId="3" fontId="1" fillId="0" borderId="3" xfId="0" applyNumberFormat="1" applyFont="1" applyBorder="1"/>
    <xf numFmtId="3" fontId="6" fillId="13" borderId="3" xfId="0" applyNumberFormat="1" applyFont="1" applyFill="1" applyBorder="1" applyAlignment="1">
      <alignment horizontal="right"/>
    </xf>
    <xf numFmtId="9" fontId="6" fillId="13" borderId="3" xfId="0" applyNumberFormat="1" applyFont="1" applyFill="1" applyBorder="1" applyAlignment="1">
      <alignment horizontal="right"/>
    </xf>
    <xf numFmtId="0" fontId="24" fillId="2" borderId="3" xfId="0" applyFont="1" applyFill="1" applyBorder="1" applyAlignment="1">
      <alignment horizontal="left"/>
    </xf>
    <xf numFmtId="169" fontId="2" fillId="14" borderId="3" xfId="0" applyNumberFormat="1" applyFont="1" applyFill="1" applyBorder="1"/>
    <xf numFmtId="170" fontId="6" fillId="14" borderId="3" xfId="0" applyNumberFormat="1" applyFont="1" applyFill="1" applyBorder="1" applyAlignment="1">
      <alignment horizontal="right"/>
    </xf>
    <xf numFmtId="170" fontId="30" fillId="14" borderId="3" xfId="0" applyNumberFormat="1" applyFont="1" applyFill="1" applyBorder="1" applyAlignment="1">
      <alignment horizontal="center"/>
    </xf>
    <xf numFmtId="3" fontId="31" fillId="14" borderId="3" xfId="0" applyNumberFormat="1" applyFont="1" applyFill="1" applyBorder="1" applyAlignment="1">
      <alignment horizontal="center"/>
    </xf>
    <xf numFmtId="1" fontId="6" fillId="15" borderId="3" xfId="0" applyNumberFormat="1" applyFont="1" applyFill="1" applyBorder="1" applyAlignment="1">
      <alignment horizontal="right"/>
    </xf>
    <xf numFmtId="9" fontId="6" fillId="15" borderId="3" xfId="0" applyNumberFormat="1" applyFont="1" applyFill="1" applyBorder="1" applyAlignment="1">
      <alignment horizontal="right"/>
    </xf>
    <xf numFmtId="0" fontId="6" fillId="2" borderId="3" xfId="0" applyFont="1" applyFill="1" applyBorder="1" applyAlignment="1">
      <alignment horizontal="left"/>
    </xf>
    <xf numFmtId="0" fontId="27" fillId="4" borderId="9" xfId="0" applyFont="1" applyFill="1" applyBorder="1"/>
    <xf numFmtId="1" fontId="27" fillId="4" borderId="9" xfId="0" applyNumberFormat="1" applyFont="1" applyFill="1" applyBorder="1"/>
    <xf numFmtId="164" fontId="27" fillId="4" borderId="9" xfId="0" applyNumberFormat="1" applyFont="1" applyFill="1" applyBorder="1"/>
    <xf numFmtId="0" fontId="32" fillId="16" borderId="3" xfId="0" applyFont="1" applyFill="1" applyBorder="1" applyAlignment="1">
      <alignment wrapText="1"/>
    </xf>
    <xf numFmtId="1" fontId="32" fillId="16" borderId="3" xfId="0" applyNumberFormat="1" applyFont="1" applyFill="1" applyBorder="1" applyAlignment="1">
      <alignment wrapText="1"/>
    </xf>
    <xf numFmtId="0" fontId="2" fillId="0" borderId="3" xfId="0" applyFont="1" applyBorder="1"/>
    <xf numFmtId="1" fontId="2" fillId="0" borderId="3" xfId="0" applyNumberFormat="1" applyFont="1" applyBorder="1" applyAlignment="1">
      <alignment horizontal="right"/>
    </xf>
    <xf numFmtId="10" fontId="6" fillId="8" borderId="3" xfId="0" applyNumberFormat="1" applyFont="1" applyFill="1" applyBorder="1" applyAlignment="1">
      <alignment horizontal="right"/>
    </xf>
    <xf numFmtId="10" fontId="6" fillId="17" borderId="3" xfId="0" applyNumberFormat="1" applyFont="1" applyFill="1" applyBorder="1" applyAlignment="1">
      <alignment horizontal="right"/>
    </xf>
    <xf numFmtId="10" fontId="33" fillId="7" borderId="10" xfId="0" applyNumberFormat="1" applyFont="1" applyFill="1" applyBorder="1" applyAlignment="1">
      <alignment horizontal="right"/>
    </xf>
    <xf numFmtId="10" fontId="34" fillId="7" borderId="3" xfId="0" applyNumberFormat="1" applyFont="1" applyFill="1" applyBorder="1" applyAlignment="1">
      <alignment horizontal="right"/>
    </xf>
    <xf numFmtId="164" fontId="24" fillId="2" borderId="3" xfId="0" applyNumberFormat="1" applyFont="1" applyFill="1" applyBorder="1"/>
    <xf numFmtId="0" fontId="28" fillId="2" borderId="0" xfId="0" applyFont="1" applyFill="1"/>
    <xf numFmtId="9" fontId="28" fillId="2" borderId="0" xfId="0" applyNumberFormat="1" applyFont="1" applyFill="1"/>
    <xf numFmtId="0" fontId="35" fillId="6" borderId="11" xfId="0" applyFont="1" applyFill="1" applyBorder="1" applyAlignment="1">
      <alignment horizontal="center" vertical="center"/>
    </xf>
    <xf numFmtId="0" fontId="23" fillId="0" borderId="12" xfId="0" applyFont="1" applyBorder="1"/>
    <xf numFmtId="0" fontId="23" fillId="0" borderId="13" xfId="0" applyFont="1" applyBorder="1"/>
    <xf numFmtId="0" fontId="23" fillId="0" borderId="0" xfId="0" applyFont="1"/>
    <xf numFmtId="166" fontId="1" fillId="0" borderId="0" xfId="0" applyNumberFormat="1" applyFont="1"/>
    <xf numFmtId="1" fontId="1" fillId="0" borderId="0" xfId="0" applyNumberFormat="1" applyFont="1"/>
  </cellXfs>
  <cellStyles count="1">
    <cellStyle name="Normal" xfId="0" builtinId="0"/>
  </cellStyles>
  <dxfs count="15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5" defaultTableStyle="TableStyleMedium2" defaultPivotStyle="PivotStyleLight16">
    <tableStyle name="HDFCBANK-style" pivot="0" count="3" xr9:uid="{96CF1921-9ED6-4FA2-A10C-ACC0D9E6E0EC}">
      <tableStyleElement type="headerRow" dxfId="14"/>
      <tableStyleElement type="firstRowStripe" dxfId="13"/>
      <tableStyleElement type="secondRowStripe" dxfId="12"/>
    </tableStyle>
    <tableStyle name="HDFCBANK-style 2" pivot="0" count="3" xr9:uid="{820EB593-B757-4929-A4B6-2565C1849DCE}">
      <tableStyleElement type="headerRow" dxfId="11"/>
      <tableStyleElement type="firstRowStripe" dxfId="10"/>
      <tableStyleElement type="secondRowStripe" dxfId="9"/>
    </tableStyle>
    <tableStyle name="HDFCBANK-style 3" pivot="0" count="3" xr9:uid="{7E70AE1D-FBE6-474D-A03D-836E02F09593}">
      <tableStyleElement type="headerRow" dxfId="8"/>
      <tableStyleElement type="firstRowStripe" dxfId="7"/>
      <tableStyleElement type="secondRowStripe" dxfId="6"/>
    </tableStyle>
    <tableStyle name="HDFCBANK-style 4" pivot="0" count="3" xr9:uid="{B3A27D29-9FE1-4408-9947-B49B7272D048}">
      <tableStyleElement type="headerRow" dxfId="5"/>
      <tableStyleElement type="firstRowStripe" dxfId="4"/>
      <tableStyleElement type="secondRowStripe" dxfId="3"/>
    </tableStyle>
    <tableStyle name="HDFCBANK-style 5" pivot="0" count="3" xr9:uid="{25DCC7D0-A2C3-4453-978B-1D92FDED7CBD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79</xdr:row>
      <xdr:rowOff>200025</xdr:rowOff>
    </xdr:from>
    <xdr:ext cx="6315075" cy="28670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1AE5D540-1075-4123-BA64-9915E8C07E6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730" y="15394305"/>
          <a:ext cx="6315075" cy="2867025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0065ADE-732E-4B13-A9FD-ACD4939F0241}" name="Table_19" displayName="Table_19" ref="S70:T75" headerRowCount="0">
  <tableColumns count="2">
    <tableColumn id="1" xr3:uid="{8E186207-9F7D-4CD2-AAA5-96DD6FD5DEBF}" name="Column1"/>
    <tableColumn id="2" xr3:uid="{8AF62A63-8F40-4DD6-BC5E-6E755D6CB1C0}" name="Column2"/>
  </tableColumns>
  <tableStyleInfo name="HDFCBANK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F91B2BE-FA26-4375-B75D-CBA7C2D3F6E4}" name="Table_20" displayName="Table_20" ref="U70:U75" headerRowCount="0">
  <tableColumns count="1">
    <tableColumn id="1" xr3:uid="{6CA25BA7-27FC-4E91-B9FC-26C00636C659}" name="Column1"/>
  </tableColumns>
  <tableStyleInfo name="HDFCBANK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79B584E-F25A-43CD-9114-C3971071E8B1}" name="Table_21" displayName="Table_21" ref="V70:V75" headerRowCount="0">
  <tableColumns count="1">
    <tableColumn id="1" xr3:uid="{8001E980-2BFD-4350-8CB2-B6CC7CF4BFE4}" name="Column1"/>
  </tableColumns>
  <tableStyleInfo name="HDFCBANK-style 3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7803B0B-2CC0-4F61-939E-EF2FADC91028}" name="Table_22" displayName="Table_22" ref="W70:W75" headerRowCount="0">
  <tableColumns count="1">
    <tableColumn id="1" xr3:uid="{D018748C-F7F9-4EE3-850C-39A57CA2AD82}" name="Column1"/>
  </tableColumns>
  <tableStyleInfo name="HDFCBANK-style 4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EF39C61-9AEF-4963-B21F-98E41313CE09}" name="Table_23" displayName="Table_23" ref="X70:X75" headerRowCount="0">
  <tableColumns count="1">
    <tableColumn id="1" xr3:uid="{1DFBF4DD-C3EE-4BCF-8564-21D9EA7D892C}" name="Column1"/>
  </tableColumns>
  <tableStyleInfo name="HDFCBANK-style 5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seindia.com/corporates/ScripWiseCorpAction.aspx?scrip_cd=500180" TargetMode="External"/><Relationship Id="rId13" Type="http://schemas.openxmlformats.org/officeDocument/2006/relationships/hyperlink" Target="https://www.bseindia.com/corporates/ScripWiseCorpAction.aspx?scrip_cd=500180" TargetMode="External"/><Relationship Id="rId18" Type="http://schemas.openxmlformats.org/officeDocument/2006/relationships/hyperlink" Target="https://www.bseindia.com/corporates/ScripWiseCorpAction.aspx?scrip_cd=500180" TargetMode="External"/><Relationship Id="rId26" Type="http://schemas.openxmlformats.org/officeDocument/2006/relationships/table" Target="../tables/table3.xml"/><Relationship Id="rId3" Type="http://schemas.openxmlformats.org/officeDocument/2006/relationships/hyperlink" Target="https://www.bseindia.com/corporates/ScripWiseCorpAction.aspx?scrip_cd=500180" TargetMode="External"/><Relationship Id="rId21" Type="http://schemas.openxmlformats.org/officeDocument/2006/relationships/hyperlink" Target="https://www.bseindia.com/corporates/ScripWiseCorpAction.aspx?scrip_cd=500180" TargetMode="External"/><Relationship Id="rId7" Type="http://schemas.openxmlformats.org/officeDocument/2006/relationships/hyperlink" Target="https://www.bseindia.com/corporates/ScripWiseCorpAction.aspx?scrip_cd=500180" TargetMode="External"/><Relationship Id="rId12" Type="http://schemas.openxmlformats.org/officeDocument/2006/relationships/hyperlink" Target="https://www.bseindia.com/corporates/ScripWiseCorpAction.aspx?scrip_cd=500180" TargetMode="External"/><Relationship Id="rId17" Type="http://schemas.openxmlformats.org/officeDocument/2006/relationships/hyperlink" Target="https://www.bseindia.com/corporates/ScripWiseCorpAction.aspx?scrip_cd=500180" TargetMode="External"/><Relationship Id="rId25" Type="http://schemas.openxmlformats.org/officeDocument/2006/relationships/table" Target="../tables/table2.xml"/><Relationship Id="rId2" Type="http://schemas.openxmlformats.org/officeDocument/2006/relationships/hyperlink" Target="https://www.bseindia.com/corporates/ScripWiseCorpAction.aspx?scrip_cd=500180" TargetMode="External"/><Relationship Id="rId16" Type="http://schemas.openxmlformats.org/officeDocument/2006/relationships/hyperlink" Target="https://www.bseindia.com/corporates/ScripWiseCorpAction.aspx?scrip_cd=500180" TargetMode="External"/><Relationship Id="rId20" Type="http://schemas.openxmlformats.org/officeDocument/2006/relationships/hyperlink" Target="https://www.bseindia.com/corporates/ScripWiseCorpAction.aspx?scrip_cd=500180" TargetMode="External"/><Relationship Id="rId1" Type="http://schemas.openxmlformats.org/officeDocument/2006/relationships/hyperlink" Target="https://www.bseindia.com/corporates/ScripWiseCorpAction.aspx?scrip_cd=500180" TargetMode="External"/><Relationship Id="rId6" Type="http://schemas.openxmlformats.org/officeDocument/2006/relationships/hyperlink" Target="https://www.bseindia.com/corporates/ScripWiseCorpAction.aspx?scrip_cd=500180" TargetMode="External"/><Relationship Id="rId11" Type="http://schemas.openxmlformats.org/officeDocument/2006/relationships/hyperlink" Target="https://www.bseindia.com/corporates/ScripWiseCorpAction.aspx?scrip_cd=500180" TargetMode="External"/><Relationship Id="rId24" Type="http://schemas.openxmlformats.org/officeDocument/2006/relationships/table" Target="../tables/table1.xml"/><Relationship Id="rId5" Type="http://schemas.openxmlformats.org/officeDocument/2006/relationships/hyperlink" Target="https://www.bseindia.com/corporates/ScripWiseCorpAction.aspx?scrip_cd=500180" TargetMode="External"/><Relationship Id="rId15" Type="http://schemas.openxmlformats.org/officeDocument/2006/relationships/hyperlink" Target="https://www.bseindia.com/corporates/ScripWiseCorpAction.aspx?scrip_cd=500180" TargetMode="External"/><Relationship Id="rId23" Type="http://schemas.openxmlformats.org/officeDocument/2006/relationships/drawing" Target="../drawings/drawing1.xml"/><Relationship Id="rId28" Type="http://schemas.openxmlformats.org/officeDocument/2006/relationships/table" Target="../tables/table5.xml"/><Relationship Id="rId10" Type="http://schemas.openxmlformats.org/officeDocument/2006/relationships/hyperlink" Target="https://www.bseindia.com/corporates/ScripWiseCorpAction.aspx?scrip_cd=500180" TargetMode="External"/><Relationship Id="rId19" Type="http://schemas.openxmlformats.org/officeDocument/2006/relationships/hyperlink" Target="https://www.bseindia.com/corporates/ScripWiseCorpAction.aspx?scrip_cd=500180" TargetMode="External"/><Relationship Id="rId4" Type="http://schemas.openxmlformats.org/officeDocument/2006/relationships/hyperlink" Target="https://www.bseindia.com/corporates/ScripWiseCorpAction.aspx?scrip_cd=500180" TargetMode="External"/><Relationship Id="rId9" Type="http://schemas.openxmlformats.org/officeDocument/2006/relationships/hyperlink" Target="https://www.bseindia.com/corporates/ScripWiseCorpAction.aspx?scrip_cd=500180" TargetMode="External"/><Relationship Id="rId14" Type="http://schemas.openxmlformats.org/officeDocument/2006/relationships/hyperlink" Target="https://www.bseindia.com/corporates/ScripWiseCorpAction.aspx?scrip_cd=500180" TargetMode="External"/><Relationship Id="rId22" Type="http://schemas.openxmlformats.org/officeDocument/2006/relationships/hyperlink" Target="http://www.profitfromit.in/" TargetMode="External"/><Relationship Id="rId27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283D6-38C1-4A15-A670-84C73A4CCC2B}">
  <dimension ref="A1:CB1035"/>
  <sheetViews>
    <sheetView showGridLines="0" tabSelected="1" workbookViewId="0"/>
  </sheetViews>
  <sheetFormatPr defaultColWidth="12.59765625" defaultRowHeight="15" customHeight="1"/>
  <cols>
    <col min="1" max="1" width="1.69921875" customWidth="1"/>
    <col min="2" max="4" width="16.8984375" customWidth="1"/>
    <col min="5" max="6" width="15.3984375" customWidth="1"/>
    <col min="7" max="7" width="12.69921875" customWidth="1"/>
    <col min="8" max="11" width="11.09765625" customWidth="1"/>
    <col min="12" max="12" width="11.8984375" customWidth="1"/>
    <col min="13" max="13" width="12.69921875" customWidth="1"/>
    <col min="14" max="15" width="14" customWidth="1"/>
    <col min="18" max="18" width="12.3984375" customWidth="1"/>
    <col min="19" max="19" width="17.09765625" customWidth="1"/>
    <col min="20" max="20" width="15.59765625" customWidth="1"/>
    <col min="21" max="21" width="17.09765625" customWidth="1"/>
    <col min="22" max="22" width="9" customWidth="1"/>
    <col min="23" max="23" width="17.09765625" customWidth="1"/>
    <col min="27" max="27" width="37.3984375" customWidth="1"/>
    <col min="28" max="28" width="17.09765625" customWidth="1"/>
    <col min="31" max="31" width="8.59765625" customWidth="1"/>
    <col min="32" max="80" width="16.8984375" customWidth="1"/>
  </cols>
  <sheetData>
    <row r="1" spans="1:80" thickBot="1">
      <c r="A1" s="1"/>
      <c r="B1" s="1"/>
      <c r="C1" s="1"/>
      <c r="D1" s="1"/>
      <c r="E1" s="1"/>
      <c r="F1" s="1"/>
      <c r="G1" s="1"/>
      <c r="H1" s="1"/>
      <c r="I1" s="1"/>
      <c r="J1" s="2">
        <f>(2563795/2379786)-1</f>
        <v>7.7321658333984633E-2</v>
      </c>
      <c r="K1" s="1"/>
      <c r="L1" s="2">
        <f>(2518248/2484862)-1</f>
        <v>1.3435756190887105E-2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 t="s">
        <v>0</v>
      </c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3" t="s">
        <v>1</v>
      </c>
      <c r="BQ1" s="3" t="s">
        <v>2</v>
      </c>
      <c r="BR1" s="3" t="s">
        <v>3</v>
      </c>
      <c r="BS1" s="3" t="s">
        <v>4</v>
      </c>
      <c r="BT1" s="3" t="s">
        <v>5</v>
      </c>
      <c r="BU1" s="3" t="s">
        <v>6</v>
      </c>
      <c r="BV1" s="3" t="s">
        <v>7</v>
      </c>
      <c r="BW1" s="3" t="s">
        <v>8</v>
      </c>
      <c r="BX1" s="3" t="s">
        <v>9</v>
      </c>
      <c r="BY1" s="4" t="s">
        <v>10</v>
      </c>
      <c r="BZ1" s="1"/>
      <c r="CA1" s="1"/>
      <c r="CB1" s="1"/>
    </row>
    <row r="2" spans="1:80" thickBot="1">
      <c r="A2" s="1"/>
      <c r="B2" s="5" t="s">
        <v>11</v>
      </c>
      <c r="C2" s="5" t="s">
        <v>12</v>
      </c>
      <c r="D2" s="5" t="s">
        <v>13</v>
      </c>
      <c r="E2" s="5" t="s">
        <v>14</v>
      </c>
      <c r="F2" s="5" t="s">
        <v>15</v>
      </c>
      <c r="G2" s="6" t="s">
        <v>16</v>
      </c>
      <c r="H2" s="5" t="s">
        <v>17</v>
      </c>
      <c r="I2" s="5" t="s">
        <v>18</v>
      </c>
      <c r="J2" s="5" t="s">
        <v>19</v>
      </c>
      <c r="K2" s="5" t="s">
        <v>20</v>
      </c>
      <c r="L2" s="5" t="s">
        <v>21</v>
      </c>
      <c r="M2" s="5" t="s">
        <v>22</v>
      </c>
      <c r="N2" s="5" t="s">
        <v>23</v>
      </c>
      <c r="O2" s="5" t="s">
        <v>24</v>
      </c>
      <c r="P2" s="5" t="s">
        <v>25</v>
      </c>
      <c r="Q2" s="6" t="s">
        <v>26</v>
      </c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3"/>
      <c r="BQ2" s="3"/>
      <c r="BR2" s="3"/>
      <c r="BS2" s="7"/>
      <c r="BT2" s="7"/>
      <c r="BU2" s="7"/>
      <c r="BV2" s="3"/>
      <c r="BW2" s="3"/>
      <c r="BX2" s="3"/>
      <c r="BY2" s="4"/>
      <c r="BZ2" s="1"/>
      <c r="CA2" s="1"/>
      <c r="CB2" s="1"/>
    </row>
    <row r="3" spans="1:80" thickBot="1">
      <c r="A3" s="1"/>
      <c r="B3" s="6" t="s">
        <v>27</v>
      </c>
      <c r="C3" s="8">
        <f ca="1">IFERROR(__xludf.DUMMYFUNCTION("googlefinance(""nse:""&amp;B3,C2)"),1992)</f>
        <v>1992</v>
      </c>
      <c r="D3" s="9">
        <v>1154748</v>
      </c>
      <c r="E3" s="10">
        <f t="shared" ref="E3:G3" si="0">D41</f>
        <v>440111</v>
      </c>
      <c r="F3" s="10">
        <f t="shared" si="0"/>
        <v>63628</v>
      </c>
      <c r="G3" s="11">
        <f t="shared" si="0"/>
        <v>92.37</v>
      </c>
      <c r="H3" s="9">
        <v>765</v>
      </c>
      <c r="I3" s="12">
        <v>523823</v>
      </c>
      <c r="J3" s="12">
        <v>2756487</v>
      </c>
      <c r="K3" s="12">
        <v>599612</v>
      </c>
      <c r="L3" s="13">
        <v>2735109</v>
      </c>
      <c r="M3" s="13">
        <v>240554</v>
      </c>
      <c r="N3" s="12">
        <v>1</v>
      </c>
      <c r="O3" s="14">
        <v>9455</v>
      </c>
      <c r="P3" s="14">
        <v>206758</v>
      </c>
      <c r="Q3" s="14">
        <v>9.6999999999999993</v>
      </c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3"/>
      <c r="BQ3" s="3"/>
      <c r="BR3" s="3"/>
      <c r="BS3" s="7"/>
      <c r="BT3" s="7"/>
      <c r="BU3" s="7"/>
      <c r="BV3" s="3"/>
      <c r="BW3" s="3"/>
      <c r="BX3" s="3"/>
      <c r="BY3" s="4"/>
      <c r="BZ3" s="1"/>
      <c r="CA3" s="1"/>
      <c r="CB3" s="1"/>
    </row>
    <row r="4" spans="1:80" thickBot="1">
      <c r="A4" s="1"/>
      <c r="B4" s="15" t="s">
        <v>28</v>
      </c>
      <c r="C4" s="16">
        <v>1828</v>
      </c>
      <c r="D4" s="16">
        <f>C4*(H4/1)</f>
        <v>1398420</v>
      </c>
      <c r="E4" s="16">
        <v>424053</v>
      </c>
      <c r="F4" s="16">
        <v>63845</v>
      </c>
      <c r="G4" s="17">
        <v>92.81</v>
      </c>
      <c r="H4" s="16">
        <v>765</v>
      </c>
      <c r="I4" s="16">
        <v>472019</v>
      </c>
      <c r="J4" s="12">
        <v>2376845</v>
      </c>
      <c r="K4" s="16">
        <v>673354</v>
      </c>
      <c r="L4" s="16">
        <v>2557381</v>
      </c>
      <c r="M4" s="13">
        <v>227571</v>
      </c>
      <c r="N4" s="18">
        <v>1</v>
      </c>
      <c r="O4" s="18">
        <v>8738</v>
      </c>
      <c r="P4" s="14">
        <v>213527</v>
      </c>
      <c r="Q4" s="18">
        <v>9.3000000000000007</v>
      </c>
      <c r="R4" s="19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3"/>
      <c r="BQ4" s="3"/>
      <c r="BR4" s="3"/>
      <c r="BS4" s="7"/>
      <c r="BT4" s="7"/>
      <c r="BU4" s="7"/>
      <c r="BV4" s="3"/>
      <c r="BW4" s="3"/>
      <c r="BX4" s="3"/>
      <c r="BY4" s="4"/>
      <c r="BZ4" s="1"/>
      <c r="CA4" s="1"/>
      <c r="CB4" s="1"/>
    </row>
    <row r="5" spans="1:80" thickBot="1">
      <c r="A5" s="1"/>
      <c r="B5" s="15" t="s">
        <v>29</v>
      </c>
      <c r="C5" s="20">
        <f t="shared" ref="C5:Q5" ca="1" si="1">(C3/C4)-1</f>
        <v>8.97155361050328E-2</v>
      </c>
      <c r="D5" s="20">
        <f t="shared" si="1"/>
        <v>-0.17424807997597291</v>
      </c>
      <c r="E5" s="20">
        <f t="shared" si="1"/>
        <v>3.7867908020931429E-2</v>
      </c>
      <c r="F5" s="20">
        <f t="shared" si="1"/>
        <v>-3.3988566058422709E-3</v>
      </c>
      <c r="G5" s="20">
        <f t="shared" si="1"/>
        <v>-4.740868440900714E-3</v>
      </c>
      <c r="H5" s="20">
        <f t="shared" si="1"/>
        <v>0</v>
      </c>
      <c r="I5" s="20">
        <f t="shared" si="1"/>
        <v>0.10974981939286343</v>
      </c>
      <c r="J5" s="20">
        <f t="shared" si="1"/>
        <v>0.15972518191131524</v>
      </c>
      <c r="K5" s="20">
        <f t="shared" si="1"/>
        <v>-0.10951446044725355</v>
      </c>
      <c r="L5" s="20">
        <f t="shared" si="1"/>
        <v>6.9496097765643805E-2</v>
      </c>
      <c r="M5" s="20">
        <f t="shared" si="1"/>
        <v>5.7050327150647506E-2</v>
      </c>
      <c r="N5" s="20">
        <f t="shared" si="1"/>
        <v>0</v>
      </c>
      <c r="O5" s="20">
        <f t="shared" si="1"/>
        <v>8.2055390249484939E-2</v>
      </c>
      <c r="P5" s="20">
        <f t="shared" si="1"/>
        <v>-3.170090901853162E-2</v>
      </c>
      <c r="Q5" s="20">
        <f t="shared" si="1"/>
        <v>4.3010752688171783E-2</v>
      </c>
      <c r="R5" s="19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3"/>
      <c r="BQ5" s="3"/>
      <c r="BR5" s="3"/>
      <c r="BS5" s="7"/>
      <c r="BT5" s="7"/>
      <c r="BU5" s="7"/>
      <c r="BV5" s="3"/>
      <c r="BW5" s="3"/>
      <c r="BX5" s="3"/>
      <c r="BY5" s="4"/>
      <c r="BZ5" s="1"/>
      <c r="CA5" s="1"/>
      <c r="CB5" s="1"/>
    </row>
    <row r="6" spans="1:80" thickBot="1">
      <c r="A6" s="1"/>
      <c r="B6" s="1"/>
      <c r="C6" s="1"/>
      <c r="D6" s="9"/>
      <c r="E6" s="1"/>
      <c r="F6" s="1"/>
      <c r="G6" s="1"/>
      <c r="H6" s="1"/>
      <c r="I6" s="1"/>
      <c r="J6" s="1">
        <f t="shared" ref="J6:L6" si="2">J3-J4</f>
        <v>379642</v>
      </c>
      <c r="K6" s="1">
        <f t="shared" si="2"/>
        <v>-73742</v>
      </c>
      <c r="L6" s="1">
        <f t="shared" si="2"/>
        <v>177728</v>
      </c>
      <c r="M6" s="19"/>
      <c r="N6" s="19"/>
      <c r="O6" s="1">
        <f t="shared" ref="O6:Q6" si="3">O3-O4</f>
        <v>717</v>
      </c>
      <c r="P6" s="1">
        <f t="shared" si="3"/>
        <v>-6769</v>
      </c>
      <c r="Q6" s="1">
        <f t="shared" si="3"/>
        <v>0.39999999999999858</v>
      </c>
      <c r="R6" s="19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3"/>
      <c r="BQ6" s="3"/>
      <c r="BR6" s="3"/>
      <c r="BS6" s="7"/>
      <c r="BT6" s="7"/>
      <c r="BU6" s="7"/>
      <c r="BV6" s="3"/>
      <c r="BW6" s="3"/>
      <c r="BX6" s="3"/>
      <c r="BY6" s="4"/>
      <c r="BZ6" s="1"/>
      <c r="CA6" s="1"/>
      <c r="CB6" s="1"/>
    </row>
    <row r="7" spans="1:80" thickBot="1">
      <c r="A7" s="1"/>
      <c r="B7" s="5" t="s">
        <v>30</v>
      </c>
      <c r="C7" s="5" t="s">
        <v>31</v>
      </c>
      <c r="D7" s="5" t="s">
        <v>32</v>
      </c>
      <c r="E7" s="5" t="s">
        <v>33</v>
      </c>
      <c r="F7" s="5" t="s">
        <v>34</v>
      </c>
      <c r="G7" s="5" t="s">
        <v>35</v>
      </c>
      <c r="H7" s="5" t="s">
        <v>36</v>
      </c>
      <c r="I7" s="5" t="s">
        <v>37</v>
      </c>
      <c r="J7" s="6" t="s">
        <v>38</v>
      </c>
      <c r="K7" s="5" t="s">
        <v>39</v>
      </c>
      <c r="L7" s="5" t="s">
        <v>40</v>
      </c>
      <c r="M7" s="5" t="s">
        <v>41</v>
      </c>
      <c r="N7" s="5" t="s">
        <v>42</v>
      </c>
      <c r="P7" s="21"/>
      <c r="Q7" s="19"/>
      <c r="R7" s="19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3"/>
      <c r="BQ7" s="3"/>
      <c r="BR7" s="3"/>
      <c r="BS7" s="7"/>
      <c r="BT7" s="7"/>
      <c r="BU7" s="7"/>
      <c r="BV7" s="3"/>
      <c r="BW7" s="3"/>
      <c r="BX7" s="3"/>
      <c r="BY7" s="4"/>
      <c r="BZ7" s="1"/>
      <c r="CA7" s="1"/>
      <c r="CB7" s="1"/>
    </row>
    <row r="8" spans="1:80" thickBot="1">
      <c r="A8" s="1"/>
      <c r="B8" s="22">
        <f>E59</f>
        <v>0.13725255564292804</v>
      </c>
      <c r="C8" s="22">
        <f>C67</f>
        <v>0.12219099012431044</v>
      </c>
      <c r="D8" s="23">
        <f>C66</f>
        <v>1.4E-2</v>
      </c>
      <c r="E8" s="23">
        <v>0.20799999999999999</v>
      </c>
      <c r="F8" s="22">
        <f>J5</f>
        <v>0.15972518191131524</v>
      </c>
      <c r="G8" s="24">
        <f>L5</f>
        <v>6.9496097765643805E-2</v>
      </c>
      <c r="H8" s="24">
        <f>F3/(H3+I3)</f>
        <v>0.12129137532692322</v>
      </c>
      <c r="I8" s="24">
        <f>F3/M3</f>
        <v>0.26450609842280737</v>
      </c>
      <c r="J8" s="25">
        <f ca="1">C3/G3</f>
        <v>21.565443325755115</v>
      </c>
      <c r="K8" s="23">
        <f ca="1">G3/C3</f>
        <v>4.6370481927710844E-2</v>
      </c>
      <c r="L8" s="26">
        <f ca="1">L54</f>
        <v>-10.945054945054945</v>
      </c>
      <c r="M8" s="25">
        <v>631</v>
      </c>
      <c r="N8" s="26">
        <f ca="1">C3/M8</f>
        <v>3.1568938193343898</v>
      </c>
      <c r="P8" s="27"/>
      <c r="Q8" s="19"/>
      <c r="R8" s="19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3"/>
      <c r="BQ8" s="3"/>
      <c r="BR8" s="3"/>
      <c r="BS8" s="7"/>
      <c r="BT8" s="7"/>
      <c r="BU8" s="7"/>
      <c r="BV8" s="3"/>
      <c r="BW8" s="3"/>
      <c r="BX8" s="3"/>
      <c r="BY8" s="4"/>
      <c r="BZ8" s="1"/>
      <c r="CA8" s="1"/>
      <c r="CB8" s="1"/>
    </row>
    <row r="9" spans="1:80" thickBot="1">
      <c r="A9" s="1"/>
      <c r="B9" s="1"/>
      <c r="C9" s="1"/>
      <c r="D9" s="2"/>
      <c r="E9" s="1"/>
      <c r="F9" s="1"/>
      <c r="G9" s="1"/>
      <c r="H9" s="1"/>
      <c r="I9" s="1"/>
      <c r="J9" s="1"/>
      <c r="K9" s="1"/>
      <c r="L9" s="1"/>
      <c r="M9" s="19">
        <v>708</v>
      </c>
      <c r="N9" s="19"/>
      <c r="O9" s="19"/>
      <c r="P9" s="19"/>
      <c r="Q9" s="19"/>
      <c r="R9" s="19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3"/>
      <c r="BQ9" s="3"/>
      <c r="BR9" s="3"/>
      <c r="BS9" s="7"/>
      <c r="BT9" s="7"/>
      <c r="BU9" s="7"/>
      <c r="BV9" s="3"/>
      <c r="BW9" s="3"/>
      <c r="BX9" s="3"/>
      <c r="BY9" s="4"/>
      <c r="BZ9" s="1"/>
      <c r="CA9" s="1"/>
      <c r="CB9" s="1"/>
    </row>
    <row r="10" spans="1:80" thickBot="1">
      <c r="A10" s="28"/>
      <c r="B10" s="5" t="s">
        <v>43</v>
      </c>
      <c r="C10" s="6" t="s">
        <v>21</v>
      </c>
      <c r="D10" s="5" t="s">
        <v>44</v>
      </c>
      <c r="E10" s="5" t="s">
        <v>45</v>
      </c>
      <c r="F10" s="5" t="s">
        <v>46</v>
      </c>
      <c r="G10" s="6" t="s">
        <v>47</v>
      </c>
      <c r="H10" s="6" t="s">
        <v>48</v>
      </c>
      <c r="I10" s="5" t="s">
        <v>49</v>
      </c>
      <c r="J10" s="5" t="s">
        <v>32</v>
      </c>
      <c r="K10" s="5" t="s">
        <v>50</v>
      </c>
      <c r="L10" s="5" t="s">
        <v>51</v>
      </c>
      <c r="M10" s="5" t="s">
        <v>52</v>
      </c>
      <c r="N10" s="5" t="s">
        <v>53</v>
      </c>
      <c r="O10" s="6" t="s">
        <v>54</v>
      </c>
      <c r="P10" s="6" t="s">
        <v>55</v>
      </c>
      <c r="Q10" s="6" t="s">
        <v>56</v>
      </c>
      <c r="S10" s="29"/>
      <c r="T10" s="1"/>
      <c r="U10" s="1"/>
      <c r="V10" s="1" t="s">
        <v>57</v>
      </c>
      <c r="W10" s="1" t="s">
        <v>29</v>
      </c>
      <c r="X10" s="1" t="s">
        <v>58</v>
      </c>
      <c r="Y10" s="1" t="s">
        <v>59</v>
      </c>
      <c r="Z10" s="1" t="s">
        <v>60</v>
      </c>
      <c r="AA10" s="1">
        <v>2019</v>
      </c>
      <c r="AB10" s="1">
        <v>2018</v>
      </c>
      <c r="AC10" s="1">
        <v>2017</v>
      </c>
      <c r="AD10" s="1">
        <v>2016</v>
      </c>
      <c r="AE10" s="1">
        <v>2015</v>
      </c>
      <c r="AF10" s="1">
        <v>2014</v>
      </c>
      <c r="AG10" s="1" t="s">
        <v>61</v>
      </c>
      <c r="AH10" s="30">
        <v>41364</v>
      </c>
      <c r="AI10" s="30">
        <v>40999</v>
      </c>
      <c r="AJ10" s="30">
        <v>40633</v>
      </c>
      <c r="AK10" s="30">
        <v>40268</v>
      </c>
      <c r="AL10" s="1" t="s">
        <v>62</v>
      </c>
      <c r="AM10" s="30">
        <v>39539</v>
      </c>
      <c r="AN10" s="1" t="s">
        <v>62</v>
      </c>
      <c r="AO10" s="30">
        <v>39173</v>
      </c>
      <c r="AP10" s="1" t="s">
        <v>62</v>
      </c>
      <c r="AQ10" s="30">
        <v>38808</v>
      </c>
      <c r="AR10" s="30">
        <v>38443</v>
      </c>
      <c r="AS10" s="30">
        <v>38078</v>
      </c>
      <c r="AT10" s="30">
        <v>37712</v>
      </c>
      <c r="AU10" s="1" t="s">
        <v>62</v>
      </c>
      <c r="AV10" s="30">
        <v>37712</v>
      </c>
      <c r="AW10" s="30">
        <v>37347</v>
      </c>
      <c r="AX10" s="30">
        <v>36982</v>
      </c>
      <c r="AY10" s="30">
        <v>36617</v>
      </c>
      <c r="AZ10" s="1"/>
      <c r="BA10" s="1"/>
      <c r="BB10" s="1" t="s">
        <v>43</v>
      </c>
      <c r="BC10" s="1" t="s">
        <v>63</v>
      </c>
      <c r="BD10" s="1" t="s">
        <v>51</v>
      </c>
      <c r="BE10" s="1" t="s">
        <v>50</v>
      </c>
      <c r="BF10" s="1" t="s">
        <v>64</v>
      </c>
      <c r="BG10" s="1" t="s">
        <v>65</v>
      </c>
      <c r="BH10" s="1" t="s">
        <v>66</v>
      </c>
      <c r="BI10" s="1" t="s">
        <v>67</v>
      </c>
      <c r="BJ10" s="1" t="s">
        <v>68</v>
      </c>
      <c r="BK10" s="1" t="s">
        <v>69</v>
      </c>
      <c r="BL10" s="1" t="s">
        <v>70</v>
      </c>
      <c r="BM10" s="1" t="s">
        <v>71</v>
      </c>
      <c r="BN10" s="1" t="s">
        <v>72</v>
      </c>
      <c r="BO10" s="1"/>
      <c r="BP10" s="31">
        <v>500180</v>
      </c>
      <c r="BQ10" s="32" t="s">
        <v>27</v>
      </c>
      <c r="BR10" s="33"/>
      <c r="BS10" s="1">
        <v>3</v>
      </c>
      <c r="BT10" s="1"/>
      <c r="BU10" s="1">
        <v>3</v>
      </c>
      <c r="BV10" s="34">
        <v>37770</v>
      </c>
      <c r="BW10" s="34">
        <v>37736</v>
      </c>
      <c r="BX10" s="34">
        <v>37741</v>
      </c>
      <c r="BY10" s="32" t="s">
        <v>73</v>
      </c>
      <c r="BZ10" s="1" t="s">
        <v>74</v>
      </c>
      <c r="CA10" s="1" t="s">
        <v>75</v>
      </c>
      <c r="CB10" s="1" t="s">
        <v>74</v>
      </c>
    </row>
    <row r="11" spans="1:80" thickBot="1">
      <c r="A11" s="28"/>
      <c r="B11" s="35" t="s">
        <v>76</v>
      </c>
      <c r="C11" s="13">
        <v>369</v>
      </c>
      <c r="D11" s="36">
        <v>128</v>
      </c>
      <c r="E11" s="36">
        <v>20</v>
      </c>
      <c r="F11" s="37">
        <v>1.04</v>
      </c>
      <c r="G11" s="13"/>
      <c r="H11" s="13"/>
      <c r="I11" s="38">
        <f t="shared" ref="I11:I41" si="4">E11/D11</f>
        <v>0.15625</v>
      </c>
      <c r="J11" s="16"/>
      <c r="K11" s="39">
        <v>38.5</v>
      </c>
      <c r="L11" s="39">
        <v>45</v>
      </c>
      <c r="M11" s="39">
        <f t="shared" ref="M11:M41" si="5">K11/F11</f>
        <v>37.019230769230766</v>
      </c>
      <c r="N11" s="39">
        <f t="shared" ref="N11:N41" si="6">L11/F11</f>
        <v>43.269230769230766</v>
      </c>
      <c r="O11" s="13"/>
      <c r="P11" s="40"/>
      <c r="Q11" s="40"/>
      <c r="S11" s="29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30"/>
      <c r="AN11" s="1"/>
      <c r="AO11" s="30"/>
      <c r="AP11" s="1"/>
      <c r="AQ11" s="30"/>
      <c r="AR11" s="30"/>
      <c r="AS11" s="30"/>
      <c r="AT11" s="30"/>
      <c r="AU11" s="1"/>
      <c r="AV11" s="30"/>
      <c r="AW11" s="30"/>
      <c r="AX11" s="30"/>
      <c r="AY11" s="30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41"/>
      <c r="BQ11" s="32"/>
      <c r="BR11" s="33"/>
      <c r="BS11" s="1"/>
      <c r="BT11" s="1"/>
      <c r="BU11" s="1"/>
      <c r="BV11" s="34"/>
      <c r="BW11" s="33"/>
      <c r="BX11" s="33"/>
      <c r="BY11" s="32"/>
      <c r="BZ11" s="1"/>
      <c r="CA11" s="1"/>
      <c r="CB11" s="1"/>
    </row>
    <row r="12" spans="1:80" thickBot="1">
      <c r="A12" s="28"/>
      <c r="B12" s="35" t="s">
        <v>77</v>
      </c>
      <c r="C12" s="13">
        <v>547</v>
      </c>
      <c r="D12" s="36">
        <v>193</v>
      </c>
      <c r="E12" s="36">
        <v>41</v>
      </c>
      <c r="F12" s="42">
        <v>2.0299999999999998</v>
      </c>
      <c r="G12" s="13"/>
      <c r="H12" s="13"/>
      <c r="I12" s="38">
        <f t="shared" si="4"/>
        <v>0.21243523316062177</v>
      </c>
      <c r="J12" s="16"/>
      <c r="K12" s="39">
        <v>32.25</v>
      </c>
      <c r="L12" s="39">
        <v>56.5</v>
      </c>
      <c r="M12" s="39">
        <f t="shared" si="5"/>
        <v>15.886699507389164</v>
      </c>
      <c r="N12" s="39">
        <f t="shared" si="6"/>
        <v>27.832512315270939</v>
      </c>
      <c r="O12" s="13"/>
      <c r="P12" s="40"/>
      <c r="Q12" s="40"/>
      <c r="S12" s="29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30"/>
      <c r="AN12" s="1"/>
      <c r="AO12" s="30"/>
      <c r="AP12" s="1"/>
      <c r="AQ12" s="30"/>
      <c r="AR12" s="30"/>
      <c r="AS12" s="30"/>
      <c r="AT12" s="30"/>
      <c r="AU12" s="1"/>
      <c r="AV12" s="30"/>
      <c r="AW12" s="30"/>
      <c r="AX12" s="30"/>
      <c r="AY12" s="30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41"/>
      <c r="BQ12" s="32"/>
      <c r="BR12" s="33"/>
      <c r="BS12" s="1"/>
      <c r="BT12" s="1"/>
      <c r="BU12" s="1"/>
      <c r="BV12" s="34"/>
      <c r="BW12" s="33"/>
      <c r="BX12" s="33"/>
      <c r="BY12" s="32"/>
      <c r="BZ12" s="1"/>
      <c r="CA12" s="1"/>
      <c r="CB12" s="1"/>
    </row>
    <row r="13" spans="1:80" thickBot="1">
      <c r="A13" s="28"/>
      <c r="B13" s="35" t="s">
        <v>78</v>
      </c>
      <c r="C13" s="13">
        <v>842</v>
      </c>
      <c r="D13" s="36">
        <v>303</v>
      </c>
      <c r="E13" s="36">
        <v>63</v>
      </c>
      <c r="F13" s="42">
        <v>3.16</v>
      </c>
      <c r="G13" s="13"/>
      <c r="H13" s="13"/>
      <c r="I13" s="38">
        <f t="shared" si="4"/>
        <v>0.20792079207920791</v>
      </c>
      <c r="J13" s="16"/>
      <c r="K13" s="39">
        <v>44</v>
      </c>
      <c r="L13" s="39">
        <v>88</v>
      </c>
      <c r="M13" s="39">
        <f t="shared" si="5"/>
        <v>13.924050632911392</v>
      </c>
      <c r="N13" s="39">
        <f t="shared" si="6"/>
        <v>27.848101265822784</v>
      </c>
      <c r="O13" s="13"/>
      <c r="P13" s="40"/>
      <c r="Q13" s="40"/>
      <c r="S13" s="29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30"/>
      <c r="AN13" s="1"/>
      <c r="AO13" s="30"/>
      <c r="AP13" s="1"/>
      <c r="AQ13" s="30"/>
      <c r="AR13" s="30"/>
      <c r="AS13" s="30"/>
      <c r="AT13" s="30"/>
      <c r="AU13" s="1"/>
      <c r="AV13" s="30"/>
      <c r="AW13" s="30"/>
      <c r="AX13" s="30"/>
      <c r="AY13" s="30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41"/>
      <c r="BQ13" s="32"/>
      <c r="BR13" s="33"/>
      <c r="BS13" s="1"/>
      <c r="BT13" s="1"/>
      <c r="BU13" s="1"/>
      <c r="BV13" s="34"/>
      <c r="BW13" s="33"/>
      <c r="BX13" s="33"/>
      <c r="BY13" s="32"/>
      <c r="BZ13" s="1"/>
      <c r="CA13" s="1"/>
      <c r="CB13" s="1"/>
    </row>
    <row r="14" spans="1:80" thickBot="1">
      <c r="A14" s="28"/>
      <c r="B14" s="35" t="s">
        <v>79</v>
      </c>
      <c r="C14" s="13">
        <v>1401</v>
      </c>
      <c r="D14" s="43">
        <v>444</v>
      </c>
      <c r="E14" s="44">
        <v>82</v>
      </c>
      <c r="F14" s="42">
        <v>4.12</v>
      </c>
      <c r="G14" s="13"/>
      <c r="H14" s="13"/>
      <c r="I14" s="38">
        <f t="shared" si="4"/>
        <v>0.18468468468468469</v>
      </c>
      <c r="J14" s="16"/>
      <c r="K14" s="39">
        <v>48.5</v>
      </c>
      <c r="L14" s="39">
        <v>87.5</v>
      </c>
      <c r="M14" s="39">
        <f t="shared" si="5"/>
        <v>11.771844660194175</v>
      </c>
      <c r="N14" s="39">
        <f t="shared" si="6"/>
        <v>21.237864077669901</v>
      </c>
      <c r="O14" s="13"/>
      <c r="P14" s="40"/>
      <c r="Q14" s="40"/>
      <c r="S14" s="29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30"/>
      <c r="AN14" s="1"/>
      <c r="AO14" s="30"/>
      <c r="AP14" s="1"/>
      <c r="AQ14" s="30"/>
      <c r="AR14" s="30"/>
      <c r="AS14" s="30"/>
      <c r="AT14" s="30"/>
      <c r="AU14" s="1"/>
      <c r="AV14" s="30"/>
      <c r="AW14" s="30"/>
      <c r="AX14" s="30"/>
      <c r="AY14" s="30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41"/>
      <c r="BQ14" s="32"/>
      <c r="BR14" s="33"/>
      <c r="BS14" s="1"/>
      <c r="BT14" s="1"/>
      <c r="BU14" s="1"/>
      <c r="BV14" s="34"/>
      <c r="BW14" s="33"/>
      <c r="BX14" s="33"/>
      <c r="BY14" s="32"/>
      <c r="BZ14" s="1"/>
      <c r="CA14" s="1"/>
      <c r="CB14" s="1"/>
    </row>
    <row r="15" spans="1:80" thickBot="1">
      <c r="A15" s="28"/>
      <c r="B15" s="35" t="s">
        <v>80</v>
      </c>
      <c r="C15" s="13">
        <v>3462</v>
      </c>
      <c r="D15" s="36">
        <v>805</v>
      </c>
      <c r="E15" s="44">
        <v>120</v>
      </c>
      <c r="F15" s="42">
        <v>5.93</v>
      </c>
      <c r="G15" s="13">
        <v>239</v>
      </c>
      <c r="H15" s="13">
        <v>1000</v>
      </c>
      <c r="I15" s="38">
        <f t="shared" si="4"/>
        <v>0.14906832298136646</v>
      </c>
      <c r="J15" s="16"/>
      <c r="K15" s="39">
        <v>58</v>
      </c>
      <c r="L15" s="39">
        <v>295.85000000000002</v>
      </c>
      <c r="M15" s="39">
        <f t="shared" si="5"/>
        <v>9.7807757166947731</v>
      </c>
      <c r="N15" s="39">
        <f t="shared" si="6"/>
        <v>49.890387858347395</v>
      </c>
      <c r="O15" s="8">
        <f t="shared" ref="O15:O26" si="7">(G15+H15)/(G15/10)</f>
        <v>51.84100418410042</v>
      </c>
      <c r="P15" s="40">
        <f t="shared" ref="P15:P41" si="8">K15/O15</f>
        <v>1.1188054882970138</v>
      </c>
      <c r="Q15" s="40">
        <f t="shared" ref="Q15:Q41" si="9">L15/O15</f>
        <v>5.7068724778046818</v>
      </c>
      <c r="S15" s="29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30"/>
      <c r="AN15" s="1"/>
      <c r="AO15" s="30"/>
      <c r="AP15" s="1"/>
      <c r="AQ15" s="30"/>
      <c r="AR15" s="30"/>
      <c r="AS15" s="30"/>
      <c r="AT15" s="30"/>
      <c r="AU15" s="1"/>
      <c r="AV15" s="30"/>
      <c r="AW15" s="30"/>
      <c r="AX15" s="30"/>
      <c r="AY15" s="30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41"/>
      <c r="BQ15" s="32"/>
      <c r="BR15" s="33"/>
      <c r="BS15" s="1"/>
      <c r="BT15" s="1"/>
      <c r="BU15" s="1"/>
      <c r="BV15" s="34"/>
      <c r="BW15" s="33"/>
      <c r="BX15" s="33"/>
      <c r="BY15" s="32"/>
      <c r="BZ15" s="1"/>
      <c r="CA15" s="1"/>
      <c r="CB15" s="1"/>
    </row>
    <row r="16" spans="1:80" thickBot="1">
      <c r="A16" s="28"/>
      <c r="B16" s="35" t="s">
        <v>81</v>
      </c>
      <c r="C16" s="13">
        <v>4637</v>
      </c>
      <c r="D16" s="39">
        <v>1445</v>
      </c>
      <c r="E16" s="39">
        <v>210</v>
      </c>
      <c r="F16" s="45">
        <v>8.64</v>
      </c>
      <c r="G16" s="13">
        <v>239</v>
      </c>
      <c r="H16" s="13">
        <v>1400</v>
      </c>
      <c r="I16" s="38">
        <f t="shared" si="4"/>
        <v>0.1453287197231834</v>
      </c>
      <c r="J16" s="16"/>
      <c r="K16" s="16">
        <v>189</v>
      </c>
      <c r="L16" s="16">
        <v>287</v>
      </c>
      <c r="M16" s="39">
        <f t="shared" si="5"/>
        <v>21.875</v>
      </c>
      <c r="N16" s="39">
        <f t="shared" si="6"/>
        <v>33.217592592592588</v>
      </c>
      <c r="O16" s="8">
        <f t="shared" si="7"/>
        <v>68.577405857740587</v>
      </c>
      <c r="P16" s="40">
        <f t="shared" si="8"/>
        <v>2.7560097620500303</v>
      </c>
      <c r="Q16" s="40">
        <f t="shared" si="9"/>
        <v>4.1850518608907867</v>
      </c>
      <c r="S16" s="29"/>
      <c r="T16" s="1"/>
      <c r="U16" s="1"/>
      <c r="V16" s="1"/>
      <c r="W16" s="1"/>
      <c r="X16" s="1"/>
      <c r="Y16" s="1"/>
      <c r="Z16" s="1" t="s">
        <v>82</v>
      </c>
      <c r="AA16" s="1"/>
      <c r="AB16" s="1"/>
      <c r="AC16" s="1"/>
      <c r="AD16" s="1"/>
      <c r="AE16" s="1"/>
      <c r="AF16" s="1"/>
      <c r="AG16" s="1" t="s">
        <v>83</v>
      </c>
      <c r="AH16" s="1">
        <v>12</v>
      </c>
      <c r="AI16" s="1">
        <v>12</v>
      </c>
      <c r="AJ16" s="1">
        <v>12</v>
      </c>
      <c r="AK16" s="1">
        <v>12</v>
      </c>
      <c r="AL16" s="1" t="s">
        <v>84</v>
      </c>
      <c r="AM16" s="30">
        <v>39903</v>
      </c>
      <c r="AN16" s="1" t="s">
        <v>84</v>
      </c>
      <c r="AO16" s="30">
        <v>39538</v>
      </c>
      <c r="AP16" s="1" t="s">
        <v>84</v>
      </c>
      <c r="AQ16" s="30">
        <v>39172</v>
      </c>
      <c r="AR16" s="30">
        <v>38807</v>
      </c>
      <c r="AS16" s="30">
        <v>38442</v>
      </c>
      <c r="AT16" s="30">
        <v>38077</v>
      </c>
      <c r="AU16" s="1" t="s">
        <v>84</v>
      </c>
      <c r="AV16" s="30">
        <v>38077</v>
      </c>
      <c r="AW16" s="30">
        <v>37711</v>
      </c>
      <c r="AX16" s="30">
        <v>37346</v>
      </c>
      <c r="AY16" s="30">
        <v>36981</v>
      </c>
      <c r="AZ16" s="1"/>
      <c r="BA16" s="1"/>
      <c r="BB16" s="1">
        <v>1995</v>
      </c>
      <c r="BC16" s="1">
        <v>42</v>
      </c>
      <c r="BD16" s="1">
        <v>45</v>
      </c>
      <c r="BE16" s="1">
        <v>38.5</v>
      </c>
      <c r="BF16" s="1">
        <v>40.25</v>
      </c>
      <c r="BG16" s="1">
        <v>0</v>
      </c>
      <c r="BH16" s="1">
        <v>0</v>
      </c>
      <c r="BI16" s="1">
        <v>0</v>
      </c>
      <c r="BJ16" s="1"/>
      <c r="BK16" s="1"/>
      <c r="BL16" s="1">
        <v>6.5</v>
      </c>
      <c r="BM16" s="1">
        <v>-1.75</v>
      </c>
      <c r="BN16" s="1" t="s">
        <v>85</v>
      </c>
      <c r="BO16" s="1"/>
      <c r="BP16" s="31">
        <v>500180</v>
      </c>
      <c r="BQ16" s="32" t="s">
        <v>27</v>
      </c>
      <c r="BR16" s="33"/>
      <c r="BS16" s="1">
        <v>1.3</v>
      </c>
      <c r="BT16" s="1"/>
      <c r="BU16" s="1">
        <v>1.3</v>
      </c>
      <c r="BV16" s="34">
        <v>36312</v>
      </c>
      <c r="BW16" s="33"/>
      <c r="BX16" s="33"/>
      <c r="BY16" s="32" t="s">
        <v>73</v>
      </c>
      <c r="BZ16" s="1" t="s">
        <v>74</v>
      </c>
      <c r="CA16" s="1" t="s">
        <v>75</v>
      </c>
      <c r="CB16" s="1" t="s">
        <v>74</v>
      </c>
    </row>
    <row r="17" spans="1:80" thickBot="1">
      <c r="A17" s="28"/>
      <c r="B17" s="35" t="s">
        <v>86</v>
      </c>
      <c r="C17" s="13">
        <v>6814</v>
      </c>
      <c r="D17" s="39">
        <v>2036</v>
      </c>
      <c r="E17" s="39">
        <v>298</v>
      </c>
      <c r="F17" s="45">
        <v>11.01</v>
      </c>
      <c r="G17" s="13">
        <v>239</v>
      </c>
      <c r="H17" s="13">
        <v>1800</v>
      </c>
      <c r="I17" s="38">
        <f t="shared" si="4"/>
        <v>0.14636542239685657</v>
      </c>
      <c r="J17" s="16"/>
      <c r="K17" s="16">
        <v>185</v>
      </c>
      <c r="L17" s="16">
        <v>256</v>
      </c>
      <c r="M17" s="39">
        <f t="shared" si="5"/>
        <v>16.802906448683014</v>
      </c>
      <c r="N17" s="39">
        <f t="shared" si="6"/>
        <v>23.251589464123523</v>
      </c>
      <c r="O17" s="8">
        <f t="shared" si="7"/>
        <v>85.31380753138076</v>
      </c>
      <c r="P17" s="40">
        <f t="shared" si="8"/>
        <v>2.168464933791074</v>
      </c>
      <c r="Q17" s="40">
        <f t="shared" si="9"/>
        <v>3.0006866110838644</v>
      </c>
      <c r="S17" s="29"/>
      <c r="T17" s="1"/>
      <c r="U17" s="1"/>
      <c r="V17" s="1"/>
      <c r="W17" s="1"/>
      <c r="X17" s="1"/>
      <c r="Y17" s="1"/>
      <c r="Z17" s="1" t="s">
        <v>44</v>
      </c>
      <c r="AA17" s="1"/>
      <c r="AB17" s="1">
        <v>802413</v>
      </c>
      <c r="AC17" s="46" t="s">
        <v>87</v>
      </c>
      <c r="AD17" s="46" t="s">
        <v>88</v>
      </c>
      <c r="AE17" s="46" t="s">
        <v>89</v>
      </c>
      <c r="AF17" s="46" t="s">
        <v>90</v>
      </c>
      <c r="AG17" s="1" t="s">
        <v>91</v>
      </c>
      <c r="AH17" s="1" t="s">
        <v>92</v>
      </c>
      <c r="AI17" s="1" t="s">
        <v>93</v>
      </c>
      <c r="AJ17" s="1" t="s">
        <v>94</v>
      </c>
      <c r="AK17" s="1" t="s">
        <v>95</v>
      </c>
      <c r="AL17" s="1" t="s">
        <v>96</v>
      </c>
      <c r="AM17" s="1" t="s">
        <v>97</v>
      </c>
      <c r="AN17" s="1" t="s">
        <v>96</v>
      </c>
      <c r="AO17" s="1" t="s">
        <v>97</v>
      </c>
      <c r="AP17" s="1" t="s">
        <v>96</v>
      </c>
      <c r="AQ17" s="1" t="s">
        <v>97</v>
      </c>
      <c r="AR17" s="1"/>
      <c r="AS17" s="1"/>
      <c r="AT17" s="1"/>
      <c r="AU17" s="1" t="s">
        <v>96</v>
      </c>
      <c r="AV17" s="1" t="s">
        <v>97</v>
      </c>
      <c r="AW17" s="1"/>
      <c r="AX17" s="1"/>
      <c r="AY17" s="1"/>
      <c r="AZ17" s="1"/>
      <c r="BA17" s="1"/>
      <c r="BB17" s="1">
        <v>1996</v>
      </c>
      <c r="BC17" s="1">
        <v>33</v>
      </c>
      <c r="BD17" s="1">
        <v>43</v>
      </c>
      <c r="BE17" s="1">
        <v>32.25</v>
      </c>
      <c r="BF17" s="1">
        <v>40.25</v>
      </c>
      <c r="BG17" s="1">
        <v>14496600</v>
      </c>
      <c r="BH17" s="1">
        <v>31152</v>
      </c>
      <c r="BI17" s="1">
        <v>535267402</v>
      </c>
      <c r="BJ17" s="1"/>
      <c r="BK17" s="1"/>
      <c r="BL17" s="1">
        <v>10.75</v>
      </c>
      <c r="BM17" s="1">
        <v>7.25</v>
      </c>
      <c r="BN17" s="1" t="s">
        <v>85</v>
      </c>
      <c r="BO17" s="1"/>
      <c r="BP17" s="31">
        <v>500180</v>
      </c>
      <c r="BQ17" s="32" t="s">
        <v>27</v>
      </c>
      <c r="BR17" s="33"/>
      <c r="BS17" s="1">
        <v>1.6</v>
      </c>
      <c r="BT17" s="1"/>
      <c r="BU17" s="1">
        <v>1.6</v>
      </c>
      <c r="BV17" s="34">
        <v>36665</v>
      </c>
      <c r="BW17" s="33"/>
      <c r="BX17" s="33"/>
      <c r="BY17" s="32" t="s">
        <v>73</v>
      </c>
      <c r="BZ17" s="1" t="s">
        <v>74</v>
      </c>
      <c r="CA17" s="1" t="s">
        <v>75</v>
      </c>
      <c r="CB17" s="1" t="s">
        <v>74</v>
      </c>
    </row>
    <row r="18" spans="1:80" thickBot="1">
      <c r="A18" s="28"/>
      <c r="B18" s="35" t="s">
        <v>98</v>
      </c>
      <c r="C18" s="13">
        <v>11755</v>
      </c>
      <c r="D18" s="47">
        <v>2496</v>
      </c>
      <c r="E18" s="47">
        <v>388</v>
      </c>
      <c r="F18" s="48">
        <v>13.75</v>
      </c>
      <c r="G18" s="13">
        <v>239</v>
      </c>
      <c r="H18" s="13">
        <v>2300</v>
      </c>
      <c r="I18" s="38">
        <f t="shared" si="4"/>
        <v>0.15544871794871795</v>
      </c>
      <c r="J18" s="16"/>
      <c r="K18" s="39">
        <v>188.5</v>
      </c>
      <c r="L18" s="39">
        <v>258</v>
      </c>
      <c r="M18" s="39">
        <f t="shared" si="5"/>
        <v>13.709090909090909</v>
      </c>
      <c r="N18" s="39">
        <f t="shared" si="6"/>
        <v>18.763636363636362</v>
      </c>
      <c r="O18" s="8">
        <f t="shared" si="7"/>
        <v>106.23430962343097</v>
      </c>
      <c r="P18" s="40">
        <f t="shared" si="8"/>
        <v>1.7743796770382039</v>
      </c>
      <c r="Q18" s="40">
        <f t="shared" si="9"/>
        <v>2.4285939346199288</v>
      </c>
      <c r="S18" s="29"/>
      <c r="T18" s="1"/>
      <c r="U18" s="1"/>
      <c r="V18" s="1"/>
      <c r="W18" s="1"/>
      <c r="X18" s="1"/>
      <c r="Y18" s="1"/>
      <c r="Z18" s="1" t="s">
        <v>99</v>
      </c>
      <c r="AA18" s="1"/>
      <c r="AB18" s="49" t="s">
        <v>100</v>
      </c>
      <c r="AC18" s="46" t="s">
        <v>101</v>
      </c>
      <c r="AD18" s="46" t="s">
        <v>102</v>
      </c>
      <c r="AE18" s="46">
        <v>89963.4</v>
      </c>
      <c r="AF18" s="46">
        <v>79196.399999999994</v>
      </c>
      <c r="AG18" s="1" t="s">
        <v>103</v>
      </c>
      <c r="AH18" s="1" t="s">
        <v>104</v>
      </c>
      <c r="AI18" s="1" t="s">
        <v>105</v>
      </c>
      <c r="AJ18" s="1" t="s">
        <v>106</v>
      </c>
      <c r="AK18" s="1" t="s">
        <v>107</v>
      </c>
      <c r="AL18" s="1" t="s">
        <v>108</v>
      </c>
      <c r="AM18" s="1" t="s">
        <v>109</v>
      </c>
      <c r="AN18" s="1" t="s">
        <v>108</v>
      </c>
      <c r="AO18" s="1" t="s">
        <v>110</v>
      </c>
      <c r="AP18" s="1" t="s">
        <v>111</v>
      </c>
      <c r="AQ18" s="1"/>
      <c r="AR18" s="1"/>
      <c r="AS18" s="1"/>
      <c r="AT18" s="1"/>
      <c r="AU18" s="1" t="s">
        <v>111</v>
      </c>
      <c r="AV18" s="1"/>
      <c r="AW18" s="1"/>
      <c r="AX18" s="1"/>
      <c r="AY18" s="1"/>
      <c r="AZ18" s="1"/>
      <c r="BA18" s="1"/>
      <c r="BB18" s="1">
        <v>1997</v>
      </c>
      <c r="BC18" s="1">
        <v>41.25</v>
      </c>
      <c r="BD18" s="1">
        <v>88</v>
      </c>
      <c r="BE18" s="1">
        <v>40.5</v>
      </c>
      <c r="BF18" s="1">
        <v>78</v>
      </c>
      <c r="BG18" s="1">
        <v>22302601</v>
      </c>
      <c r="BH18" s="1">
        <v>64342</v>
      </c>
      <c r="BI18" s="1">
        <v>1391189344</v>
      </c>
      <c r="BJ18" s="1"/>
      <c r="BK18" s="1"/>
      <c r="BL18" s="1">
        <v>47.5</v>
      </c>
      <c r="BM18" s="1">
        <v>36.75</v>
      </c>
      <c r="BN18" s="1" t="s">
        <v>85</v>
      </c>
      <c r="BO18" s="1"/>
      <c r="BP18" s="31">
        <v>500180</v>
      </c>
      <c r="BQ18" s="32" t="s">
        <v>27</v>
      </c>
      <c r="BR18" s="33"/>
      <c r="BS18" s="1">
        <v>2.5</v>
      </c>
      <c r="BT18" s="1"/>
      <c r="BU18" s="1">
        <v>2.5</v>
      </c>
      <c r="BV18" s="34">
        <v>37407</v>
      </c>
      <c r="BW18" s="34">
        <v>37376</v>
      </c>
      <c r="BX18" s="34">
        <v>37383</v>
      </c>
      <c r="BY18" s="32" t="s">
        <v>73</v>
      </c>
      <c r="BZ18" s="1" t="s">
        <v>74</v>
      </c>
      <c r="CA18" s="1" t="s">
        <v>75</v>
      </c>
      <c r="CB18" s="1" t="s">
        <v>74</v>
      </c>
    </row>
    <row r="19" spans="1:80" thickBot="1">
      <c r="A19" s="28"/>
      <c r="B19" s="35" t="s">
        <v>112</v>
      </c>
      <c r="C19" s="13">
        <v>17745</v>
      </c>
      <c r="D19" s="47">
        <v>3029</v>
      </c>
      <c r="E19" s="47">
        <v>510</v>
      </c>
      <c r="F19" s="48">
        <v>17.95</v>
      </c>
      <c r="G19" s="13">
        <v>239</v>
      </c>
      <c r="H19" s="13">
        <v>2900</v>
      </c>
      <c r="I19" s="38">
        <f t="shared" si="4"/>
        <v>0.16837240013205679</v>
      </c>
      <c r="J19" s="16"/>
      <c r="K19" s="39">
        <v>230</v>
      </c>
      <c r="L19" s="39">
        <v>404</v>
      </c>
      <c r="M19" s="39">
        <f t="shared" si="5"/>
        <v>12.813370473537605</v>
      </c>
      <c r="N19" s="39">
        <f t="shared" si="6"/>
        <v>22.506963788300837</v>
      </c>
      <c r="O19" s="8">
        <f t="shared" si="7"/>
        <v>131.33891213389123</v>
      </c>
      <c r="P19" s="40">
        <f t="shared" si="8"/>
        <v>1.7511946479770626</v>
      </c>
      <c r="Q19" s="40">
        <f t="shared" si="9"/>
        <v>3.0760114686205795</v>
      </c>
      <c r="S19" s="29"/>
      <c r="T19" s="1"/>
      <c r="U19" s="1"/>
      <c r="V19" s="50">
        <f>(X19/Y19)^(1/1)-1</f>
        <v>0.22587500000000005</v>
      </c>
      <c r="W19" s="50">
        <f>(AA19/AB19)^(1/1)-1</f>
        <v>0.22461428554513119</v>
      </c>
      <c r="X19" s="1">
        <v>343245</v>
      </c>
      <c r="Y19" s="1">
        <v>280000</v>
      </c>
      <c r="Z19" s="1" t="s">
        <v>113</v>
      </c>
      <c r="AA19" s="1">
        <v>1241078</v>
      </c>
      <c r="AB19" s="1">
        <v>1013444</v>
      </c>
      <c r="AC19" s="46" t="s">
        <v>114</v>
      </c>
      <c r="AD19" s="46" t="s">
        <v>115</v>
      </c>
      <c r="AE19" s="46" t="s">
        <v>116</v>
      </c>
      <c r="AF19" s="46" t="s">
        <v>117</v>
      </c>
      <c r="AG19" s="1" t="s">
        <v>118</v>
      </c>
      <c r="AH19" s="51">
        <v>78202.600000000006</v>
      </c>
      <c r="AI19" s="51">
        <v>65045.9</v>
      </c>
      <c r="AJ19" s="51">
        <v>46754.400000000001</v>
      </c>
      <c r="AK19" s="51">
        <v>39812.9</v>
      </c>
      <c r="AL19" s="1" t="s">
        <v>119</v>
      </c>
      <c r="AM19" s="1" t="s">
        <v>120</v>
      </c>
      <c r="AN19" s="1" t="s">
        <v>119</v>
      </c>
      <c r="AO19" s="51">
        <v>69725.899999999994</v>
      </c>
      <c r="AP19" s="1" t="s">
        <v>121</v>
      </c>
      <c r="AQ19" s="51">
        <v>68890.2</v>
      </c>
      <c r="AR19" s="51">
        <v>44753.4</v>
      </c>
      <c r="AS19" s="51">
        <v>30934.9</v>
      </c>
      <c r="AT19" s="51">
        <v>25489.3</v>
      </c>
      <c r="AU19" s="1" t="s">
        <v>121</v>
      </c>
      <c r="AV19" s="51">
        <v>25489.3</v>
      </c>
      <c r="AW19" s="51">
        <v>20229.7</v>
      </c>
      <c r="AX19" s="51">
        <v>17029.900000000001</v>
      </c>
      <c r="AY19" s="51">
        <v>12594</v>
      </c>
      <c r="AZ19" s="1"/>
      <c r="BA19" s="1"/>
      <c r="BB19" s="1">
        <v>1998</v>
      </c>
      <c r="BC19" s="1">
        <v>59.25</v>
      </c>
      <c r="BD19" s="1">
        <v>65</v>
      </c>
      <c r="BE19" s="1">
        <v>59.25</v>
      </c>
      <c r="BF19" s="1">
        <v>65</v>
      </c>
      <c r="BG19" s="1">
        <v>85000</v>
      </c>
      <c r="BH19" s="1">
        <v>4</v>
      </c>
      <c r="BI19" s="1">
        <v>5180000</v>
      </c>
      <c r="BJ19" s="1"/>
      <c r="BK19" s="1"/>
      <c r="BL19" s="1">
        <v>5.75</v>
      </c>
      <c r="BM19" s="1">
        <v>5.75</v>
      </c>
      <c r="BN19" s="1"/>
      <c r="BO19" s="1"/>
      <c r="BP19" s="31">
        <v>500180</v>
      </c>
      <c r="BQ19" s="32" t="s">
        <v>27</v>
      </c>
      <c r="BR19" s="33"/>
      <c r="BS19" s="1">
        <v>4.5</v>
      </c>
      <c r="BT19" s="1"/>
      <c r="BU19" s="1">
        <v>4.5</v>
      </c>
      <c r="BV19" s="34">
        <v>38520</v>
      </c>
      <c r="BW19" s="34">
        <v>38492</v>
      </c>
      <c r="BX19" s="34">
        <v>38498</v>
      </c>
      <c r="BY19" s="32" t="s">
        <v>73</v>
      </c>
      <c r="BZ19" s="1" t="s">
        <v>74</v>
      </c>
      <c r="CA19" s="1" t="s">
        <v>75</v>
      </c>
      <c r="CB19" s="1" t="s">
        <v>74</v>
      </c>
    </row>
    <row r="20" spans="1:80" thickBot="1">
      <c r="A20" s="28"/>
      <c r="B20" s="35" t="s">
        <v>122</v>
      </c>
      <c r="C20" s="13">
        <v>25566</v>
      </c>
      <c r="D20" s="47">
        <v>3745</v>
      </c>
      <c r="E20" s="47">
        <v>666</v>
      </c>
      <c r="F20" s="48">
        <v>22.9</v>
      </c>
      <c r="G20" s="13">
        <v>280</v>
      </c>
      <c r="H20" s="13">
        <v>3500</v>
      </c>
      <c r="I20" s="38">
        <f t="shared" si="4"/>
        <v>0.17783711615487316</v>
      </c>
      <c r="J20" s="16"/>
      <c r="K20" s="39">
        <v>262</v>
      </c>
      <c r="L20" s="39">
        <v>629.95000000000005</v>
      </c>
      <c r="M20" s="39">
        <f t="shared" si="5"/>
        <v>11.441048034934498</v>
      </c>
      <c r="N20" s="39">
        <f t="shared" si="6"/>
        <v>27.508733624454152</v>
      </c>
      <c r="O20" s="8">
        <f t="shared" si="7"/>
        <v>135</v>
      </c>
      <c r="P20" s="40">
        <f t="shared" si="8"/>
        <v>1.9407407407407407</v>
      </c>
      <c r="Q20" s="40">
        <f t="shared" si="9"/>
        <v>4.6662962962962968</v>
      </c>
      <c r="S20" s="29"/>
      <c r="T20" s="1"/>
      <c r="U20" s="1"/>
      <c r="V20" s="1"/>
      <c r="W20" s="50"/>
      <c r="X20" s="50"/>
      <c r="Y20" s="50"/>
      <c r="Z20" s="1" t="s">
        <v>123</v>
      </c>
      <c r="AA20" s="1"/>
      <c r="AB20" s="46" t="s">
        <v>124</v>
      </c>
      <c r="AC20" s="46" t="s">
        <v>124</v>
      </c>
      <c r="AD20" s="46" t="s">
        <v>125</v>
      </c>
      <c r="AE20" s="46" t="s">
        <v>126</v>
      </c>
      <c r="AF20" s="46" t="s">
        <v>127</v>
      </c>
      <c r="AG20" s="1" t="s">
        <v>128</v>
      </c>
      <c r="AH20" s="51">
        <v>2816.3</v>
      </c>
      <c r="AI20" s="51">
        <v>1371.4</v>
      </c>
      <c r="AJ20" s="51">
        <v>1480.8</v>
      </c>
      <c r="AK20" s="1">
        <v>809.6</v>
      </c>
      <c r="AL20" s="1" t="s">
        <v>129</v>
      </c>
      <c r="AM20" s="51">
        <v>40088.699999999997</v>
      </c>
      <c r="AN20" s="1" t="s">
        <v>129</v>
      </c>
      <c r="AO20" s="51">
        <v>28706.6</v>
      </c>
      <c r="AP20" s="1" t="s">
        <v>103</v>
      </c>
      <c r="AQ20" s="51">
        <v>43341.5</v>
      </c>
      <c r="AR20" s="51">
        <v>27002</v>
      </c>
      <c r="AS20" s="51">
        <v>16637</v>
      </c>
      <c r="AT20" s="51">
        <v>11086.6</v>
      </c>
      <c r="AU20" s="1" t="s">
        <v>103</v>
      </c>
      <c r="AV20" s="51">
        <v>11086.6</v>
      </c>
      <c r="AW20" s="51">
        <v>7866.8</v>
      </c>
      <c r="AX20" s="51">
        <v>6239.3</v>
      </c>
      <c r="AY20" s="51">
        <v>4931.7</v>
      </c>
      <c r="AZ20" s="1"/>
      <c r="BA20" s="1"/>
      <c r="BB20" s="1">
        <v>1998</v>
      </c>
      <c r="BC20" s="1">
        <v>47.5</v>
      </c>
      <c r="BD20" s="1">
        <v>87.5</v>
      </c>
      <c r="BE20" s="1">
        <v>47</v>
      </c>
      <c r="BF20" s="1">
        <v>54.75</v>
      </c>
      <c r="BG20" s="1">
        <v>35447005</v>
      </c>
      <c r="BH20" s="1">
        <v>89751</v>
      </c>
      <c r="BI20" s="1">
        <v>2363582909</v>
      </c>
      <c r="BJ20" s="1"/>
      <c r="BK20" s="1"/>
      <c r="BL20" s="1">
        <v>40.5</v>
      </c>
      <c r="BM20" s="1">
        <v>7.25</v>
      </c>
      <c r="BN20" s="1" t="s">
        <v>85</v>
      </c>
      <c r="BO20" s="1"/>
      <c r="BP20" s="31">
        <v>500180</v>
      </c>
      <c r="BQ20" s="32" t="s">
        <v>27</v>
      </c>
      <c r="BR20" s="33"/>
      <c r="BS20" s="1">
        <v>5.5</v>
      </c>
      <c r="BT20" s="1"/>
      <c r="BU20" s="1">
        <v>5.5</v>
      </c>
      <c r="BV20" s="34">
        <v>38867</v>
      </c>
      <c r="BW20" s="34">
        <v>38845</v>
      </c>
      <c r="BX20" s="34">
        <v>38848</v>
      </c>
      <c r="BY20" s="32" t="s">
        <v>73</v>
      </c>
      <c r="BZ20" s="1" t="s">
        <v>74</v>
      </c>
      <c r="CA20" s="1" t="s">
        <v>75</v>
      </c>
      <c r="CB20" s="1" t="s">
        <v>74</v>
      </c>
    </row>
    <row r="21" spans="1:80" thickBot="1">
      <c r="A21" s="28"/>
      <c r="B21" s="35" t="s">
        <v>130</v>
      </c>
      <c r="C21" s="13">
        <v>35061</v>
      </c>
      <c r="D21" s="47">
        <v>5599</v>
      </c>
      <c r="E21" s="47">
        <v>871</v>
      </c>
      <c r="F21" s="48">
        <v>27.9</v>
      </c>
      <c r="G21" s="13">
        <v>280</v>
      </c>
      <c r="H21" s="13">
        <v>5000</v>
      </c>
      <c r="I21" s="38">
        <f t="shared" si="4"/>
        <v>0.15556349348097875</v>
      </c>
      <c r="J21" s="16"/>
      <c r="K21" s="39">
        <v>512.04999999999995</v>
      </c>
      <c r="L21" s="39">
        <v>790</v>
      </c>
      <c r="M21" s="39">
        <f t="shared" si="5"/>
        <v>18.353046594982079</v>
      </c>
      <c r="N21" s="39">
        <f t="shared" si="6"/>
        <v>28.31541218637993</v>
      </c>
      <c r="O21" s="8">
        <f t="shared" si="7"/>
        <v>188.57142857142858</v>
      </c>
      <c r="P21" s="40">
        <f t="shared" si="8"/>
        <v>2.7154166666666661</v>
      </c>
      <c r="Q21" s="40">
        <f t="shared" si="9"/>
        <v>4.1893939393939394</v>
      </c>
      <c r="S21" s="29"/>
      <c r="T21" s="1"/>
      <c r="U21" s="1"/>
      <c r="V21" s="1"/>
      <c r="W21" s="50"/>
      <c r="X21" s="50"/>
      <c r="Y21" s="50"/>
      <c r="Z21" s="1" t="s">
        <v>131</v>
      </c>
      <c r="AA21" s="1"/>
      <c r="AB21" s="46" t="s">
        <v>124</v>
      </c>
      <c r="AC21" s="46" t="s">
        <v>124</v>
      </c>
      <c r="AD21" s="46" t="s">
        <v>132</v>
      </c>
      <c r="AE21" s="46" t="s">
        <v>133</v>
      </c>
      <c r="AF21" s="46" t="s">
        <v>134</v>
      </c>
      <c r="AG21" s="1" t="s">
        <v>135</v>
      </c>
      <c r="AH21" s="51">
        <v>1405.9</v>
      </c>
      <c r="AI21" s="51">
        <v>1080.2</v>
      </c>
      <c r="AJ21" s="1">
        <v>196.8</v>
      </c>
      <c r="AK21" s="1">
        <v>123.8</v>
      </c>
      <c r="AL21" s="1" t="s">
        <v>136</v>
      </c>
      <c r="AM21" s="51">
        <v>1881.8</v>
      </c>
      <c r="AN21" s="1" t="s">
        <v>136</v>
      </c>
      <c r="AO21" s="51">
        <v>2761.1</v>
      </c>
      <c r="AP21" s="1" t="s">
        <v>118</v>
      </c>
      <c r="AQ21" s="51">
        <v>22986.2</v>
      </c>
      <c r="AR21" s="51">
        <v>16316.6</v>
      </c>
      <c r="AS21" s="51">
        <v>13063.6</v>
      </c>
      <c r="AT21" s="51">
        <v>13222.2</v>
      </c>
      <c r="AU21" s="1" t="s">
        <v>118</v>
      </c>
      <c r="AV21" s="51">
        <v>13222.2</v>
      </c>
      <c r="AW21" s="51">
        <v>11129.5</v>
      </c>
      <c r="AX21" s="51">
        <v>8639.7000000000007</v>
      </c>
      <c r="AY21" s="51">
        <v>6355.9</v>
      </c>
      <c r="AZ21" s="1"/>
      <c r="BA21" s="1"/>
      <c r="BB21" s="1">
        <v>1999</v>
      </c>
      <c r="BC21" s="1">
        <v>55</v>
      </c>
      <c r="BD21" s="1">
        <v>115.8</v>
      </c>
      <c r="BE21" s="1">
        <v>55</v>
      </c>
      <c r="BF21" s="1">
        <v>115.8</v>
      </c>
      <c r="BG21" s="1">
        <v>4371200</v>
      </c>
      <c r="BH21" s="1">
        <v>7</v>
      </c>
      <c r="BI21" s="1">
        <v>426832250</v>
      </c>
      <c r="BJ21" s="1"/>
      <c r="BK21" s="1"/>
      <c r="BL21" s="1">
        <v>60.8</v>
      </c>
      <c r="BM21" s="1">
        <v>60.8</v>
      </c>
      <c r="BN21" s="1"/>
      <c r="BO21" s="1"/>
      <c r="BP21" s="31">
        <v>500180</v>
      </c>
      <c r="BQ21" s="32" t="s">
        <v>27</v>
      </c>
      <c r="BR21" s="33"/>
      <c r="BS21" s="1">
        <v>3.5</v>
      </c>
      <c r="BT21" s="1"/>
      <c r="BU21" s="1">
        <v>3.5</v>
      </c>
      <c r="BV21" s="34">
        <v>38133</v>
      </c>
      <c r="BW21" s="34">
        <v>38107</v>
      </c>
      <c r="BX21" s="34">
        <v>38112</v>
      </c>
      <c r="BY21" s="32" t="s">
        <v>73</v>
      </c>
      <c r="BZ21" s="1" t="s">
        <v>74</v>
      </c>
      <c r="CA21" s="1" t="s">
        <v>75</v>
      </c>
      <c r="CB21" s="1" t="s">
        <v>74</v>
      </c>
    </row>
    <row r="22" spans="1:80" thickBot="1">
      <c r="A22" s="28"/>
      <c r="B22" s="35" t="s">
        <v>137</v>
      </c>
      <c r="C22" s="13">
        <v>46945</v>
      </c>
      <c r="D22" s="47">
        <v>8405</v>
      </c>
      <c r="E22" s="47">
        <v>1142</v>
      </c>
      <c r="F22" s="48">
        <v>36.299999999999997</v>
      </c>
      <c r="G22" s="13">
        <v>280</v>
      </c>
      <c r="H22" s="13">
        <v>7500</v>
      </c>
      <c r="I22" s="38">
        <f t="shared" si="4"/>
        <v>0.13587150505651399</v>
      </c>
      <c r="J22" s="16"/>
      <c r="K22" s="39">
        <v>620</v>
      </c>
      <c r="L22" s="39">
        <v>1150</v>
      </c>
      <c r="M22" s="39">
        <f t="shared" si="5"/>
        <v>17.079889807162537</v>
      </c>
      <c r="N22" s="39">
        <f t="shared" si="6"/>
        <v>31.680440771349865</v>
      </c>
      <c r="O22" s="8">
        <f t="shared" si="7"/>
        <v>277.85714285714283</v>
      </c>
      <c r="P22" s="40">
        <f t="shared" si="8"/>
        <v>2.2313624678663242</v>
      </c>
      <c r="Q22" s="40">
        <f t="shared" si="9"/>
        <v>4.138817480719795</v>
      </c>
      <c r="S22" s="29"/>
      <c r="T22" s="1"/>
      <c r="U22" s="1"/>
      <c r="V22" s="1"/>
      <c r="W22" s="50"/>
      <c r="X22" s="50"/>
      <c r="Y22" s="50"/>
      <c r="Z22" s="1" t="s">
        <v>138</v>
      </c>
      <c r="AA22" s="1"/>
      <c r="AB22" s="46" t="s">
        <v>139</v>
      </c>
      <c r="AC22" s="46" t="s">
        <v>140</v>
      </c>
      <c r="AD22" s="46" t="s">
        <v>141</v>
      </c>
      <c r="AE22" s="46" t="s">
        <v>142</v>
      </c>
      <c r="AF22" s="46" t="s">
        <v>143</v>
      </c>
      <c r="AG22" s="1" t="s">
        <v>99</v>
      </c>
      <c r="AH22" s="51">
        <v>68526.2</v>
      </c>
      <c r="AI22" s="51">
        <v>52436.9</v>
      </c>
      <c r="AJ22" s="51">
        <v>43351.5</v>
      </c>
      <c r="AK22" s="51">
        <v>38076.1</v>
      </c>
      <c r="AL22" s="1" t="s">
        <v>144</v>
      </c>
      <c r="AM22" s="1">
        <v>44.8</v>
      </c>
      <c r="AN22" s="1" t="s">
        <v>144</v>
      </c>
      <c r="AO22" s="1">
        <v>36</v>
      </c>
      <c r="AP22" s="1" t="s">
        <v>128</v>
      </c>
      <c r="AQ22" s="51">
        <v>2529.4</v>
      </c>
      <c r="AR22" s="51">
        <v>1425.5</v>
      </c>
      <c r="AS22" s="51">
        <v>1140.3</v>
      </c>
      <c r="AT22" s="51">
        <v>1109.5999999999999</v>
      </c>
      <c r="AU22" s="1" t="s">
        <v>128</v>
      </c>
      <c r="AV22" s="51">
        <v>1109.5999999999999</v>
      </c>
      <c r="AW22" s="51">
        <v>1204.4000000000001</v>
      </c>
      <c r="AX22" s="51">
        <v>2139.6</v>
      </c>
      <c r="AY22" s="51">
        <v>1305.8</v>
      </c>
      <c r="AZ22" s="1"/>
      <c r="BA22" s="1"/>
      <c r="BB22" s="1">
        <v>1999</v>
      </c>
      <c r="BC22" s="1">
        <v>55</v>
      </c>
      <c r="BD22" s="1">
        <v>192.8</v>
      </c>
      <c r="BE22" s="1">
        <v>49.1</v>
      </c>
      <c r="BF22" s="1">
        <v>161.5</v>
      </c>
      <c r="BG22" s="1">
        <v>53513547</v>
      </c>
      <c r="BH22" s="1">
        <v>156211</v>
      </c>
      <c r="BI22" s="1">
        <v>4856295655</v>
      </c>
      <c r="BJ22" s="1"/>
      <c r="BK22" s="1"/>
      <c r="BL22" s="1">
        <v>143.69999999999999</v>
      </c>
      <c r="BM22" s="1">
        <v>106.5</v>
      </c>
      <c r="BN22" s="1" t="s">
        <v>85</v>
      </c>
      <c r="BO22" s="1"/>
      <c r="BP22" s="31">
        <v>500180</v>
      </c>
      <c r="BQ22" s="32" t="s">
        <v>27</v>
      </c>
      <c r="BR22" s="33"/>
      <c r="BS22" s="1">
        <v>7</v>
      </c>
      <c r="BT22" s="1"/>
      <c r="BU22" s="1">
        <v>7</v>
      </c>
      <c r="BV22" s="34">
        <v>39245</v>
      </c>
      <c r="BW22" s="34">
        <v>39216</v>
      </c>
      <c r="BX22" s="34">
        <v>39219</v>
      </c>
      <c r="BY22" s="32" t="s">
        <v>73</v>
      </c>
      <c r="BZ22" s="1" t="s">
        <v>74</v>
      </c>
      <c r="CA22" s="1" t="s">
        <v>75</v>
      </c>
      <c r="CB22" s="1" t="s">
        <v>74</v>
      </c>
    </row>
    <row r="23" spans="1:80" thickBot="1">
      <c r="A23" s="28"/>
      <c r="B23" s="35" t="s">
        <v>145</v>
      </c>
      <c r="C23" s="13">
        <v>63427</v>
      </c>
      <c r="D23" s="47">
        <v>12398</v>
      </c>
      <c r="E23" s="47">
        <v>1592</v>
      </c>
      <c r="F23" s="48">
        <v>46.2</v>
      </c>
      <c r="G23" s="13">
        <v>280</v>
      </c>
      <c r="H23" s="13">
        <v>10500</v>
      </c>
      <c r="I23" s="38">
        <f t="shared" si="4"/>
        <v>0.12840780771092111</v>
      </c>
      <c r="J23" s="48">
        <v>1.3</v>
      </c>
      <c r="K23" s="39">
        <v>895</v>
      </c>
      <c r="L23" s="39">
        <v>1825</v>
      </c>
      <c r="M23" s="39">
        <f t="shared" si="5"/>
        <v>19.37229437229437</v>
      </c>
      <c r="N23" s="39">
        <f t="shared" si="6"/>
        <v>39.502164502164497</v>
      </c>
      <c r="O23" s="8">
        <f t="shared" si="7"/>
        <v>385</v>
      </c>
      <c r="P23" s="40">
        <f t="shared" si="8"/>
        <v>2.3246753246753249</v>
      </c>
      <c r="Q23" s="40">
        <f t="shared" si="9"/>
        <v>4.7402597402597406</v>
      </c>
      <c r="S23" s="29"/>
      <c r="T23" s="1"/>
      <c r="U23" s="1"/>
      <c r="V23" s="1"/>
      <c r="W23" s="50"/>
      <c r="X23" s="50"/>
      <c r="Y23" s="50"/>
      <c r="Z23" s="1" t="s">
        <v>146</v>
      </c>
      <c r="AA23" s="1"/>
      <c r="AB23" s="46" t="s">
        <v>124</v>
      </c>
      <c r="AC23" s="46" t="s">
        <v>124</v>
      </c>
      <c r="AD23" s="46" t="s">
        <v>124</v>
      </c>
      <c r="AE23" s="46" t="s">
        <v>124</v>
      </c>
      <c r="AF23" s="46" t="s">
        <v>124</v>
      </c>
      <c r="AG23" s="1" t="s">
        <v>113</v>
      </c>
      <c r="AH23" s="51">
        <v>419174</v>
      </c>
      <c r="AI23" s="1" t="s">
        <v>147</v>
      </c>
      <c r="AJ23" s="1" t="s">
        <v>148</v>
      </c>
      <c r="AK23" s="1">
        <v>199805</v>
      </c>
      <c r="AL23" s="1" t="s">
        <v>99</v>
      </c>
      <c r="AM23" s="51">
        <v>34365.199999999997</v>
      </c>
      <c r="AN23" s="1" t="s">
        <v>99</v>
      </c>
      <c r="AO23" s="51">
        <v>23725.7</v>
      </c>
      <c r="AP23" s="1" t="s">
        <v>135</v>
      </c>
      <c r="AQ23" s="1">
        <v>33.1</v>
      </c>
      <c r="AR23" s="1">
        <v>9.3000000000000007</v>
      </c>
      <c r="AS23" s="1">
        <v>94</v>
      </c>
      <c r="AT23" s="1">
        <v>70.900000000000006</v>
      </c>
      <c r="AU23" s="1" t="s">
        <v>135</v>
      </c>
      <c r="AV23" s="1">
        <v>70.900000000000006</v>
      </c>
      <c r="AW23" s="1">
        <v>29</v>
      </c>
      <c r="AX23" s="1">
        <v>11.3</v>
      </c>
      <c r="AY23" s="1">
        <v>1.2</v>
      </c>
      <c r="AZ23" s="1"/>
      <c r="BA23" s="1"/>
      <c r="BB23" s="1">
        <v>2000</v>
      </c>
      <c r="BC23" s="1">
        <v>234.9</v>
      </c>
      <c r="BD23" s="1">
        <v>279.5</v>
      </c>
      <c r="BE23" s="1">
        <v>210</v>
      </c>
      <c r="BF23" s="1">
        <v>215</v>
      </c>
      <c r="BG23" s="1">
        <v>9877555</v>
      </c>
      <c r="BH23" s="1">
        <v>123</v>
      </c>
      <c r="BI23" s="1">
        <v>2477439668</v>
      </c>
      <c r="BJ23" s="1"/>
      <c r="BK23" s="1"/>
      <c r="BL23" s="1">
        <v>69.5</v>
      </c>
      <c r="BM23" s="1">
        <v>-19.899999999999999</v>
      </c>
      <c r="BN23" s="1"/>
      <c r="BO23" s="1"/>
      <c r="BP23" s="31">
        <v>500180</v>
      </c>
      <c r="BQ23" s="32" t="s">
        <v>27</v>
      </c>
      <c r="BR23" s="34">
        <v>37001</v>
      </c>
      <c r="BS23" s="1">
        <v>2</v>
      </c>
      <c r="BT23" s="1"/>
      <c r="BU23" s="1">
        <v>2</v>
      </c>
      <c r="BV23" s="34">
        <v>37043</v>
      </c>
      <c r="BW23" s="34">
        <v>37001</v>
      </c>
      <c r="BX23" s="34">
        <v>37013</v>
      </c>
      <c r="BY23" s="32" t="s">
        <v>73</v>
      </c>
      <c r="BZ23" s="1" t="s">
        <v>74</v>
      </c>
      <c r="CA23" s="1" t="s">
        <v>75</v>
      </c>
      <c r="CB23" s="1" t="s">
        <v>74</v>
      </c>
    </row>
    <row r="24" spans="1:80" thickBot="1">
      <c r="A24" s="28"/>
      <c r="B24" s="35" t="s">
        <v>149</v>
      </c>
      <c r="C24" s="13">
        <v>98883</v>
      </c>
      <c r="D24" s="47">
        <v>19623</v>
      </c>
      <c r="E24" s="47">
        <v>2245</v>
      </c>
      <c r="F24" s="48">
        <v>52.9</v>
      </c>
      <c r="G24" s="13">
        <v>280</v>
      </c>
      <c r="H24" s="13">
        <v>13500</v>
      </c>
      <c r="I24" s="38">
        <f t="shared" si="4"/>
        <v>0.11440656372623961</v>
      </c>
      <c r="J24" s="48">
        <v>1.98</v>
      </c>
      <c r="K24" s="39">
        <v>774</v>
      </c>
      <c r="L24" s="39">
        <v>1575</v>
      </c>
      <c r="M24" s="39">
        <f t="shared" si="5"/>
        <v>14.631379962192817</v>
      </c>
      <c r="N24" s="39">
        <f t="shared" si="6"/>
        <v>29.773156899810964</v>
      </c>
      <c r="O24" s="8">
        <f t="shared" si="7"/>
        <v>492.14285714285717</v>
      </c>
      <c r="P24" s="40">
        <f t="shared" si="8"/>
        <v>1.5727140783744558</v>
      </c>
      <c r="Q24" s="40">
        <f t="shared" si="9"/>
        <v>3.2002902757619736</v>
      </c>
      <c r="S24" s="29"/>
      <c r="T24" s="1"/>
      <c r="U24" s="1"/>
      <c r="V24" s="1"/>
      <c r="W24" s="50"/>
      <c r="X24" s="50"/>
      <c r="Y24" s="50"/>
      <c r="Z24" s="1" t="s">
        <v>150</v>
      </c>
      <c r="AA24" s="1"/>
      <c r="AB24" s="46" t="s">
        <v>139</v>
      </c>
      <c r="AC24" s="46" t="s">
        <v>140</v>
      </c>
      <c r="AD24" s="46" t="s">
        <v>141</v>
      </c>
      <c r="AE24" s="46" t="s">
        <v>142</v>
      </c>
      <c r="AF24" s="46" t="s">
        <v>143</v>
      </c>
      <c r="AG24" s="1" t="s">
        <v>151</v>
      </c>
      <c r="AH24" s="1" t="s">
        <v>152</v>
      </c>
      <c r="AI24" s="1" t="s">
        <v>153</v>
      </c>
      <c r="AJ24" s="51">
        <v>-93850.8</v>
      </c>
      <c r="AK24" s="51">
        <v>-77863</v>
      </c>
      <c r="AL24" s="1" t="s">
        <v>113</v>
      </c>
      <c r="AM24" s="1" t="s">
        <v>154</v>
      </c>
      <c r="AN24" s="1" t="s">
        <v>113</v>
      </c>
      <c r="AO24" s="1" t="s">
        <v>155</v>
      </c>
      <c r="AP24" s="1" t="s">
        <v>99</v>
      </c>
      <c r="AQ24" s="51">
        <v>15162.3</v>
      </c>
      <c r="AR24" s="51">
        <v>11239.8</v>
      </c>
      <c r="AS24" s="51">
        <v>6513.4</v>
      </c>
      <c r="AT24" s="51">
        <v>4800.3</v>
      </c>
      <c r="AU24" s="1" t="s">
        <v>99</v>
      </c>
      <c r="AV24" s="51">
        <v>4800.3</v>
      </c>
      <c r="AW24" s="51">
        <v>4731</v>
      </c>
      <c r="AX24" s="51">
        <v>3332.5</v>
      </c>
      <c r="AY24" s="51">
        <v>1855.3</v>
      </c>
      <c r="AZ24" s="1"/>
      <c r="BA24" s="1"/>
      <c r="BB24" s="1">
        <v>2000</v>
      </c>
      <c r="BC24" s="1">
        <v>165</v>
      </c>
      <c r="BD24" s="1">
        <v>295.85000000000002</v>
      </c>
      <c r="BE24" s="1">
        <v>157</v>
      </c>
      <c r="BF24" s="1">
        <v>222.5</v>
      </c>
      <c r="BG24" s="1">
        <v>41384003</v>
      </c>
      <c r="BH24" s="1">
        <v>341748</v>
      </c>
      <c r="BI24" s="1">
        <v>9702644744</v>
      </c>
      <c r="BJ24" s="1"/>
      <c r="BK24" s="1"/>
      <c r="BL24" s="1">
        <v>138.85</v>
      </c>
      <c r="BM24" s="1">
        <v>57.5</v>
      </c>
      <c r="BN24" s="1" t="s">
        <v>85</v>
      </c>
      <c r="BO24" s="1"/>
      <c r="BP24" s="31">
        <v>500180</v>
      </c>
      <c r="BQ24" s="32" t="s">
        <v>27</v>
      </c>
      <c r="BR24" s="34">
        <v>39567</v>
      </c>
      <c r="BS24" s="1">
        <v>8.5</v>
      </c>
      <c r="BT24" s="1"/>
      <c r="BU24" s="1">
        <v>8.5</v>
      </c>
      <c r="BV24" s="33"/>
      <c r="BW24" s="34">
        <v>39561</v>
      </c>
      <c r="BX24" s="34">
        <v>39567</v>
      </c>
      <c r="BY24" s="32" t="s">
        <v>73</v>
      </c>
      <c r="BZ24" s="1" t="s">
        <v>74</v>
      </c>
      <c r="CA24" s="1" t="s">
        <v>75</v>
      </c>
      <c r="CB24" s="1" t="s">
        <v>74</v>
      </c>
    </row>
    <row r="25" spans="1:80" thickBot="1">
      <c r="A25" s="28"/>
      <c r="B25" s="35" t="s">
        <v>156</v>
      </c>
      <c r="C25" s="13">
        <v>125831</v>
      </c>
      <c r="D25" s="47">
        <v>19981</v>
      </c>
      <c r="E25" s="47">
        <v>2949</v>
      </c>
      <c r="F25" s="48">
        <v>67.599999999999994</v>
      </c>
      <c r="G25" s="13">
        <v>480</v>
      </c>
      <c r="H25" s="13">
        <v>18000</v>
      </c>
      <c r="I25" s="38">
        <f t="shared" si="4"/>
        <v>0.14759021070016515</v>
      </c>
      <c r="J25" s="48">
        <v>1.43</v>
      </c>
      <c r="K25" s="39">
        <v>952</v>
      </c>
      <c r="L25" s="39">
        <v>1986</v>
      </c>
      <c r="M25" s="39">
        <f t="shared" si="5"/>
        <v>14.082840236686392</v>
      </c>
      <c r="N25" s="39">
        <f t="shared" si="6"/>
        <v>29.378698224852073</v>
      </c>
      <c r="O25" s="8">
        <f t="shared" si="7"/>
        <v>385</v>
      </c>
      <c r="P25" s="40">
        <f t="shared" si="8"/>
        <v>2.4727272727272727</v>
      </c>
      <c r="Q25" s="40">
        <f t="shared" si="9"/>
        <v>5.1584415584415586</v>
      </c>
      <c r="S25" s="29"/>
      <c r="T25" s="1"/>
      <c r="U25" s="1"/>
      <c r="V25" s="1"/>
      <c r="W25" s="50"/>
      <c r="X25" s="50"/>
      <c r="Y25" s="50"/>
      <c r="Z25" s="1" t="s">
        <v>157</v>
      </c>
      <c r="AA25" s="1"/>
      <c r="AB25" s="46" t="s">
        <v>158</v>
      </c>
      <c r="AC25" s="46">
        <v>-75894.3</v>
      </c>
      <c r="AD25" s="46">
        <v>-63417.1</v>
      </c>
      <c r="AE25" s="46">
        <v>-51128</v>
      </c>
      <c r="AF25" s="46">
        <v>-42936.7</v>
      </c>
      <c r="AG25" s="1" t="s">
        <v>159</v>
      </c>
      <c r="AH25" s="1" t="s">
        <v>160</v>
      </c>
      <c r="AI25" s="51">
        <v>-85900.6</v>
      </c>
      <c r="AJ25" s="51">
        <v>-71529.2</v>
      </c>
      <c r="AK25" s="51">
        <v>-57645</v>
      </c>
      <c r="AL25" s="1" t="s">
        <v>151</v>
      </c>
      <c r="AM25" s="51">
        <v>-89033.7</v>
      </c>
      <c r="AN25" s="1" t="s">
        <v>151</v>
      </c>
      <c r="AO25" s="51">
        <v>-48877.9</v>
      </c>
      <c r="AP25" s="1" t="s">
        <v>113</v>
      </c>
      <c r="AQ25" s="51">
        <v>84052.5</v>
      </c>
      <c r="AR25" s="51">
        <v>55993.2</v>
      </c>
      <c r="AS25" s="51">
        <v>37448.300000000003</v>
      </c>
      <c r="AT25" s="51">
        <v>30289.599999999999</v>
      </c>
      <c r="AU25" s="1" t="s">
        <v>113</v>
      </c>
      <c r="AV25" s="51">
        <v>30289.599999999999</v>
      </c>
      <c r="AW25" s="51">
        <v>24960.7</v>
      </c>
      <c r="AX25" s="51">
        <v>20362.400000000001</v>
      </c>
      <c r="AY25" s="51">
        <v>14449.9</v>
      </c>
      <c r="AZ25" s="1"/>
      <c r="BA25" s="1"/>
      <c r="BB25" s="1">
        <v>2001</v>
      </c>
      <c r="BC25" s="1">
        <v>222.85</v>
      </c>
      <c r="BD25" s="1">
        <v>279.39999999999998</v>
      </c>
      <c r="BE25" s="1">
        <v>197</v>
      </c>
      <c r="BF25" s="1">
        <v>210.6</v>
      </c>
      <c r="BG25" s="1">
        <v>16803654</v>
      </c>
      <c r="BH25" s="1">
        <v>168189</v>
      </c>
      <c r="BI25" s="1">
        <v>4074296613</v>
      </c>
      <c r="BJ25" s="1"/>
      <c r="BK25" s="1"/>
      <c r="BL25" s="1">
        <v>82.4</v>
      </c>
      <c r="BM25" s="1">
        <v>-12.25</v>
      </c>
      <c r="BN25" s="1" t="s">
        <v>85</v>
      </c>
      <c r="BO25" s="1"/>
      <c r="BP25" s="31">
        <v>500180</v>
      </c>
      <c r="BQ25" s="32" t="s">
        <v>27</v>
      </c>
      <c r="BR25" s="34">
        <v>39604</v>
      </c>
      <c r="BS25" s="1">
        <v>8.5</v>
      </c>
      <c r="BT25" s="1"/>
      <c r="BU25" s="1">
        <v>8.5</v>
      </c>
      <c r="BV25" s="34">
        <v>39609</v>
      </c>
      <c r="BW25" s="34">
        <v>39601</v>
      </c>
      <c r="BX25" s="34">
        <v>39604</v>
      </c>
      <c r="BY25" s="32" t="s">
        <v>73</v>
      </c>
      <c r="BZ25" s="1" t="s">
        <v>74</v>
      </c>
      <c r="CA25" s="1" t="s">
        <v>75</v>
      </c>
      <c r="CB25" s="1" t="s">
        <v>74</v>
      </c>
    </row>
    <row r="26" spans="1:80" thickBot="1">
      <c r="A26" s="28" t="s">
        <v>161</v>
      </c>
      <c r="B26" s="35" t="s">
        <v>162</v>
      </c>
      <c r="C26" s="13">
        <v>159983</v>
      </c>
      <c r="D26" s="47">
        <v>24263</v>
      </c>
      <c r="E26" s="47">
        <v>3926</v>
      </c>
      <c r="F26" s="52">
        <v>85</v>
      </c>
      <c r="G26" s="13">
        <v>480</v>
      </c>
      <c r="H26" s="13">
        <v>24000</v>
      </c>
      <c r="I26" s="38">
        <f t="shared" si="4"/>
        <v>0.16181016362362444</v>
      </c>
      <c r="J26" s="45">
        <v>1.05</v>
      </c>
      <c r="K26" s="39">
        <v>1785</v>
      </c>
      <c r="L26" s="39">
        <v>2518</v>
      </c>
      <c r="M26" s="39">
        <f t="shared" si="5"/>
        <v>21</v>
      </c>
      <c r="N26" s="39">
        <f t="shared" si="6"/>
        <v>29.623529411764707</v>
      </c>
      <c r="O26" s="8">
        <f t="shared" si="7"/>
        <v>510</v>
      </c>
      <c r="P26" s="40">
        <f t="shared" si="8"/>
        <v>3.5</v>
      </c>
      <c r="Q26" s="40">
        <f t="shared" si="9"/>
        <v>4.9372549019607845</v>
      </c>
      <c r="S26" s="29"/>
      <c r="T26" s="1"/>
      <c r="U26" s="1"/>
      <c r="V26" s="50">
        <f>(X26/Y26)^(1/1)-1</f>
        <v>0.18063940582145599</v>
      </c>
      <c r="W26" s="50">
        <f t="shared" ref="W26:W28" si="10">(AA26/AB26)^(1/1)-1</f>
        <v>0.20929480790263399</v>
      </c>
      <c r="X26" s="1">
        <v>56908</v>
      </c>
      <c r="Y26" s="1">
        <v>48201</v>
      </c>
      <c r="Z26" s="1" t="s">
        <v>45</v>
      </c>
      <c r="AA26" s="1">
        <v>224456</v>
      </c>
      <c r="AB26" s="1">
        <v>185609</v>
      </c>
      <c r="AC26" s="46" t="s">
        <v>163</v>
      </c>
      <c r="AD26" s="46" t="s">
        <v>164</v>
      </c>
      <c r="AE26" s="46" t="s">
        <v>165</v>
      </c>
      <c r="AF26" s="46">
        <v>84784</v>
      </c>
      <c r="AG26" s="1" t="s">
        <v>166</v>
      </c>
      <c r="AH26" s="51">
        <v>-39653.800000000003</v>
      </c>
      <c r="AI26" s="51">
        <v>-33999.1</v>
      </c>
      <c r="AJ26" s="51">
        <v>-28360.400000000001</v>
      </c>
      <c r="AK26" s="51">
        <v>-22891.8</v>
      </c>
      <c r="AL26" s="1" t="s">
        <v>159</v>
      </c>
      <c r="AM26" s="51">
        <v>-56492.7</v>
      </c>
      <c r="AN26" s="1" t="s">
        <v>159</v>
      </c>
      <c r="AO26" s="51">
        <v>-38286.699999999997</v>
      </c>
      <c r="AP26" s="1" t="s">
        <v>167</v>
      </c>
      <c r="AQ26" s="51">
        <v>-31794.5</v>
      </c>
      <c r="AR26" s="51">
        <v>-19295</v>
      </c>
      <c r="AS26" s="51">
        <v>-13155.6</v>
      </c>
      <c r="AT26" s="51">
        <v>-12110.5</v>
      </c>
      <c r="AU26" s="1" t="s">
        <v>167</v>
      </c>
      <c r="AV26" s="51">
        <v>-12110.5</v>
      </c>
      <c r="AW26" s="51">
        <v>-11919.6</v>
      </c>
      <c r="AX26" s="51">
        <v>-10737.4</v>
      </c>
      <c r="AY26" s="51">
        <v>-7537.5</v>
      </c>
      <c r="AZ26" s="1"/>
      <c r="BA26" s="1"/>
      <c r="BB26" s="1">
        <v>2001</v>
      </c>
      <c r="BC26" s="1">
        <v>222</v>
      </c>
      <c r="BD26" s="1">
        <v>265</v>
      </c>
      <c r="BE26" s="1">
        <v>185.85</v>
      </c>
      <c r="BF26" s="1">
        <v>224.7</v>
      </c>
      <c r="BG26" s="1">
        <v>12547055</v>
      </c>
      <c r="BH26" s="1">
        <v>68818</v>
      </c>
      <c r="BI26" s="1">
        <v>2815387420</v>
      </c>
      <c r="BJ26" s="1"/>
      <c r="BK26" s="1"/>
      <c r="BL26" s="1">
        <v>79.150000000000006</v>
      </c>
      <c r="BM26" s="1">
        <v>2.7</v>
      </c>
      <c r="BN26" s="1"/>
      <c r="BO26" s="1"/>
      <c r="BP26" s="31">
        <v>500180</v>
      </c>
      <c r="BQ26" s="32" t="s">
        <v>27</v>
      </c>
      <c r="BR26" s="34">
        <v>39986</v>
      </c>
      <c r="BS26" s="1">
        <v>10</v>
      </c>
      <c r="BT26" s="1"/>
      <c r="BU26" s="1">
        <v>10</v>
      </c>
      <c r="BV26" s="34">
        <v>40008</v>
      </c>
      <c r="BW26" s="34">
        <v>39981</v>
      </c>
      <c r="BX26" s="34">
        <v>39987</v>
      </c>
      <c r="BY26" s="32" t="s">
        <v>73</v>
      </c>
      <c r="BZ26" s="1" t="s">
        <v>74</v>
      </c>
      <c r="CA26" s="1" t="s">
        <v>75</v>
      </c>
      <c r="CB26" s="1" t="s">
        <v>74</v>
      </c>
    </row>
    <row r="27" spans="1:80" thickBot="1">
      <c r="A27" s="28"/>
      <c r="B27" s="53" t="s">
        <v>168</v>
      </c>
      <c r="C27" s="13">
        <v>195420</v>
      </c>
      <c r="D27" s="47">
        <v>33058</v>
      </c>
      <c r="E27" s="47">
        <v>5273</v>
      </c>
      <c r="F27" s="48">
        <v>22.5</v>
      </c>
      <c r="G27" s="13">
        <v>480</v>
      </c>
      <c r="H27" s="13">
        <v>30000</v>
      </c>
      <c r="I27" s="38">
        <f t="shared" si="4"/>
        <v>0.15950753221610503</v>
      </c>
      <c r="J27" s="48">
        <v>1.02</v>
      </c>
      <c r="K27" s="39">
        <v>400.45</v>
      </c>
      <c r="L27" s="39">
        <v>540</v>
      </c>
      <c r="M27" s="39">
        <f t="shared" si="5"/>
        <v>17.797777777777778</v>
      </c>
      <c r="N27" s="39">
        <f t="shared" si="6"/>
        <v>24</v>
      </c>
      <c r="O27" s="8">
        <f t="shared" ref="O27:O34" si="11">(G27+H27)/(G27/2)</f>
        <v>127</v>
      </c>
      <c r="P27" s="40">
        <f t="shared" si="8"/>
        <v>3.1531496062992126</v>
      </c>
      <c r="Q27" s="40">
        <f t="shared" si="9"/>
        <v>4.2519685039370083</v>
      </c>
      <c r="S27" s="29"/>
      <c r="T27" s="1"/>
      <c r="U27" s="1"/>
      <c r="V27" s="1"/>
      <c r="W27" s="50">
        <f t="shared" si="10"/>
        <v>4.9477862124773564E-2</v>
      </c>
      <c r="X27" s="50"/>
      <c r="Y27" s="50"/>
      <c r="Z27" s="1" t="s">
        <v>47</v>
      </c>
      <c r="AA27" s="1">
        <v>5447</v>
      </c>
      <c r="AB27" s="1">
        <v>5190.2</v>
      </c>
      <c r="AC27" s="46">
        <v>5125.1000000000004</v>
      </c>
      <c r="AD27" s="46">
        <v>5056.3999999999996</v>
      </c>
      <c r="AE27" s="46">
        <v>5013</v>
      </c>
      <c r="AF27" s="46">
        <v>4798.1000000000004</v>
      </c>
      <c r="AG27" s="1" t="s">
        <v>169</v>
      </c>
      <c r="AH27" s="1" t="s">
        <v>170</v>
      </c>
      <c r="AI27" s="1" t="s">
        <v>171</v>
      </c>
      <c r="AJ27" s="1" t="s">
        <v>172</v>
      </c>
      <c r="AK27" s="1" t="s">
        <v>173</v>
      </c>
      <c r="AL27" s="1" t="s">
        <v>174</v>
      </c>
      <c r="AM27" s="51">
        <v>-23013.8</v>
      </c>
      <c r="AN27" s="1" t="s">
        <v>174</v>
      </c>
      <c r="AO27" s="51">
        <v>-13384.3</v>
      </c>
      <c r="AP27" s="1" t="s">
        <v>159</v>
      </c>
      <c r="AQ27" s="51">
        <v>-24208</v>
      </c>
      <c r="AR27" s="51">
        <v>-16910.900000000001</v>
      </c>
      <c r="AS27" s="51">
        <v>-10854</v>
      </c>
      <c r="AT27" s="51">
        <v>-8100</v>
      </c>
      <c r="AU27" s="1" t="s">
        <v>159</v>
      </c>
      <c r="AV27" s="51">
        <v>-8100</v>
      </c>
      <c r="AW27" s="51">
        <v>-5918.3</v>
      </c>
      <c r="AX27" s="51">
        <v>-4179.5</v>
      </c>
      <c r="AY27" s="51">
        <v>-3095.9</v>
      </c>
      <c r="AZ27" s="1"/>
      <c r="BA27" s="1"/>
      <c r="BB27" s="1">
        <v>2002</v>
      </c>
      <c r="BC27" s="1">
        <v>224.6</v>
      </c>
      <c r="BD27" s="1">
        <v>256.35000000000002</v>
      </c>
      <c r="BE27" s="1">
        <v>187</v>
      </c>
      <c r="BF27" s="1">
        <v>219</v>
      </c>
      <c r="BG27" s="1">
        <v>27127549</v>
      </c>
      <c r="BH27" s="1">
        <v>133742</v>
      </c>
      <c r="BI27" s="1">
        <v>5848754536</v>
      </c>
      <c r="BJ27" s="1">
        <v>22680833</v>
      </c>
      <c r="BK27" s="1">
        <v>83.61</v>
      </c>
      <c r="BL27" s="1">
        <v>69.349999999999994</v>
      </c>
      <c r="BM27" s="1">
        <v>-5.6</v>
      </c>
      <c r="BN27" s="1"/>
      <c r="BO27" s="1"/>
      <c r="BP27" s="31">
        <v>500180</v>
      </c>
      <c r="BQ27" s="32" t="s">
        <v>27</v>
      </c>
      <c r="BR27" s="34">
        <v>40339</v>
      </c>
      <c r="BS27" s="1">
        <v>12</v>
      </c>
      <c r="BT27" s="1"/>
      <c r="BU27" s="1">
        <v>12</v>
      </c>
      <c r="BV27" s="34">
        <v>40359</v>
      </c>
      <c r="BW27" s="34">
        <v>40336</v>
      </c>
      <c r="BX27" s="34">
        <v>40339</v>
      </c>
      <c r="BY27" s="32" t="s">
        <v>73</v>
      </c>
      <c r="BZ27" s="1" t="s">
        <v>74</v>
      </c>
      <c r="CA27" s="1" t="s">
        <v>75</v>
      </c>
      <c r="CB27" s="1" t="s">
        <v>74</v>
      </c>
    </row>
    <row r="28" spans="1:80" thickBot="1">
      <c r="A28" s="28"/>
      <c r="B28" s="53" t="s">
        <v>175</v>
      </c>
      <c r="C28" s="13">
        <v>239721</v>
      </c>
      <c r="D28" s="47">
        <v>42994</v>
      </c>
      <c r="E28" s="47">
        <v>6900</v>
      </c>
      <c r="F28" s="48">
        <v>29.1</v>
      </c>
      <c r="G28" s="13">
        <v>480</v>
      </c>
      <c r="H28" s="13">
        <v>36000</v>
      </c>
      <c r="I28" s="38">
        <f t="shared" si="4"/>
        <v>0.16048750988510024</v>
      </c>
      <c r="J28" s="48">
        <v>0.97</v>
      </c>
      <c r="K28" s="39">
        <v>482.3</v>
      </c>
      <c r="L28" s="39">
        <v>705</v>
      </c>
      <c r="M28" s="39">
        <f t="shared" si="5"/>
        <v>16.573883161512025</v>
      </c>
      <c r="N28" s="39">
        <f t="shared" si="6"/>
        <v>24.226804123711339</v>
      </c>
      <c r="O28" s="8">
        <f t="shared" si="11"/>
        <v>152</v>
      </c>
      <c r="P28" s="40">
        <f t="shared" si="8"/>
        <v>3.1730263157894738</v>
      </c>
      <c r="Q28" s="40">
        <f t="shared" si="9"/>
        <v>4.6381578947368425</v>
      </c>
      <c r="S28" s="29"/>
      <c r="T28" s="1"/>
      <c r="U28" s="1"/>
      <c r="V28" s="50">
        <f>(X28/Y28)^(1/1)-1</f>
        <v>0.12432432432432439</v>
      </c>
      <c r="W28" s="50">
        <f t="shared" si="10"/>
        <v>0.1617852161785216</v>
      </c>
      <c r="X28" s="1">
        <v>20.8</v>
      </c>
      <c r="Y28" s="1">
        <v>18.5</v>
      </c>
      <c r="Z28" s="1" t="s">
        <v>46</v>
      </c>
      <c r="AA28" s="1">
        <v>83.3</v>
      </c>
      <c r="AB28" s="1">
        <v>71.7</v>
      </c>
      <c r="AC28" s="46">
        <v>57.2</v>
      </c>
      <c r="AD28" s="46">
        <v>48.8</v>
      </c>
      <c r="AE28" s="46">
        <v>42.1</v>
      </c>
      <c r="AF28" s="46">
        <v>35.5</v>
      </c>
      <c r="AG28" s="1" t="s">
        <v>176</v>
      </c>
      <c r="AH28" s="1" t="s">
        <v>177</v>
      </c>
      <c r="AI28" s="51">
        <v>89504</v>
      </c>
      <c r="AJ28" s="51">
        <v>77253.600000000006</v>
      </c>
      <c r="AK28" s="51">
        <v>64297.2</v>
      </c>
      <c r="AL28" s="1" t="s">
        <v>178</v>
      </c>
      <c r="AM28" s="51">
        <v>-33478.9</v>
      </c>
      <c r="AN28" s="1" t="s">
        <v>178</v>
      </c>
      <c r="AO28" s="51">
        <v>-24902.400000000001</v>
      </c>
      <c r="AP28" s="1" t="s">
        <v>166</v>
      </c>
      <c r="AQ28" s="51">
        <v>-7768.6</v>
      </c>
      <c r="AR28" s="51">
        <v>-4868.2</v>
      </c>
      <c r="AS28" s="51">
        <v>-2766.7</v>
      </c>
      <c r="AT28" s="51">
        <v>-2040.9</v>
      </c>
      <c r="AU28" s="1" t="s">
        <v>166</v>
      </c>
      <c r="AV28" s="51">
        <v>-2040.9</v>
      </c>
      <c r="AW28" s="51">
        <v>-1519.5</v>
      </c>
      <c r="AX28" s="51">
        <v>-1092.4000000000001</v>
      </c>
      <c r="AY28" s="1">
        <v>-780</v>
      </c>
      <c r="AZ28" s="1"/>
      <c r="BA28" s="1"/>
      <c r="BB28" s="1">
        <v>2003</v>
      </c>
      <c r="BC28" s="1">
        <v>219.75</v>
      </c>
      <c r="BD28" s="1">
        <v>382</v>
      </c>
      <c r="BE28" s="1">
        <v>211.85</v>
      </c>
      <c r="BF28" s="1">
        <v>366.65</v>
      </c>
      <c r="BG28" s="1">
        <v>42670188</v>
      </c>
      <c r="BH28" s="1">
        <v>250666</v>
      </c>
      <c r="BI28" s="1">
        <v>11584996039</v>
      </c>
      <c r="BJ28" s="1">
        <v>35077740</v>
      </c>
      <c r="BK28" s="1">
        <v>82.21</v>
      </c>
      <c r="BL28" s="1">
        <v>170.15</v>
      </c>
      <c r="BM28" s="1">
        <v>146.9</v>
      </c>
      <c r="BN28" s="1"/>
      <c r="BO28" s="1"/>
      <c r="BP28" s="31">
        <v>500180</v>
      </c>
      <c r="BQ28" s="32" t="s">
        <v>27</v>
      </c>
      <c r="BR28" s="34">
        <v>40696</v>
      </c>
      <c r="BS28" s="1">
        <v>16.5</v>
      </c>
      <c r="BT28" s="1"/>
      <c r="BU28" s="1">
        <v>16.5</v>
      </c>
      <c r="BV28" s="34">
        <v>40704</v>
      </c>
      <c r="BW28" s="34">
        <v>40693</v>
      </c>
      <c r="BX28" s="34">
        <v>40696</v>
      </c>
      <c r="BY28" s="32" t="s">
        <v>73</v>
      </c>
      <c r="BZ28" s="1" t="s">
        <v>74</v>
      </c>
      <c r="CA28" s="1" t="s">
        <v>75</v>
      </c>
      <c r="CB28" s="1" t="s">
        <v>74</v>
      </c>
    </row>
    <row r="29" spans="1:80" thickBot="1">
      <c r="A29" s="28"/>
      <c r="B29" s="53" t="s">
        <v>179</v>
      </c>
      <c r="C29" s="13">
        <v>303000</v>
      </c>
      <c r="D29" s="47">
        <v>50853</v>
      </c>
      <c r="E29" s="47">
        <v>8765</v>
      </c>
      <c r="F29" s="48">
        <v>36.6</v>
      </c>
      <c r="G29" s="13">
        <v>480</v>
      </c>
      <c r="H29" s="13">
        <v>43687</v>
      </c>
      <c r="I29" s="38">
        <f t="shared" si="4"/>
        <v>0.17235954614280377</v>
      </c>
      <c r="J29" s="48">
        <v>1</v>
      </c>
      <c r="K29" s="39">
        <v>528</v>
      </c>
      <c r="L29" s="39">
        <v>760.5</v>
      </c>
      <c r="M29" s="39">
        <f t="shared" si="5"/>
        <v>14.426229508196721</v>
      </c>
      <c r="N29" s="39">
        <f t="shared" si="6"/>
        <v>20.778688524590162</v>
      </c>
      <c r="O29" s="8">
        <f t="shared" si="11"/>
        <v>184.02916666666667</v>
      </c>
      <c r="P29" s="40">
        <f t="shared" si="8"/>
        <v>2.8691104218081374</v>
      </c>
      <c r="Q29" s="40">
        <f t="shared" si="9"/>
        <v>4.1324971132293342</v>
      </c>
      <c r="S29" s="29"/>
      <c r="T29" s="1"/>
      <c r="U29" s="1"/>
      <c r="V29" s="1"/>
      <c r="W29" s="50"/>
      <c r="X29" s="50"/>
      <c r="Y29" s="50"/>
      <c r="Z29" s="1" t="s">
        <v>180</v>
      </c>
      <c r="AA29" s="1"/>
      <c r="AB29" s="46" t="s">
        <v>181</v>
      </c>
      <c r="AC29" s="46">
        <v>56.78</v>
      </c>
      <c r="AD29" s="46">
        <v>48.64</v>
      </c>
      <c r="AE29" s="46">
        <v>40.76</v>
      </c>
      <c r="AF29" s="46">
        <v>35.340000000000003</v>
      </c>
      <c r="AG29" s="1" t="s">
        <v>157</v>
      </c>
      <c r="AH29" s="51">
        <v>-30243.4</v>
      </c>
      <c r="AI29" s="51">
        <v>-23460.799999999999</v>
      </c>
      <c r="AJ29" s="51">
        <v>-18922.599999999999</v>
      </c>
      <c r="AK29" s="51">
        <v>-13404.4</v>
      </c>
      <c r="AL29" s="1" t="s">
        <v>169</v>
      </c>
      <c r="AM29" s="1" t="s">
        <v>182</v>
      </c>
      <c r="AN29" s="1" t="s">
        <v>169</v>
      </c>
      <c r="AO29" s="51">
        <v>-87164.6</v>
      </c>
      <c r="AP29" s="1" t="s">
        <v>183</v>
      </c>
      <c r="AQ29" s="51">
        <v>-16439.400000000001</v>
      </c>
      <c r="AR29" s="51">
        <v>-12042.7</v>
      </c>
      <c r="AS29" s="51">
        <v>-8087.3</v>
      </c>
      <c r="AT29" s="51">
        <v>-6059.1</v>
      </c>
      <c r="AU29" s="1" t="s">
        <v>183</v>
      </c>
      <c r="AV29" s="51">
        <v>-6059.1</v>
      </c>
      <c r="AW29" s="51">
        <v>-4398.8</v>
      </c>
      <c r="AX29" s="51">
        <v>-3087.1</v>
      </c>
      <c r="AY29" s="51">
        <v>-2315.9</v>
      </c>
      <c r="AZ29" s="1"/>
      <c r="BA29" s="1"/>
      <c r="BB29" s="1">
        <v>2004</v>
      </c>
      <c r="BC29" s="1">
        <v>362</v>
      </c>
      <c r="BD29" s="1">
        <v>525</v>
      </c>
      <c r="BE29" s="1">
        <v>262</v>
      </c>
      <c r="BF29" s="1">
        <v>518.85</v>
      </c>
      <c r="BG29" s="1">
        <v>33211930</v>
      </c>
      <c r="BH29" s="1">
        <v>359626</v>
      </c>
      <c r="BI29" s="1">
        <v>13010617787</v>
      </c>
      <c r="BJ29" s="1">
        <v>22882292</v>
      </c>
      <c r="BK29" s="1">
        <v>68.900000000000006</v>
      </c>
      <c r="BL29" s="1">
        <v>263</v>
      </c>
      <c r="BM29" s="1">
        <v>156.85</v>
      </c>
      <c r="BN29" s="1"/>
      <c r="BO29" s="1"/>
      <c r="BP29" s="31">
        <v>500180</v>
      </c>
      <c r="BQ29" s="32" t="s">
        <v>27</v>
      </c>
      <c r="BR29" s="34">
        <v>41088</v>
      </c>
      <c r="BS29" s="1">
        <v>4.3</v>
      </c>
      <c r="BT29" s="1">
        <v>5</v>
      </c>
      <c r="BU29" s="1">
        <f t="shared" ref="BU29:BU34" si="12">BT29*BS29</f>
        <v>21.5</v>
      </c>
      <c r="BV29" s="34">
        <v>41103</v>
      </c>
      <c r="BW29" s="34">
        <v>41085</v>
      </c>
      <c r="BX29" s="34">
        <v>41087</v>
      </c>
      <c r="BY29" s="32" t="s">
        <v>73</v>
      </c>
      <c r="BZ29" s="1" t="s">
        <v>74</v>
      </c>
      <c r="CA29" s="1" t="s">
        <v>75</v>
      </c>
      <c r="CB29" s="1" t="s">
        <v>74</v>
      </c>
    </row>
    <row r="30" spans="1:80" thickBot="1">
      <c r="A30" s="28"/>
      <c r="B30" s="53" t="s">
        <v>184</v>
      </c>
      <c r="C30" s="13">
        <v>365495</v>
      </c>
      <c r="D30" s="47">
        <v>60212</v>
      </c>
      <c r="E30" s="47">
        <v>10700</v>
      </c>
      <c r="F30" s="48">
        <v>44.1</v>
      </c>
      <c r="G30" s="13">
        <v>501</v>
      </c>
      <c r="H30" s="13">
        <v>62653</v>
      </c>
      <c r="I30" s="38">
        <f t="shared" si="4"/>
        <v>0.17770544077592507</v>
      </c>
      <c r="J30" s="48">
        <v>0.9</v>
      </c>
      <c r="K30" s="39">
        <v>707.5</v>
      </c>
      <c r="L30" s="39">
        <v>1105</v>
      </c>
      <c r="M30" s="39">
        <f t="shared" si="5"/>
        <v>16.043083900226758</v>
      </c>
      <c r="N30" s="39">
        <f t="shared" si="6"/>
        <v>25.056689342403626</v>
      </c>
      <c r="O30" s="8">
        <f t="shared" si="11"/>
        <v>252.1117764471058</v>
      </c>
      <c r="P30" s="40">
        <f t="shared" si="8"/>
        <v>2.8062949298540074</v>
      </c>
      <c r="Q30" s="40">
        <f t="shared" si="9"/>
        <v>4.3829765335529025</v>
      </c>
      <c r="S30" s="29"/>
      <c r="T30" s="1"/>
      <c r="U30" s="1"/>
      <c r="V30" s="1"/>
      <c r="W30" s="50"/>
      <c r="X30" s="50"/>
      <c r="Y30" s="50"/>
      <c r="Z30" s="1" t="s">
        <v>185</v>
      </c>
      <c r="AA30" s="1"/>
      <c r="AB30" s="46" t="s">
        <v>124</v>
      </c>
      <c r="AC30" s="46" t="s">
        <v>124</v>
      </c>
      <c r="AD30" s="46" t="s">
        <v>124</v>
      </c>
      <c r="AE30" s="46" t="s">
        <v>124</v>
      </c>
      <c r="AF30" s="46" t="s">
        <v>124</v>
      </c>
      <c r="AG30" s="1" t="s">
        <v>186</v>
      </c>
      <c r="AH30" s="51">
        <v>-16770</v>
      </c>
      <c r="AI30" s="51">
        <v>-14372.5</v>
      </c>
      <c r="AJ30" s="51">
        <v>-19067.099999999999</v>
      </c>
      <c r="AK30" s="51">
        <v>-21405.9</v>
      </c>
      <c r="AL30" s="1" t="s">
        <v>187</v>
      </c>
      <c r="AM30" s="51">
        <v>51979</v>
      </c>
      <c r="AN30" s="1" t="s">
        <v>188</v>
      </c>
      <c r="AO30" s="51">
        <v>22941.8</v>
      </c>
      <c r="AP30" s="1" t="s">
        <v>169</v>
      </c>
      <c r="AQ30" s="51">
        <v>-56002.5</v>
      </c>
      <c r="AR30" s="51">
        <v>-36205.9</v>
      </c>
      <c r="AS30" s="51">
        <v>-24009.599999999999</v>
      </c>
      <c r="AT30" s="51">
        <v>-20210.5</v>
      </c>
      <c r="AU30" s="1" t="s">
        <v>169</v>
      </c>
      <c r="AV30" s="51">
        <v>-20210.5</v>
      </c>
      <c r="AW30" s="51">
        <v>-17837.900000000001</v>
      </c>
      <c r="AX30" s="51">
        <v>-14916.9</v>
      </c>
      <c r="AY30" s="51">
        <v>-10633.4</v>
      </c>
      <c r="AZ30" s="1"/>
      <c r="BA30" s="1"/>
      <c r="BB30" s="1">
        <v>2005</v>
      </c>
      <c r="BC30" s="1">
        <v>522</v>
      </c>
      <c r="BD30" s="1">
        <v>748.55</v>
      </c>
      <c r="BE30" s="1">
        <v>461.15</v>
      </c>
      <c r="BF30" s="1">
        <v>707.45</v>
      </c>
      <c r="BG30" s="1">
        <v>66938853</v>
      </c>
      <c r="BH30" s="1">
        <v>233728</v>
      </c>
      <c r="BI30" s="1">
        <v>41662858937</v>
      </c>
      <c r="BJ30" s="1">
        <v>55911441</v>
      </c>
      <c r="BK30" s="1">
        <v>83.53</v>
      </c>
      <c r="BL30" s="1">
        <v>287.39999999999998</v>
      </c>
      <c r="BM30" s="1">
        <v>185.45</v>
      </c>
      <c r="BN30" s="1"/>
      <c r="BO30" s="1"/>
      <c r="BP30" s="31">
        <v>500180</v>
      </c>
      <c r="BQ30" s="32" t="s">
        <v>27</v>
      </c>
      <c r="BR30" s="34">
        <v>41438</v>
      </c>
      <c r="BS30" s="1">
        <v>5.5</v>
      </c>
      <c r="BT30" s="1">
        <v>5</v>
      </c>
      <c r="BU30" s="1">
        <f t="shared" si="12"/>
        <v>27.5</v>
      </c>
      <c r="BV30" s="34">
        <v>41452</v>
      </c>
      <c r="BW30" s="34">
        <v>41435</v>
      </c>
      <c r="BX30" s="34">
        <v>41438</v>
      </c>
      <c r="BY30" s="32" t="s">
        <v>73</v>
      </c>
      <c r="BZ30" s="1" t="s">
        <v>74</v>
      </c>
      <c r="CA30" s="1" t="s">
        <v>75</v>
      </c>
      <c r="CB30" s="1" t="s">
        <v>74</v>
      </c>
    </row>
    <row r="31" spans="1:80" thickBot="1">
      <c r="A31" s="28"/>
      <c r="B31" s="53" t="s">
        <v>189</v>
      </c>
      <c r="C31" s="13">
        <v>464594</v>
      </c>
      <c r="D31" s="47">
        <v>74273</v>
      </c>
      <c r="E31" s="47">
        <v>12817</v>
      </c>
      <c r="F31" s="48">
        <v>50.9</v>
      </c>
      <c r="G31" s="13">
        <v>506</v>
      </c>
      <c r="H31" s="13">
        <v>73798</v>
      </c>
      <c r="I31" s="38">
        <f t="shared" si="4"/>
        <v>0.1725660738087865</v>
      </c>
      <c r="J31" s="48">
        <v>0.94</v>
      </c>
      <c r="K31" s="39">
        <v>928.8</v>
      </c>
      <c r="L31" s="39">
        <v>1127.9000000000001</v>
      </c>
      <c r="M31" s="39">
        <f t="shared" si="5"/>
        <v>18.2475442043222</v>
      </c>
      <c r="N31" s="39">
        <f t="shared" si="6"/>
        <v>22.159135559921417</v>
      </c>
      <c r="O31" s="8">
        <f t="shared" si="11"/>
        <v>293.69169960474306</v>
      </c>
      <c r="P31" s="40">
        <f t="shared" si="8"/>
        <v>3.1625000000000001</v>
      </c>
      <c r="Q31" s="40">
        <f t="shared" si="9"/>
        <v>3.840421780792421</v>
      </c>
      <c r="S31" s="29"/>
      <c r="T31" s="1"/>
      <c r="U31" s="1"/>
      <c r="V31" s="50">
        <f t="shared" ref="V31:V32" si="13">(X31/Y31)^(1/1)-1</f>
        <v>-3.6900658043066303E-2</v>
      </c>
      <c r="W31" s="50">
        <f t="shared" ref="W31:W32" si="14">(AA31/AB31)^(1/1)-1</f>
        <v>-1.2021857923497414E-2</v>
      </c>
      <c r="X31" s="54">
        <f t="shared" ref="X31:Y31" si="15">(100*X26)/X19</f>
        <v>16.579411207737913</v>
      </c>
      <c r="Y31" s="54">
        <f t="shared" si="15"/>
        <v>17.214642857142856</v>
      </c>
      <c r="Z31" s="1" t="s">
        <v>190</v>
      </c>
      <c r="AA31" s="49">
        <v>18.079999999999998</v>
      </c>
      <c r="AB31" s="1">
        <v>18.3</v>
      </c>
      <c r="AC31" s="46">
        <v>20.99</v>
      </c>
      <c r="AD31" s="46">
        <v>20.420000000000002</v>
      </c>
      <c r="AE31" s="46">
        <v>21.08</v>
      </c>
      <c r="AF31" s="46">
        <v>20.61</v>
      </c>
      <c r="AG31" s="1" t="s">
        <v>45</v>
      </c>
      <c r="AH31" s="51">
        <v>67262.8</v>
      </c>
      <c r="AI31" s="51">
        <v>51670.7</v>
      </c>
      <c r="AJ31" s="51">
        <v>39263.9</v>
      </c>
      <c r="AK31" s="51">
        <v>29486.9</v>
      </c>
      <c r="AL31" s="1" t="s">
        <v>191</v>
      </c>
      <c r="AM31" s="51">
        <v>-18798.5</v>
      </c>
      <c r="AN31" s="1" t="s">
        <v>157</v>
      </c>
      <c r="AO31" s="51">
        <v>-7019.7</v>
      </c>
      <c r="AP31" s="1" t="s">
        <v>192</v>
      </c>
      <c r="AQ31" s="51">
        <v>28050</v>
      </c>
      <c r="AR31" s="51">
        <v>19787.3</v>
      </c>
      <c r="AS31" s="51">
        <v>13438.7</v>
      </c>
      <c r="AT31" s="51">
        <v>10079.1</v>
      </c>
      <c r="AU31" s="1" t="s">
        <v>192</v>
      </c>
      <c r="AV31" s="51">
        <v>10079.1</v>
      </c>
      <c r="AW31" s="51">
        <v>7122.8</v>
      </c>
      <c r="AX31" s="51">
        <v>5445.5</v>
      </c>
      <c r="AY31" s="51">
        <v>3816.5</v>
      </c>
      <c r="AZ31" s="1"/>
      <c r="BA31" s="1"/>
      <c r="BB31" s="1">
        <v>2006</v>
      </c>
      <c r="BC31" s="1">
        <v>710.9</v>
      </c>
      <c r="BD31" s="1">
        <v>1150</v>
      </c>
      <c r="BE31" s="1">
        <v>620</v>
      </c>
      <c r="BF31" s="1">
        <v>1069.75</v>
      </c>
      <c r="BG31" s="1">
        <v>46778640</v>
      </c>
      <c r="BH31" s="1">
        <v>339721</v>
      </c>
      <c r="BI31" s="1">
        <v>37973827495</v>
      </c>
      <c r="BJ31" s="1">
        <v>34979988</v>
      </c>
      <c r="BK31" s="1">
        <v>74.78</v>
      </c>
      <c r="BL31" s="1">
        <v>530</v>
      </c>
      <c r="BM31" s="1">
        <v>358.85</v>
      </c>
      <c r="BN31" s="1"/>
      <c r="BO31" s="1"/>
      <c r="BP31" s="31">
        <v>500180</v>
      </c>
      <c r="BQ31" s="32" t="s">
        <v>27</v>
      </c>
      <c r="BR31" s="34">
        <v>41795</v>
      </c>
      <c r="BS31" s="1">
        <v>6.85</v>
      </c>
      <c r="BT31" s="1">
        <v>5</v>
      </c>
      <c r="BU31" s="1">
        <f t="shared" si="12"/>
        <v>34.25</v>
      </c>
      <c r="BV31" s="34">
        <v>41815</v>
      </c>
      <c r="BW31" s="34">
        <v>41792</v>
      </c>
      <c r="BX31" s="34">
        <v>41795</v>
      </c>
      <c r="BY31" s="32" t="s">
        <v>73</v>
      </c>
      <c r="BZ31" s="1" t="s">
        <v>74</v>
      </c>
      <c r="CA31" s="1" t="s">
        <v>75</v>
      </c>
      <c r="CB31" s="1" t="s">
        <v>74</v>
      </c>
    </row>
    <row r="32" spans="1:80" ht="15.75" customHeight="1" thickBot="1">
      <c r="A32" s="28"/>
      <c r="B32" s="53" t="s">
        <v>193</v>
      </c>
      <c r="C32" s="13">
        <v>554568</v>
      </c>
      <c r="D32" s="47">
        <v>86149</v>
      </c>
      <c r="E32" s="47">
        <v>15287</v>
      </c>
      <c r="F32" s="48">
        <v>60</v>
      </c>
      <c r="G32" s="13">
        <v>513</v>
      </c>
      <c r="H32" s="13">
        <v>91281</v>
      </c>
      <c r="I32" s="38">
        <f t="shared" si="4"/>
        <v>0.17744837432819882</v>
      </c>
      <c r="J32" s="48">
        <v>1.05</v>
      </c>
      <c r="K32" s="39">
        <v>1043</v>
      </c>
      <c r="L32" s="39">
        <v>1478</v>
      </c>
      <c r="M32" s="39">
        <f t="shared" si="5"/>
        <v>17.383333333333333</v>
      </c>
      <c r="N32" s="39">
        <f t="shared" si="6"/>
        <v>24.633333333333333</v>
      </c>
      <c r="O32" s="8">
        <f t="shared" si="11"/>
        <v>357.87134502923976</v>
      </c>
      <c r="P32" s="40">
        <f t="shared" si="8"/>
        <v>2.914455193149879</v>
      </c>
      <c r="Q32" s="40">
        <f t="shared" si="9"/>
        <v>4.1299758154127719</v>
      </c>
      <c r="S32" s="29"/>
      <c r="T32" s="1"/>
      <c r="U32" s="1"/>
      <c r="V32" s="50">
        <f t="shared" si="13"/>
        <v>5.2631578947368363E-2</v>
      </c>
      <c r="W32" s="50">
        <f t="shared" si="14"/>
        <v>4.6153846153846212E-2</v>
      </c>
      <c r="X32" s="54">
        <v>1.4</v>
      </c>
      <c r="Y32" s="54">
        <v>1.33</v>
      </c>
      <c r="Z32" s="1" t="s">
        <v>194</v>
      </c>
      <c r="AA32" s="1">
        <v>1.36</v>
      </c>
      <c r="AB32" s="1">
        <v>1.3</v>
      </c>
      <c r="AC32" s="1" t="s">
        <v>195</v>
      </c>
      <c r="AD32" s="1" t="s">
        <v>195</v>
      </c>
      <c r="AE32" s="1" t="s">
        <v>195</v>
      </c>
      <c r="AF32" s="1" t="s">
        <v>195</v>
      </c>
      <c r="AG32" s="1" t="s">
        <v>196</v>
      </c>
      <c r="AH32" s="51">
        <v>4758.8</v>
      </c>
      <c r="AI32" s="51">
        <v>4693.3999999999996</v>
      </c>
      <c r="AJ32" s="51">
        <v>4652.3</v>
      </c>
      <c r="AK32" s="51">
        <v>4577.3999999999996</v>
      </c>
      <c r="AL32" s="1" t="s">
        <v>197</v>
      </c>
      <c r="AM32" s="1">
        <v>0</v>
      </c>
      <c r="AN32" s="1" t="s">
        <v>191</v>
      </c>
      <c r="AO32" s="51">
        <v>-14848.9</v>
      </c>
      <c r="AP32" s="1" t="s">
        <v>176</v>
      </c>
      <c r="AQ32" s="51">
        <v>28050</v>
      </c>
      <c r="AR32" s="51">
        <v>19787.3</v>
      </c>
      <c r="AS32" s="51">
        <v>13438.7</v>
      </c>
      <c r="AT32" s="51">
        <v>10079.1</v>
      </c>
      <c r="AU32" s="1" t="s">
        <v>176</v>
      </c>
      <c r="AV32" s="51">
        <v>10079.1</v>
      </c>
      <c r="AW32" s="51">
        <v>7122.8</v>
      </c>
      <c r="AX32" s="51">
        <v>5445.5</v>
      </c>
      <c r="AY32" s="51">
        <v>3816.5</v>
      </c>
      <c r="AZ32" s="1"/>
      <c r="BA32" s="1"/>
      <c r="BB32" s="1">
        <v>2007</v>
      </c>
      <c r="BC32" s="1">
        <v>1070</v>
      </c>
      <c r="BD32" s="1">
        <v>1799</v>
      </c>
      <c r="BE32" s="1">
        <v>890</v>
      </c>
      <c r="BF32" s="1">
        <v>1727.8</v>
      </c>
      <c r="BG32" s="1">
        <v>33300873</v>
      </c>
      <c r="BH32" s="1">
        <v>386160</v>
      </c>
      <c r="BI32" s="1">
        <v>37780971567</v>
      </c>
      <c r="BJ32" s="1">
        <v>23605982</v>
      </c>
      <c r="BK32" s="1">
        <v>70.89</v>
      </c>
      <c r="BL32" s="1">
        <v>909</v>
      </c>
      <c r="BM32" s="1">
        <v>657.8</v>
      </c>
      <c r="BN32" s="1"/>
      <c r="BO32" s="1"/>
      <c r="BP32" s="31">
        <v>500180</v>
      </c>
      <c r="BQ32" s="32" t="s">
        <v>27</v>
      </c>
      <c r="BR32" s="34">
        <v>42187</v>
      </c>
      <c r="BS32" s="1">
        <v>8</v>
      </c>
      <c r="BT32" s="1">
        <v>5</v>
      </c>
      <c r="BU32" s="1">
        <f t="shared" si="12"/>
        <v>40</v>
      </c>
      <c r="BV32" s="34">
        <v>42206</v>
      </c>
      <c r="BW32" s="34">
        <v>42184</v>
      </c>
      <c r="BX32" s="34">
        <v>42187</v>
      </c>
      <c r="BY32" s="32" t="s">
        <v>73</v>
      </c>
      <c r="BZ32" s="1" t="s">
        <v>74</v>
      </c>
      <c r="CA32" s="1" t="s">
        <v>75</v>
      </c>
      <c r="CB32" s="1" t="s">
        <v>74</v>
      </c>
    </row>
    <row r="33" spans="1:80" ht="15.75" customHeight="1" thickBot="1">
      <c r="A33" s="28"/>
      <c r="B33" s="53" t="s">
        <v>198</v>
      </c>
      <c r="C33" s="13">
        <v>658333</v>
      </c>
      <c r="D33" s="47">
        <v>101345</v>
      </c>
      <c r="E33" s="47">
        <v>18561</v>
      </c>
      <c r="F33" s="48">
        <v>71.7</v>
      </c>
      <c r="G33" s="13">
        <v>519</v>
      </c>
      <c r="H33" s="13">
        <v>109080</v>
      </c>
      <c r="I33" s="38">
        <f t="shared" si="4"/>
        <v>0.18314667719177069</v>
      </c>
      <c r="J33" s="48">
        <v>1.3</v>
      </c>
      <c r="K33" s="39">
        <v>1425</v>
      </c>
      <c r="L33" s="39">
        <v>2014</v>
      </c>
      <c r="M33" s="39">
        <f t="shared" si="5"/>
        <v>19.874476987447697</v>
      </c>
      <c r="N33" s="39">
        <f t="shared" si="6"/>
        <v>28.089260808926081</v>
      </c>
      <c r="O33" s="8">
        <f t="shared" si="11"/>
        <v>422.34682080924853</v>
      </c>
      <c r="P33" s="40">
        <f t="shared" si="8"/>
        <v>3.3740043248569789</v>
      </c>
      <c r="Q33" s="40">
        <f t="shared" si="9"/>
        <v>4.7685927791311968</v>
      </c>
      <c r="S33" s="1"/>
      <c r="T33" s="1"/>
      <c r="U33" s="1"/>
      <c r="V33" s="1"/>
      <c r="W33" s="50"/>
      <c r="X33" s="50"/>
      <c r="Y33" s="50"/>
      <c r="Z33" s="1" t="s">
        <v>199</v>
      </c>
      <c r="AA33" s="1">
        <v>15</v>
      </c>
      <c r="AB33" s="1"/>
      <c r="AC33" s="1" t="s">
        <v>200</v>
      </c>
      <c r="AD33" s="1" t="s">
        <v>200</v>
      </c>
      <c r="AE33" s="1" t="s">
        <v>200</v>
      </c>
      <c r="AF33" s="1" t="s">
        <v>200</v>
      </c>
      <c r="AG33" s="1" t="s">
        <v>201</v>
      </c>
      <c r="AH33" s="1" t="s">
        <v>202</v>
      </c>
      <c r="AI33" s="1" t="s">
        <v>203</v>
      </c>
      <c r="AJ33" s="1" t="s">
        <v>204</v>
      </c>
      <c r="AK33" s="1" t="s">
        <v>205</v>
      </c>
      <c r="AL33" s="1" t="s">
        <v>188</v>
      </c>
      <c r="AM33" s="51">
        <v>33180.5</v>
      </c>
      <c r="AN33" s="1" t="s">
        <v>206</v>
      </c>
      <c r="AO33" s="51">
        <v>15922.1</v>
      </c>
      <c r="AP33" s="1" t="s">
        <v>157</v>
      </c>
      <c r="AQ33" s="51">
        <v>-4973</v>
      </c>
      <c r="AR33" s="51">
        <v>-3827.3</v>
      </c>
      <c r="AS33" s="51">
        <v>-3133.8</v>
      </c>
      <c r="AT33" s="51">
        <v>-2094.6</v>
      </c>
      <c r="AU33" s="1" t="s">
        <v>157</v>
      </c>
      <c r="AV33" s="51">
        <v>-2094.6</v>
      </c>
      <c r="AW33" s="51">
        <v>-1832.5</v>
      </c>
      <c r="AX33" s="51">
        <v>-1283.4000000000001</v>
      </c>
      <c r="AY33" s="51">
        <v>-1049.4000000000001</v>
      </c>
      <c r="AZ33" s="1"/>
      <c r="BA33" s="1"/>
      <c r="BB33" s="1">
        <v>2008</v>
      </c>
      <c r="BC33" s="1">
        <v>1728</v>
      </c>
      <c r="BD33" s="1">
        <v>1825</v>
      </c>
      <c r="BE33" s="1">
        <v>800</v>
      </c>
      <c r="BF33" s="1">
        <v>997.6</v>
      </c>
      <c r="BG33" s="1">
        <v>60521244</v>
      </c>
      <c r="BH33" s="1">
        <v>1788719</v>
      </c>
      <c r="BI33" s="1">
        <v>70389135447</v>
      </c>
      <c r="BJ33" s="1">
        <v>23616190</v>
      </c>
      <c r="BK33" s="1">
        <v>39.020000000000003</v>
      </c>
      <c r="BL33" s="1">
        <v>1025</v>
      </c>
      <c r="BM33" s="1">
        <v>-730.4</v>
      </c>
      <c r="BN33" s="1"/>
      <c r="BO33" s="1"/>
      <c r="BP33" s="31">
        <v>500180</v>
      </c>
      <c r="BQ33" s="32" t="s">
        <v>27</v>
      </c>
      <c r="BR33" s="34">
        <v>42550</v>
      </c>
      <c r="BS33" s="1">
        <v>9.5</v>
      </c>
      <c r="BT33" s="1">
        <v>5</v>
      </c>
      <c r="BU33" s="1">
        <f t="shared" si="12"/>
        <v>47.5</v>
      </c>
      <c r="BV33" s="33"/>
      <c r="BW33" s="34">
        <v>42544</v>
      </c>
      <c r="BX33" s="34">
        <v>42550</v>
      </c>
      <c r="BY33" s="32" t="s">
        <v>73</v>
      </c>
      <c r="BZ33" s="1" t="s">
        <v>74</v>
      </c>
      <c r="CA33" s="1" t="s">
        <v>75</v>
      </c>
      <c r="CB33" s="1" t="s">
        <v>74</v>
      </c>
    </row>
    <row r="34" spans="1:80" ht="15.75" customHeight="1" thickBot="1">
      <c r="A34" s="28"/>
      <c r="B34" s="53" t="s">
        <v>207</v>
      </c>
      <c r="C34" s="13">
        <v>819401</v>
      </c>
      <c r="D34" s="47">
        <v>124108</v>
      </c>
      <c r="E34" s="47">
        <v>22446</v>
      </c>
      <c r="F34" s="48">
        <v>83.3</v>
      </c>
      <c r="G34" s="13">
        <v>545</v>
      </c>
      <c r="H34" s="13">
        <v>153128</v>
      </c>
      <c r="I34" s="38">
        <f t="shared" si="4"/>
        <v>0.18085860701969253</v>
      </c>
      <c r="J34" s="48">
        <v>1.36</v>
      </c>
      <c r="K34" s="39">
        <v>1880.25</v>
      </c>
      <c r="L34" s="39">
        <v>2332.35</v>
      </c>
      <c r="M34" s="39">
        <f t="shared" si="5"/>
        <v>22.572028811524611</v>
      </c>
      <c r="N34" s="39">
        <f t="shared" si="6"/>
        <v>27.999399759903962</v>
      </c>
      <c r="O34" s="8">
        <f t="shared" si="11"/>
        <v>563.93761467889908</v>
      </c>
      <c r="P34" s="40">
        <f t="shared" si="8"/>
        <v>3.3341453931399792</v>
      </c>
      <c r="Q34" s="40">
        <f t="shared" si="9"/>
        <v>4.1358298139556071</v>
      </c>
      <c r="S34" s="1"/>
      <c r="T34" s="1"/>
      <c r="U34" s="1"/>
      <c r="V34" s="1"/>
      <c r="W34" s="1"/>
      <c r="X34" s="1"/>
      <c r="Y34" s="1"/>
      <c r="Z34" s="1" t="s">
        <v>208</v>
      </c>
      <c r="AA34" s="49">
        <f>(AA33*100)/AA28</f>
        <v>18.007202881152462</v>
      </c>
      <c r="AB34" s="1" t="s">
        <v>209</v>
      </c>
      <c r="AC34" s="1" t="s">
        <v>209</v>
      </c>
      <c r="AD34" s="1" t="s">
        <v>209</v>
      </c>
      <c r="AE34" s="1" t="s">
        <v>209</v>
      </c>
      <c r="AF34" s="1" t="s">
        <v>209</v>
      </c>
      <c r="AG34" s="1" t="s">
        <v>210</v>
      </c>
      <c r="AH34" s="1">
        <v>0</v>
      </c>
      <c r="AI34" s="1">
        <v>16.5</v>
      </c>
      <c r="AJ34" s="1">
        <v>16.2</v>
      </c>
      <c r="AK34" s="1">
        <v>17.399999999999999</v>
      </c>
      <c r="AL34" s="1" t="s">
        <v>157</v>
      </c>
      <c r="AM34" s="51">
        <v>-10659.2</v>
      </c>
      <c r="AN34" s="1" t="s">
        <v>211</v>
      </c>
      <c r="AO34" s="1">
        <v>0</v>
      </c>
      <c r="AP34" s="1" t="s">
        <v>186</v>
      </c>
      <c r="AQ34" s="51">
        <v>-11662.5</v>
      </c>
      <c r="AR34" s="51">
        <v>-7252.2</v>
      </c>
      <c r="AS34" s="51">
        <v>-3649.3</v>
      </c>
      <c r="AT34" s="51">
        <v>-2889.5</v>
      </c>
      <c r="AU34" s="1" t="s">
        <v>186</v>
      </c>
      <c r="AV34" s="51">
        <v>-2889.5</v>
      </c>
      <c r="AW34" s="51">
        <v>-1414.3</v>
      </c>
      <c r="AX34" s="51">
        <v>-1191.7</v>
      </c>
      <c r="AY34" s="1">
        <v>-665.9</v>
      </c>
      <c r="AZ34" s="1"/>
      <c r="BA34" s="1"/>
      <c r="BB34" s="1">
        <v>2009</v>
      </c>
      <c r="BC34" s="1">
        <v>1007.25</v>
      </c>
      <c r="BD34" s="1">
        <v>1836</v>
      </c>
      <c r="BE34" s="1">
        <v>774</v>
      </c>
      <c r="BF34" s="1">
        <v>1700.4</v>
      </c>
      <c r="BG34" s="1">
        <v>59713591</v>
      </c>
      <c r="BH34" s="1">
        <v>1288863</v>
      </c>
      <c r="BI34" s="1">
        <v>69614649581</v>
      </c>
      <c r="BJ34" s="1">
        <v>29603215</v>
      </c>
      <c r="BK34" s="1">
        <v>49.58</v>
      </c>
      <c r="BL34" s="1">
        <v>1062</v>
      </c>
      <c r="BM34" s="1">
        <v>693.15</v>
      </c>
      <c r="BN34" s="1"/>
      <c r="BO34" s="1"/>
      <c r="BP34" s="31">
        <v>500180</v>
      </c>
      <c r="BQ34" s="32" t="s">
        <v>27</v>
      </c>
      <c r="BR34" s="34">
        <v>42915</v>
      </c>
      <c r="BS34" s="1">
        <v>11</v>
      </c>
      <c r="BT34" s="1">
        <v>5</v>
      </c>
      <c r="BU34" s="1">
        <f t="shared" si="12"/>
        <v>55</v>
      </c>
      <c r="BV34" s="33"/>
      <c r="BW34" s="34">
        <v>42908</v>
      </c>
      <c r="BX34" s="34">
        <v>42915</v>
      </c>
      <c r="BY34" s="32" t="s">
        <v>73</v>
      </c>
      <c r="BZ34" s="1" t="s">
        <v>74</v>
      </c>
      <c r="CA34" s="1" t="s">
        <v>75</v>
      </c>
      <c r="CB34" s="1" t="s">
        <v>74</v>
      </c>
    </row>
    <row r="35" spans="1:80" ht="15.75" customHeight="1" thickBot="1">
      <c r="A35" s="28"/>
      <c r="B35" s="53" t="s">
        <v>212</v>
      </c>
      <c r="C35" s="13">
        <v>993703</v>
      </c>
      <c r="D35" s="47">
        <v>147068</v>
      </c>
      <c r="E35" s="47">
        <v>27254</v>
      </c>
      <c r="F35" s="55">
        <v>49.8</v>
      </c>
      <c r="G35" s="13">
        <v>548</v>
      </c>
      <c r="H35" s="13">
        <v>175810</v>
      </c>
      <c r="I35" s="38">
        <f t="shared" si="4"/>
        <v>0.18531563630429462</v>
      </c>
      <c r="J35" s="55">
        <v>1.26</v>
      </c>
      <c r="K35" s="56">
        <v>738</v>
      </c>
      <c r="L35" s="56">
        <v>1306</v>
      </c>
      <c r="M35" s="39">
        <f t="shared" si="5"/>
        <v>14.819277108433736</v>
      </c>
      <c r="N35" s="39">
        <f t="shared" si="6"/>
        <v>26.224899598393577</v>
      </c>
      <c r="O35" s="8">
        <f t="shared" ref="O35:O41" si="16">(G35+H35)/(G35/1)</f>
        <v>321.82116788321167</v>
      </c>
      <c r="P35" s="40">
        <f t="shared" si="8"/>
        <v>2.2931990610009185</v>
      </c>
      <c r="Q35" s="40">
        <f t="shared" si="9"/>
        <v>4.0581544358634138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51"/>
      <c r="AN35" s="1"/>
      <c r="AO35" s="51"/>
      <c r="AP35" s="1"/>
      <c r="AQ35" s="51"/>
      <c r="AR35" s="51"/>
      <c r="AS35" s="51"/>
      <c r="AT35" s="51"/>
      <c r="AU35" s="1"/>
      <c r="AV35" s="51"/>
      <c r="AW35" s="51"/>
      <c r="AX35" s="51"/>
      <c r="AY35" s="5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41"/>
      <c r="BQ35" s="32"/>
      <c r="BR35" s="34"/>
      <c r="BS35" s="1"/>
      <c r="BT35" s="1"/>
      <c r="BU35" s="1"/>
      <c r="BV35" s="33"/>
      <c r="BW35" s="34"/>
      <c r="BX35" s="34"/>
      <c r="BY35" s="32"/>
      <c r="BZ35" s="1"/>
      <c r="CA35" s="1"/>
      <c r="CB35" s="1"/>
    </row>
    <row r="36" spans="1:80" ht="15.75" customHeight="1" thickBot="1">
      <c r="A36" s="28"/>
      <c r="B36" s="53" t="s">
        <v>213</v>
      </c>
      <c r="C36" s="13">
        <v>1132837</v>
      </c>
      <c r="D36" s="47">
        <v>155885</v>
      </c>
      <c r="E36" s="47">
        <v>31833</v>
      </c>
      <c r="F36" s="55">
        <v>57.9</v>
      </c>
      <c r="G36" s="13">
        <v>551</v>
      </c>
      <c r="H36" s="13">
        <v>209259</v>
      </c>
      <c r="I36" s="38">
        <f t="shared" si="4"/>
        <v>0.20420823042627578</v>
      </c>
      <c r="J36" s="57">
        <v>1.32</v>
      </c>
      <c r="K36" s="58">
        <v>810</v>
      </c>
      <c r="L36" s="16">
        <v>1641</v>
      </c>
      <c r="M36" s="39">
        <f t="shared" si="5"/>
        <v>13.989637305699482</v>
      </c>
      <c r="N36" s="39">
        <f t="shared" si="6"/>
        <v>28.3419689119171</v>
      </c>
      <c r="O36" s="8">
        <f t="shared" si="16"/>
        <v>380.78039927404717</v>
      </c>
      <c r="P36" s="40">
        <f t="shared" si="8"/>
        <v>2.1272103331585721</v>
      </c>
      <c r="Q36" s="40">
        <f t="shared" si="9"/>
        <v>4.3095705638434776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51"/>
      <c r="AN36" s="1"/>
      <c r="AO36" s="51"/>
      <c r="AP36" s="1"/>
      <c r="AQ36" s="51"/>
      <c r="AR36" s="51"/>
      <c r="AS36" s="51"/>
      <c r="AT36" s="51"/>
      <c r="AU36" s="1"/>
      <c r="AV36" s="51"/>
      <c r="AW36" s="51"/>
      <c r="AX36" s="51"/>
      <c r="AY36" s="5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41"/>
      <c r="BQ36" s="32"/>
      <c r="BR36" s="34"/>
      <c r="BS36" s="1"/>
      <c r="BT36" s="1"/>
      <c r="BU36" s="1"/>
      <c r="BV36" s="33"/>
      <c r="BW36" s="34"/>
      <c r="BX36" s="34"/>
      <c r="BY36" s="32"/>
      <c r="BZ36" s="1"/>
      <c r="CA36" s="1"/>
      <c r="CB36" s="1"/>
    </row>
    <row r="37" spans="1:80" ht="15.75" customHeight="1" thickBot="1">
      <c r="A37" s="28"/>
      <c r="B37" s="53" t="s">
        <v>214</v>
      </c>
      <c r="C37" s="13">
        <v>1368821</v>
      </c>
      <c r="D37" s="47">
        <v>167695</v>
      </c>
      <c r="E37" s="47">
        <v>38053</v>
      </c>
      <c r="F37" s="55">
        <v>68.8</v>
      </c>
      <c r="G37" s="13">
        <v>555</v>
      </c>
      <c r="H37" s="13">
        <v>246772</v>
      </c>
      <c r="I37" s="38">
        <f t="shared" si="4"/>
        <v>0.22691791645546974</v>
      </c>
      <c r="J37" s="57">
        <v>1.17</v>
      </c>
      <c r="K37" s="58">
        <v>1292</v>
      </c>
      <c r="L37" s="16">
        <v>1724</v>
      </c>
      <c r="M37" s="39">
        <f t="shared" si="5"/>
        <v>18.779069767441861</v>
      </c>
      <c r="N37" s="39">
        <f t="shared" si="6"/>
        <v>25.058139534883722</v>
      </c>
      <c r="O37" s="8">
        <f t="shared" si="16"/>
        <v>445.63423423423421</v>
      </c>
      <c r="P37" s="40">
        <f t="shared" si="8"/>
        <v>2.8992386597500475</v>
      </c>
      <c r="Q37" s="40">
        <f t="shared" si="9"/>
        <v>3.8686435366943361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51"/>
      <c r="AN37" s="1"/>
      <c r="AO37" s="51"/>
      <c r="AP37" s="1"/>
      <c r="AQ37" s="51"/>
      <c r="AR37" s="51"/>
      <c r="AS37" s="51"/>
      <c r="AT37" s="51"/>
      <c r="AU37" s="1"/>
      <c r="AV37" s="51"/>
      <c r="AW37" s="51"/>
      <c r="AX37" s="51"/>
      <c r="AY37" s="5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41"/>
      <c r="BQ37" s="32"/>
      <c r="BR37" s="34"/>
      <c r="BS37" s="1"/>
      <c r="BT37" s="1"/>
      <c r="BU37" s="1"/>
      <c r="BV37" s="33"/>
      <c r="BW37" s="34"/>
      <c r="BX37" s="34"/>
      <c r="BY37" s="32"/>
      <c r="BZ37" s="1"/>
      <c r="CA37" s="1"/>
      <c r="CB37" s="1"/>
    </row>
    <row r="38" spans="1:80" ht="15.75" customHeight="1" thickBot="1">
      <c r="A38" s="28"/>
      <c r="B38" s="53" t="s">
        <v>215</v>
      </c>
      <c r="C38" s="13">
        <v>1600586</v>
      </c>
      <c r="D38" s="47">
        <v>204667</v>
      </c>
      <c r="E38" s="47">
        <v>45997</v>
      </c>
      <c r="F38" s="55">
        <v>82.64</v>
      </c>
      <c r="G38" s="13">
        <v>558</v>
      </c>
      <c r="H38" s="13">
        <v>288880</v>
      </c>
      <c r="I38" s="38">
        <f t="shared" si="4"/>
        <v>0.22474067631811676</v>
      </c>
      <c r="J38" s="57">
        <v>1.1200000000000001</v>
      </c>
      <c r="K38" s="58">
        <v>1272</v>
      </c>
      <c r="L38" s="16">
        <v>1722</v>
      </c>
      <c r="M38" s="39">
        <f t="shared" si="5"/>
        <v>15.392061955469506</v>
      </c>
      <c r="N38" s="39">
        <f t="shared" si="6"/>
        <v>20.837366892545983</v>
      </c>
      <c r="O38" s="8">
        <f t="shared" si="16"/>
        <v>518.70609318996412</v>
      </c>
      <c r="P38" s="40">
        <f t="shared" si="8"/>
        <v>2.4522557507998259</v>
      </c>
      <c r="Q38" s="40">
        <f t="shared" si="9"/>
        <v>3.3197990588658022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51"/>
      <c r="AN38" s="1"/>
      <c r="AO38" s="51"/>
      <c r="AP38" s="1"/>
      <c r="AQ38" s="51"/>
      <c r="AR38" s="51"/>
      <c r="AS38" s="51"/>
      <c r="AT38" s="51"/>
      <c r="AU38" s="1"/>
      <c r="AV38" s="51"/>
      <c r="AW38" s="51"/>
      <c r="AX38" s="51"/>
      <c r="AY38" s="5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41"/>
      <c r="BQ38" s="32"/>
      <c r="BR38" s="34"/>
      <c r="BS38" s="1"/>
      <c r="BT38" s="1"/>
      <c r="BU38" s="1"/>
      <c r="BV38" s="33"/>
      <c r="BW38" s="34"/>
      <c r="BX38" s="34"/>
      <c r="BY38" s="32"/>
      <c r="BZ38" s="1"/>
      <c r="CA38" s="1"/>
      <c r="CB38" s="1"/>
    </row>
    <row r="39" spans="1:80" ht="15.75" customHeight="1" thickBot="1">
      <c r="A39" s="28"/>
      <c r="B39" s="53" t="s">
        <v>216</v>
      </c>
      <c r="C39" s="13">
        <v>2571916</v>
      </c>
      <c r="D39" s="59">
        <v>407995</v>
      </c>
      <c r="E39" s="59">
        <v>64062</v>
      </c>
      <c r="F39" s="60">
        <v>90.42</v>
      </c>
      <c r="G39" s="13">
        <v>760</v>
      </c>
      <c r="H39" s="13">
        <v>455636</v>
      </c>
      <c r="I39" s="38">
        <f t="shared" si="4"/>
        <v>0.15701663010576111</v>
      </c>
      <c r="J39" s="60">
        <v>1.24</v>
      </c>
      <c r="K39" s="59">
        <v>1363</v>
      </c>
      <c r="L39" s="59">
        <v>1757</v>
      </c>
      <c r="M39" s="39">
        <f t="shared" si="5"/>
        <v>15.074098650740986</v>
      </c>
      <c r="N39" s="39">
        <f t="shared" si="6"/>
        <v>19.431541694315417</v>
      </c>
      <c r="O39" s="8">
        <f t="shared" si="16"/>
        <v>600.52105263157898</v>
      </c>
      <c r="P39" s="40">
        <f t="shared" si="8"/>
        <v>2.2696956152113512</v>
      </c>
      <c r="Q39" s="40">
        <f t="shared" si="9"/>
        <v>2.9257925135189615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51"/>
      <c r="AN39" s="1"/>
      <c r="AO39" s="51"/>
      <c r="AP39" s="1"/>
      <c r="AQ39" s="51"/>
      <c r="AR39" s="51"/>
      <c r="AS39" s="51"/>
      <c r="AT39" s="51"/>
      <c r="AU39" s="1"/>
      <c r="AV39" s="51"/>
      <c r="AW39" s="51"/>
      <c r="AX39" s="51"/>
      <c r="AY39" s="5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41"/>
      <c r="BQ39" s="32"/>
      <c r="BR39" s="34"/>
      <c r="BS39" s="1"/>
      <c r="BT39" s="1"/>
      <c r="BU39" s="1"/>
      <c r="BV39" s="33"/>
      <c r="BW39" s="34"/>
      <c r="BX39" s="34"/>
      <c r="BY39" s="32"/>
      <c r="BZ39" s="1"/>
      <c r="CA39" s="1"/>
      <c r="CB39" s="1"/>
    </row>
    <row r="40" spans="1:80" ht="15.75" customHeight="1" thickBot="1">
      <c r="B40" s="53" t="s">
        <v>217</v>
      </c>
      <c r="C40" s="13">
        <v>2724938</v>
      </c>
      <c r="D40" s="59">
        <f>D39+C59-D59</f>
        <v>424053</v>
      </c>
      <c r="E40" s="59">
        <f>E39+C63-D63</f>
        <v>63845</v>
      </c>
      <c r="F40" s="60">
        <v>92.81</v>
      </c>
      <c r="G40" s="13">
        <v>765</v>
      </c>
      <c r="H40" s="13">
        <v>521024</v>
      </c>
      <c r="I40" s="38">
        <f t="shared" si="4"/>
        <v>0.15055901031239019</v>
      </c>
      <c r="J40" s="60">
        <v>1.33</v>
      </c>
      <c r="K40" s="59">
        <v>1426</v>
      </c>
      <c r="L40" s="59">
        <v>1880</v>
      </c>
      <c r="M40" s="39">
        <f t="shared" si="5"/>
        <v>15.364723628919297</v>
      </c>
      <c r="N40" s="39">
        <f t="shared" si="6"/>
        <v>20.256437883848722</v>
      </c>
      <c r="O40" s="8">
        <f t="shared" si="16"/>
        <v>682.0771241830065</v>
      </c>
      <c r="P40" s="40">
        <f t="shared" si="8"/>
        <v>2.0906726665376234</v>
      </c>
      <c r="Q40" s="40">
        <f t="shared" si="9"/>
        <v>2.7562865449444125</v>
      </c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51"/>
      <c r="AN40" s="1"/>
      <c r="AO40" s="51"/>
      <c r="AP40" s="1"/>
      <c r="AQ40" s="51"/>
      <c r="AR40" s="51"/>
      <c r="AS40" s="51"/>
      <c r="AT40" s="51"/>
      <c r="AU40" s="1"/>
      <c r="AV40" s="51"/>
      <c r="AW40" s="51"/>
      <c r="AX40" s="51"/>
      <c r="AY40" s="5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41"/>
      <c r="BQ40" s="32"/>
      <c r="BR40" s="34"/>
      <c r="BS40" s="1"/>
      <c r="BT40" s="1"/>
      <c r="BU40" s="1"/>
      <c r="BV40" s="33"/>
      <c r="BW40" s="34"/>
      <c r="BX40" s="34"/>
      <c r="BY40" s="32"/>
      <c r="BZ40" s="1"/>
      <c r="CA40" s="1"/>
      <c r="CB40" s="1"/>
    </row>
    <row r="41" spans="1:80" ht="15.75" customHeight="1" thickBot="1">
      <c r="B41" s="53" t="s">
        <v>218</v>
      </c>
      <c r="C41" s="13">
        <v>2735109</v>
      </c>
      <c r="D41" s="59">
        <f>D40+C59-D59</f>
        <v>440111</v>
      </c>
      <c r="E41" s="59">
        <f>E40+C63-D63</f>
        <v>63628</v>
      </c>
      <c r="F41" s="60">
        <f>F40+C65-D65</f>
        <v>92.37</v>
      </c>
      <c r="G41" s="13">
        <v>765</v>
      </c>
      <c r="H41" s="13">
        <v>521024</v>
      </c>
      <c r="I41" s="38">
        <f t="shared" si="4"/>
        <v>0.14457261918016137</v>
      </c>
      <c r="J41" s="60">
        <v>1.4</v>
      </c>
      <c r="K41" s="59">
        <v>1738</v>
      </c>
      <c r="L41" s="59">
        <v>1978</v>
      </c>
      <c r="M41" s="39">
        <f t="shared" si="5"/>
        <v>18.81563278120602</v>
      </c>
      <c r="N41" s="39">
        <f t="shared" si="6"/>
        <v>21.413878965031937</v>
      </c>
      <c r="O41" s="8">
        <f t="shared" si="16"/>
        <v>682.0771241830065</v>
      </c>
      <c r="P41" s="40">
        <f t="shared" si="8"/>
        <v>2.5480989442092494</v>
      </c>
      <c r="Q41" s="40">
        <f t="shared" si="9"/>
        <v>2.8999653116489617</v>
      </c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51"/>
      <c r="AN41" s="1"/>
      <c r="AO41" s="51"/>
      <c r="AP41" s="1"/>
      <c r="AQ41" s="51"/>
      <c r="AR41" s="51"/>
      <c r="AS41" s="51"/>
      <c r="AT41" s="51"/>
      <c r="AU41" s="1"/>
      <c r="AV41" s="51"/>
      <c r="AW41" s="51"/>
      <c r="AX41" s="51"/>
      <c r="AY41" s="5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41"/>
      <c r="BQ41" s="32"/>
      <c r="BR41" s="34"/>
      <c r="BS41" s="1"/>
      <c r="BT41" s="1"/>
      <c r="BU41" s="1"/>
      <c r="BV41" s="33"/>
      <c r="BW41" s="34"/>
      <c r="BX41" s="34"/>
      <c r="BY41" s="32"/>
      <c r="BZ41" s="1"/>
      <c r="CA41" s="1"/>
      <c r="CB41" s="1"/>
    </row>
    <row r="42" spans="1:80" ht="15.75" customHeight="1" thickBot="1">
      <c r="X42" s="1"/>
      <c r="Y42" s="1"/>
      <c r="Z42" s="1"/>
      <c r="AA42" s="1"/>
      <c r="AB42" s="1"/>
      <c r="AC42" s="1"/>
      <c r="AD42" s="1"/>
      <c r="AE42" s="1"/>
      <c r="AF42" s="1"/>
      <c r="AG42" s="1" t="s">
        <v>219</v>
      </c>
      <c r="AH42" s="1">
        <v>28.5</v>
      </c>
      <c r="AI42" s="1">
        <v>22.1</v>
      </c>
      <c r="AJ42" s="1">
        <v>85</v>
      </c>
      <c r="AK42" s="1">
        <v>67.599999999999994</v>
      </c>
      <c r="AL42" s="1" t="s">
        <v>206</v>
      </c>
      <c r="AM42" s="51">
        <v>22521.3</v>
      </c>
      <c r="AN42" s="1" t="s">
        <v>45</v>
      </c>
      <c r="AO42" s="51">
        <v>15922.1</v>
      </c>
      <c r="AP42" s="1" t="s">
        <v>220</v>
      </c>
      <c r="AQ42" s="51">
        <v>11414.5</v>
      </c>
      <c r="AR42" s="51">
        <v>8707.7999999999993</v>
      </c>
      <c r="AS42" s="51">
        <v>6655.6</v>
      </c>
      <c r="AT42" s="51">
        <v>5095</v>
      </c>
      <c r="AU42" s="1" t="s">
        <v>220</v>
      </c>
      <c r="AV42" s="51">
        <v>5095</v>
      </c>
      <c r="AW42" s="51">
        <v>3876</v>
      </c>
      <c r="AX42" s="51">
        <v>2970.4</v>
      </c>
      <c r="AY42" s="51">
        <v>2101.1999999999998</v>
      </c>
      <c r="AZ42" s="1"/>
      <c r="BA42" s="1"/>
      <c r="BB42" s="1">
        <v>2010</v>
      </c>
      <c r="BC42" s="1">
        <v>1690.25</v>
      </c>
      <c r="BD42" s="1">
        <v>2518</v>
      </c>
      <c r="BE42" s="1">
        <v>1550</v>
      </c>
      <c r="BF42" s="1">
        <v>2346.5</v>
      </c>
      <c r="BG42" s="1">
        <v>19643539</v>
      </c>
      <c r="BH42" s="1">
        <v>641768</v>
      </c>
      <c r="BI42" s="1">
        <v>39218494751</v>
      </c>
      <c r="BJ42" s="1">
        <v>8797508</v>
      </c>
      <c r="BK42" s="1">
        <v>44.79</v>
      </c>
      <c r="BL42" s="1">
        <v>968</v>
      </c>
      <c r="BM42" s="1">
        <v>656.25</v>
      </c>
      <c r="BN42" s="1"/>
      <c r="BO42" s="1"/>
      <c r="BP42" s="31">
        <v>500180</v>
      </c>
      <c r="BQ42" s="32" t="s">
        <v>27</v>
      </c>
      <c r="BR42" s="34">
        <v>43251</v>
      </c>
      <c r="BS42" s="1">
        <v>13</v>
      </c>
      <c r="BT42" s="1">
        <v>5</v>
      </c>
      <c r="BU42" s="1">
        <f>BT42*BS42</f>
        <v>65</v>
      </c>
      <c r="BV42" s="33"/>
      <c r="BW42" s="34">
        <v>43245</v>
      </c>
      <c r="BX42" s="34">
        <v>43251</v>
      </c>
      <c r="BY42" s="32" t="s">
        <v>73</v>
      </c>
      <c r="BZ42" s="1" t="s">
        <v>74</v>
      </c>
      <c r="CA42" s="1" t="s">
        <v>75</v>
      </c>
      <c r="CB42" s="1" t="s">
        <v>74</v>
      </c>
    </row>
    <row r="43" spans="1:80" ht="15.75" customHeight="1" thickBot="1">
      <c r="B43" s="61" t="s">
        <v>29</v>
      </c>
      <c r="C43" s="6" t="s">
        <v>21</v>
      </c>
      <c r="D43" s="5" t="s">
        <v>44</v>
      </c>
      <c r="E43" s="5" t="s">
        <v>45</v>
      </c>
      <c r="F43" s="5" t="s">
        <v>46</v>
      </c>
      <c r="G43" s="6" t="s">
        <v>47</v>
      </c>
      <c r="H43" s="6" t="s">
        <v>48</v>
      </c>
      <c r="I43" s="5" t="s">
        <v>49</v>
      </c>
      <c r="J43" s="5" t="s">
        <v>32</v>
      </c>
      <c r="K43" s="5" t="s">
        <v>50</v>
      </c>
      <c r="L43" s="5" t="s">
        <v>51</v>
      </c>
      <c r="M43" s="5" t="s">
        <v>52</v>
      </c>
      <c r="N43" s="5" t="s">
        <v>53</v>
      </c>
      <c r="O43" s="6" t="s">
        <v>54</v>
      </c>
      <c r="P43" s="6" t="s">
        <v>55</v>
      </c>
      <c r="Q43" s="6" t="s">
        <v>56</v>
      </c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51"/>
      <c r="AR43" s="51"/>
      <c r="AS43" s="51"/>
      <c r="AT43" s="51"/>
      <c r="AU43" s="1"/>
      <c r="AV43" s="51"/>
      <c r="AW43" s="51"/>
      <c r="AX43" s="51"/>
      <c r="AY43" s="5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62"/>
      <c r="BQ43" s="62"/>
      <c r="BR43" s="62"/>
      <c r="BS43" s="63"/>
      <c r="BT43" s="63"/>
      <c r="BU43" s="63"/>
      <c r="BV43" s="62"/>
      <c r="BW43" s="62"/>
      <c r="BX43" s="62"/>
      <c r="BY43" s="62"/>
      <c r="BZ43" s="1"/>
      <c r="CA43" s="1"/>
      <c r="CB43" s="1"/>
    </row>
    <row r="44" spans="1:80" ht="15.75" customHeight="1">
      <c r="A44" s="28"/>
      <c r="B44" s="61" t="s">
        <v>221</v>
      </c>
      <c r="C44" s="27">
        <f t="shared" ref="C44:E44" si="17">(C40/C15)^(1/25)-1</f>
        <v>0.30569332068233357</v>
      </c>
      <c r="D44" s="27">
        <f t="shared" si="17"/>
        <v>0.28488710436123088</v>
      </c>
      <c r="E44" s="27">
        <f t="shared" si="17"/>
        <v>0.28539860961958974</v>
      </c>
      <c r="F44" s="27">
        <f>((10*F40)/F15)^(1/25)-1</f>
        <v>0.22400052241987733</v>
      </c>
      <c r="G44" s="27">
        <f t="shared" ref="G44:H44" si="18">(G40/G15)^(1/25)-1</f>
        <v>4.7636307956471891E-2</v>
      </c>
      <c r="H44" s="27">
        <f t="shared" si="18"/>
        <v>0.28432314509409795</v>
      </c>
      <c r="I44" s="64">
        <f t="shared" ref="I44:J44" si="19">MEDIAN(I15:I40)</f>
        <v>0.16114883675436234</v>
      </c>
      <c r="J44" s="65">
        <f t="shared" si="19"/>
        <v>1.2050000000000001</v>
      </c>
      <c r="K44" s="27">
        <f t="shared" ref="K44:L44" si="20">((10*K40)/K15)^(1/25)-1</f>
        <v>0.24631453878085074</v>
      </c>
      <c r="L44" s="27">
        <f t="shared" si="20"/>
        <v>0.18065619714584824</v>
      </c>
      <c r="M44" s="65">
        <f t="shared" ref="M44:N44" si="21">MEDIAN(M15:M40)</f>
        <v>16.308483530869392</v>
      </c>
      <c r="N44" s="65">
        <f t="shared" si="21"/>
        <v>25.64151956663865</v>
      </c>
      <c r="O44" s="27">
        <f>((10*O40)/O15)^(1/25)-1</f>
        <v>0.2155320185253351</v>
      </c>
      <c r="P44" s="65">
        <f t="shared" ref="P44:Q44" si="22">MEDIAN(P15:P40)</f>
        <v>2.4624915117635493</v>
      </c>
      <c r="Q44" s="65">
        <f t="shared" si="22"/>
        <v>4.1373236473377011</v>
      </c>
      <c r="R44" s="66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 t="s">
        <v>222</v>
      </c>
      <c r="AH44" s="1">
        <v>28.2</v>
      </c>
      <c r="AI44" s="1">
        <v>21.9</v>
      </c>
      <c r="AJ44" s="1">
        <v>84</v>
      </c>
      <c r="AK44" s="1">
        <v>66.900000000000006</v>
      </c>
      <c r="AL44" s="1" t="s">
        <v>211</v>
      </c>
      <c r="AM44" s="1">
        <v>0</v>
      </c>
      <c r="AN44" s="1" t="s">
        <v>223</v>
      </c>
      <c r="AO44" s="1">
        <v>-67</v>
      </c>
      <c r="AP44" s="1" t="s">
        <v>45</v>
      </c>
      <c r="AQ44" s="51">
        <v>11414.5</v>
      </c>
      <c r="AR44" s="51">
        <v>8707.7999999999993</v>
      </c>
      <c r="AS44" s="51">
        <v>6655.6</v>
      </c>
      <c r="AT44" s="51">
        <v>5095</v>
      </c>
      <c r="AU44" s="1" t="s">
        <v>45</v>
      </c>
      <c r="AV44" s="51">
        <v>5095</v>
      </c>
      <c r="AW44" s="51">
        <v>3876</v>
      </c>
      <c r="AX44" s="51">
        <v>2970.4</v>
      </c>
      <c r="AY44" s="51">
        <v>2101</v>
      </c>
      <c r="AZ44" s="1"/>
      <c r="BA44" s="1"/>
      <c r="BB44" s="1">
        <v>2011</v>
      </c>
      <c r="BC44" s="1">
        <v>2369</v>
      </c>
      <c r="BD44" s="1">
        <v>2582.5</v>
      </c>
      <c r="BE44" s="1">
        <v>400.45</v>
      </c>
      <c r="BF44" s="1">
        <v>427.05</v>
      </c>
      <c r="BG44" s="1">
        <v>42483338</v>
      </c>
      <c r="BH44" s="1">
        <v>980950</v>
      </c>
      <c r="BI44" s="1">
        <v>38897459288</v>
      </c>
      <c r="BJ44" s="1">
        <v>18746817</v>
      </c>
      <c r="BK44" s="1">
        <v>44.13</v>
      </c>
      <c r="BL44" s="1">
        <v>2182.0500000000002</v>
      </c>
      <c r="BM44" s="1">
        <v>-1941.95</v>
      </c>
      <c r="BN44" s="1"/>
      <c r="BO44" s="1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1"/>
      <c r="CA44" s="1"/>
      <c r="CB44" s="1"/>
    </row>
    <row r="45" spans="1:80" ht="15.75" customHeight="1">
      <c r="A45" s="28"/>
      <c r="B45" s="61" t="s">
        <v>224</v>
      </c>
      <c r="C45" s="67">
        <f t="shared" ref="C45:E45" si="23">(C40/C20)^(1/20)-1</f>
        <v>0.26294573911334096</v>
      </c>
      <c r="D45" s="67">
        <f t="shared" si="23"/>
        <v>0.26677188475036195</v>
      </c>
      <c r="E45" s="67">
        <f t="shared" si="23"/>
        <v>0.25626897095120893</v>
      </c>
      <c r="F45" s="27">
        <f>((10*F40)/F15)^(1/20)-1</f>
        <v>0.28744001686737364</v>
      </c>
      <c r="G45" s="67">
        <f t="shared" ref="G45:H45" si="24">(G40/G20)^(1/20)-1</f>
        <v>5.1538480738021697E-2</v>
      </c>
      <c r="H45" s="67">
        <f t="shared" si="24"/>
        <v>0.28422016273395623</v>
      </c>
      <c r="I45" s="64">
        <f t="shared" ref="I45:J45" si="25">MEDIAN(I20:I40)</f>
        <v>0.17235954614280377</v>
      </c>
      <c r="J45" s="65">
        <f t="shared" si="25"/>
        <v>1.2050000000000001</v>
      </c>
      <c r="K45" s="27">
        <f t="shared" ref="K45:L45" si="26">((10*K40)/K15)^(1/20)-1</f>
        <v>0.31684474987819211</v>
      </c>
      <c r="L45" s="27">
        <f t="shared" si="26"/>
        <v>0.23070598834061506</v>
      </c>
      <c r="M45" s="65">
        <f t="shared" ref="M45:N45" si="27">MEDIAN(M20:M40)</f>
        <v>16.573883161512025</v>
      </c>
      <c r="N45" s="65">
        <f t="shared" si="27"/>
        <v>26.224899598393577</v>
      </c>
      <c r="O45" s="27">
        <f>((10*O40)/O15)^(1/25)-1</f>
        <v>0.2155320185253351</v>
      </c>
      <c r="P45" s="65">
        <f t="shared" ref="P45:Q45" si="28">MEDIAN(P20:P40)</f>
        <v>2.7154166666666661</v>
      </c>
      <c r="Q45" s="65">
        <f t="shared" si="28"/>
        <v>4.138817480719795</v>
      </c>
      <c r="R45" s="2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 t="s">
        <v>225</v>
      </c>
      <c r="AH45" s="1" t="s">
        <v>226</v>
      </c>
      <c r="AI45" s="1" t="s">
        <v>227</v>
      </c>
      <c r="AJ45" s="1" t="s">
        <v>228</v>
      </c>
      <c r="AK45" s="1" t="s">
        <v>229</v>
      </c>
      <c r="AL45" s="1" t="s">
        <v>45</v>
      </c>
      <c r="AM45" s="51">
        <v>22521.3</v>
      </c>
      <c r="AN45" s="1" t="s">
        <v>230</v>
      </c>
      <c r="AO45" s="1">
        <v>95.6</v>
      </c>
      <c r="AP45" s="1" t="s">
        <v>196</v>
      </c>
      <c r="AQ45" s="51">
        <v>3193.9</v>
      </c>
      <c r="AR45" s="51">
        <v>3131.4</v>
      </c>
      <c r="AS45" s="51">
        <v>3098.8</v>
      </c>
      <c r="AT45" s="51">
        <v>2847.9</v>
      </c>
      <c r="AU45" s="1" t="s">
        <v>196</v>
      </c>
      <c r="AV45" s="51">
        <v>2847.9</v>
      </c>
      <c r="AW45" s="51">
        <v>2820.5</v>
      </c>
      <c r="AX45" s="51">
        <v>2813.7</v>
      </c>
      <c r="AY45" s="51">
        <v>2436</v>
      </c>
      <c r="AZ45" s="1"/>
      <c r="BA45" s="51">
        <v>5</v>
      </c>
      <c r="BB45" s="1">
        <v>2012</v>
      </c>
      <c r="BC45" s="1">
        <v>431.8</v>
      </c>
      <c r="BD45" s="1">
        <v>705</v>
      </c>
      <c r="BE45" s="1">
        <v>419.35</v>
      </c>
      <c r="BF45" s="1">
        <v>678.8</v>
      </c>
      <c r="BG45" s="1">
        <v>41256694</v>
      </c>
      <c r="BH45" s="1">
        <v>692535</v>
      </c>
      <c r="BI45" s="1">
        <v>23407321416</v>
      </c>
      <c r="BJ45" s="1">
        <v>22374374</v>
      </c>
      <c r="BK45" s="1">
        <v>54.23</v>
      </c>
      <c r="BL45" s="1">
        <v>285.64999999999998</v>
      </c>
      <c r="BM45" s="1">
        <v>247</v>
      </c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</row>
    <row r="46" spans="1:80" ht="15.75" customHeight="1">
      <c r="A46" s="28"/>
      <c r="B46" s="68" t="s">
        <v>231</v>
      </c>
      <c r="C46" s="67">
        <f t="shared" ref="C46:E46" si="29">(C40/C30)^(1/10)-1</f>
        <v>0.22249620190259756</v>
      </c>
      <c r="D46" s="67">
        <f t="shared" si="29"/>
        <v>0.21555246596316957</v>
      </c>
      <c r="E46" s="67">
        <f t="shared" si="29"/>
        <v>0.19556807971533452</v>
      </c>
      <c r="F46" s="67">
        <f>((2*F40)/F30)^(1/10)-1</f>
        <v>0.1545656112438536</v>
      </c>
      <c r="G46" s="67">
        <f t="shared" ref="G46:H46" si="30">(G40/G30)^(1/10)-1</f>
        <v>4.323553312788575E-2</v>
      </c>
      <c r="H46" s="67">
        <f t="shared" si="30"/>
        <v>0.23592348782844619</v>
      </c>
      <c r="I46" s="64">
        <f t="shared" ref="I46:J46" si="31">MEDIAN(I30:I40)</f>
        <v>0.18085860701969253</v>
      </c>
      <c r="J46" s="69">
        <f t="shared" si="31"/>
        <v>1.24</v>
      </c>
      <c r="K46" s="67">
        <f t="shared" ref="K46:L46" si="32">((2*K40)/K30)^(1/10)-1</f>
        <v>0.14958822748836265</v>
      </c>
      <c r="L46" s="67">
        <f t="shared" si="32"/>
        <v>0.13027092682970598</v>
      </c>
      <c r="M46" s="65">
        <f t="shared" ref="M46:N46" si="33">MEDIAN(M30:M40)</f>
        <v>16.043083900226758</v>
      </c>
      <c r="N46" s="65">
        <f t="shared" si="33"/>
        <v>25.056689342403626</v>
      </c>
      <c r="O46" s="67">
        <f>((2*O40)/O30)^(1/10)-1</f>
        <v>0.18393275144455168</v>
      </c>
      <c r="P46" s="69">
        <f t="shared" ref="P46:Q46" si="34">MEDIAN(P30:P40)</f>
        <v>2.8062949298540074</v>
      </c>
      <c r="Q46" s="69">
        <f t="shared" si="34"/>
        <v>4.0581544358634138</v>
      </c>
      <c r="R46" s="2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51"/>
      <c r="AP46" s="1"/>
      <c r="AQ46" s="51"/>
      <c r="AR46" s="51"/>
      <c r="AS46" s="51"/>
      <c r="AT46" s="51"/>
      <c r="AU46" s="1"/>
      <c r="AV46" s="51"/>
      <c r="AW46" s="51"/>
      <c r="AX46" s="51"/>
      <c r="AY46" s="5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</row>
    <row r="47" spans="1:80" ht="15.75" customHeight="1">
      <c r="A47" s="28" t="s">
        <v>232</v>
      </c>
      <c r="B47" s="61" t="s">
        <v>233</v>
      </c>
      <c r="C47" s="67">
        <f t="shared" ref="C47:H47" si="35">(C40/C35)^(1/5)-1</f>
        <v>0.22354516408223479</v>
      </c>
      <c r="D47" s="67">
        <f t="shared" si="35"/>
        <v>0.235891629153828</v>
      </c>
      <c r="E47" s="67">
        <f t="shared" si="35"/>
        <v>0.18560310479420483</v>
      </c>
      <c r="F47" s="67">
        <f t="shared" si="35"/>
        <v>0.13259094718450726</v>
      </c>
      <c r="G47" s="67">
        <f t="shared" si="35"/>
        <v>6.8996234275391588E-2</v>
      </c>
      <c r="H47" s="67">
        <f t="shared" si="35"/>
        <v>0.24269007840923762</v>
      </c>
      <c r="I47" s="64">
        <f t="shared" ref="I47:J47" si="36">MEDIAN(I35:I40)</f>
        <v>0.19476193336528519</v>
      </c>
      <c r="J47" s="69">
        <f t="shared" si="36"/>
        <v>1.25</v>
      </c>
      <c r="K47" s="67">
        <f t="shared" ref="K47:L47" si="37">(K40/K35)^(1/5)-1</f>
        <v>0.14080819621754026</v>
      </c>
      <c r="L47" s="67">
        <f t="shared" si="37"/>
        <v>7.5580535887207478E-2</v>
      </c>
      <c r="M47" s="65">
        <f t="shared" ref="M47:N47" si="38">MEDIAN(M35:M40)</f>
        <v>15.219411139830141</v>
      </c>
      <c r="N47" s="65">
        <f t="shared" si="38"/>
        <v>22.947753213714854</v>
      </c>
      <c r="O47" s="67">
        <f>(O40/O35)^(1/5)-1</f>
        <v>0.16210073410092285</v>
      </c>
      <c r="P47" s="69">
        <f t="shared" ref="P47:Q47" si="39">MEDIAN(P35:P40)</f>
        <v>2.2814473381061351</v>
      </c>
      <c r="Q47" s="69">
        <f t="shared" si="39"/>
        <v>3.5942212977800692</v>
      </c>
      <c r="R47" s="21"/>
      <c r="S47" s="1"/>
      <c r="T47" s="1"/>
      <c r="U47" s="1"/>
      <c r="V47" s="1"/>
      <c r="W47" s="1"/>
      <c r="X47" s="51"/>
      <c r="Y47" s="1"/>
      <c r="Z47" s="1"/>
      <c r="AA47" s="1"/>
      <c r="AB47" s="1"/>
      <c r="AC47" s="1"/>
      <c r="AD47" s="1"/>
      <c r="AE47" s="1"/>
      <c r="AF47" s="1"/>
      <c r="AG47" s="1" t="s">
        <v>234</v>
      </c>
      <c r="AH47" s="1">
        <v>60.1</v>
      </c>
      <c r="AI47" s="1">
        <v>59.6</v>
      </c>
      <c r="AJ47" s="1">
        <v>59.2</v>
      </c>
      <c r="AK47" s="1">
        <v>76.3</v>
      </c>
      <c r="AL47" s="1" t="s">
        <v>223</v>
      </c>
      <c r="AM47" s="1">
        <v>-63.5</v>
      </c>
      <c r="AN47" s="1" t="s">
        <v>235</v>
      </c>
      <c r="AO47" s="51">
        <v>15950.7</v>
      </c>
      <c r="AP47" s="1" t="s">
        <v>201</v>
      </c>
      <c r="AQ47" s="51">
        <v>61137.599999999999</v>
      </c>
      <c r="AR47" s="51">
        <v>49863.9</v>
      </c>
      <c r="AS47" s="51">
        <v>42099.7</v>
      </c>
      <c r="AT47" s="51">
        <v>24070.9</v>
      </c>
      <c r="AU47" s="1" t="s">
        <v>201</v>
      </c>
      <c r="AV47" s="51">
        <v>24070.9</v>
      </c>
      <c r="AW47" s="51">
        <v>19627.8</v>
      </c>
      <c r="AX47" s="51">
        <v>16609.099999999999</v>
      </c>
      <c r="AY47" s="51">
        <v>6694.9</v>
      </c>
      <c r="AZ47" s="1"/>
      <c r="BA47" s="1"/>
      <c r="BB47" s="1">
        <v>2013</v>
      </c>
      <c r="BC47" s="1">
        <v>682.95</v>
      </c>
      <c r="BD47" s="1">
        <v>727</v>
      </c>
      <c r="BE47" s="1">
        <v>528</v>
      </c>
      <c r="BF47" s="1">
        <v>665.75</v>
      </c>
      <c r="BG47" s="1">
        <v>51326848</v>
      </c>
      <c r="BH47" s="1">
        <v>1094343</v>
      </c>
      <c r="BI47" s="1">
        <v>33148077865</v>
      </c>
      <c r="BJ47" s="1">
        <v>27814055</v>
      </c>
      <c r="BK47" s="1">
        <v>54.19</v>
      </c>
      <c r="BL47" s="1">
        <v>199</v>
      </c>
      <c r="BM47" s="1">
        <v>-17.2</v>
      </c>
      <c r="BN47" s="1"/>
      <c r="BO47" s="1"/>
      <c r="BP47" s="1"/>
      <c r="BQ47" s="1"/>
      <c r="BR47" s="1"/>
      <c r="BS47" s="1"/>
      <c r="BT47" s="1"/>
      <c r="BU47" s="1">
        <f>SUM(BU10:BU42)</f>
        <v>377.15</v>
      </c>
      <c r="BV47" s="1"/>
      <c r="BW47" s="1"/>
      <c r="BX47" s="1"/>
      <c r="BY47" s="1"/>
      <c r="BZ47" s="1"/>
      <c r="CA47" s="1"/>
      <c r="CB47" s="1"/>
    </row>
    <row r="48" spans="1:80" ht="15.75" customHeight="1">
      <c r="A48" s="28"/>
      <c r="B48" s="61" t="s">
        <v>236</v>
      </c>
      <c r="C48" s="67">
        <f t="shared" ref="C48:H48" si="40">(C40/C39)-1</f>
        <v>5.9497277516062042E-2</v>
      </c>
      <c r="D48" s="67">
        <f t="shared" si="40"/>
        <v>3.9358325469674771E-2</v>
      </c>
      <c r="E48" s="67">
        <f t="shared" si="40"/>
        <v>-3.3873435109736949E-3</v>
      </c>
      <c r="F48" s="67">
        <f t="shared" si="40"/>
        <v>2.6432205264321995E-2</v>
      </c>
      <c r="G48" s="67">
        <f t="shared" si="40"/>
        <v>6.5789473684210176E-3</v>
      </c>
      <c r="H48" s="67">
        <f t="shared" si="40"/>
        <v>0.1435092925054211</v>
      </c>
      <c r="I48" s="70">
        <f t="shared" ref="I48:J48" si="41">I41</f>
        <v>0.14457261918016137</v>
      </c>
      <c r="J48" s="60">
        <f t="shared" si="41"/>
        <v>1.4</v>
      </c>
      <c r="K48" s="67">
        <f t="shared" ref="K48:L48" si="42">(K40/K39)-1</f>
        <v>4.6221570066030893E-2</v>
      </c>
      <c r="L48" s="67">
        <f t="shared" si="42"/>
        <v>7.0005691519635649E-2</v>
      </c>
      <c r="M48" s="60">
        <f t="shared" ref="M48:N48" si="43">M41</f>
        <v>18.81563278120602</v>
      </c>
      <c r="N48" s="60">
        <f t="shared" si="43"/>
        <v>21.413878965031937</v>
      </c>
      <c r="O48" s="67">
        <f>(O40/O39)-1</f>
        <v>0.13580884665747495</v>
      </c>
      <c r="P48" s="60">
        <f t="shared" ref="P48:Q48" si="44">P41</f>
        <v>2.5480989442092494</v>
      </c>
      <c r="Q48" s="60">
        <f t="shared" si="44"/>
        <v>2.8999653116489617</v>
      </c>
      <c r="R48" s="21"/>
      <c r="S48" s="1"/>
      <c r="T48" s="1"/>
      <c r="U48" s="1"/>
      <c r="V48" s="1"/>
      <c r="W48" s="1"/>
      <c r="X48" s="51"/>
      <c r="Y48" s="1"/>
      <c r="Z48" s="1"/>
      <c r="AA48" s="1"/>
      <c r="AB48" s="1"/>
      <c r="AC48" s="1"/>
      <c r="AD48" s="1"/>
      <c r="AE48" s="1"/>
      <c r="AF48" s="1"/>
      <c r="AG48" s="1" t="s">
        <v>237</v>
      </c>
      <c r="AH48" s="1">
        <v>19.18</v>
      </c>
      <c r="AI48" s="1">
        <v>18.940000000000001</v>
      </c>
      <c r="AJ48" s="1">
        <v>19.7</v>
      </c>
      <c r="AK48" s="1">
        <v>18.23</v>
      </c>
      <c r="AL48" s="1" t="s">
        <v>230</v>
      </c>
      <c r="AM48" s="1">
        <v>32.1</v>
      </c>
      <c r="AN48" s="1" t="s">
        <v>238</v>
      </c>
      <c r="AO48" s="1">
        <v>0</v>
      </c>
      <c r="AP48" s="1" t="s">
        <v>210</v>
      </c>
      <c r="AQ48" s="1">
        <v>13.1</v>
      </c>
      <c r="AR48" s="1">
        <v>11.4</v>
      </c>
      <c r="AS48" s="1">
        <v>12.2</v>
      </c>
      <c r="AT48" s="1">
        <v>11.66</v>
      </c>
      <c r="AU48" s="1" t="s">
        <v>210</v>
      </c>
      <c r="AV48" s="1">
        <v>11.66</v>
      </c>
      <c r="AW48" s="1">
        <v>11.12</v>
      </c>
      <c r="AX48" s="1">
        <v>13.93</v>
      </c>
      <c r="AY48" s="1">
        <v>11.09</v>
      </c>
      <c r="AZ48" s="1"/>
      <c r="BA48" s="1"/>
      <c r="BB48" s="1">
        <v>2014</v>
      </c>
      <c r="BC48" s="1">
        <v>666.75</v>
      </c>
      <c r="BD48" s="1">
        <v>973.85</v>
      </c>
      <c r="BE48" s="1">
        <v>618</v>
      </c>
      <c r="BF48" s="1">
        <v>952</v>
      </c>
      <c r="BG48" s="1">
        <v>48092166</v>
      </c>
      <c r="BH48" s="1">
        <v>1279693</v>
      </c>
      <c r="BI48" s="1">
        <v>38664234055</v>
      </c>
      <c r="BJ48" s="1">
        <v>23993397</v>
      </c>
      <c r="BK48" s="1">
        <v>49.89</v>
      </c>
      <c r="BL48" s="1">
        <v>355.85</v>
      </c>
      <c r="BM48" s="1">
        <v>285.25</v>
      </c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</row>
    <row r="49" spans="1:80" ht="15.75" customHeight="1">
      <c r="A49" s="28"/>
      <c r="R49" s="66"/>
      <c r="S49" s="1"/>
      <c r="T49" s="1"/>
      <c r="U49" s="1"/>
      <c r="V49" s="1"/>
      <c r="W49" s="5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</row>
    <row r="50" spans="1:80" ht="15.75" customHeight="1">
      <c r="A50" s="28"/>
      <c r="B50" s="71" t="s">
        <v>239</v>
      </c>
      <c r="C50" s="72" t="s">
        <v>240</v>
      </c>
      <c r="D50" s="72" t="s">
        <v>241</v>
      </c>
      <c r="E50" s="72" t="s">
        <v>242</v>
      </c>
      <c r="F50" s="72" t="s">
        <v>243</v>
      </c>
      <c r="G50" s="72" t="s">
        <v>244</v>
      </c>
      <c r="I50" s="72" t="s">
        <v>245</v>
      </c>
      <c r="J50" s="72" t="s">
        <v>246</v>
      </c>
      <c r="K50" s="72" t="s">
        <v>247</v>
      </c>
      <c r="L50" s="72" t="s">
        <v>248</v>
      </c>
      <c r="M50" s="72" t="s">
        <v>249</v>
      </c>
      <c r="N50" s="72" t="s">
        <v>250</v>
      </c>
      <c r="O50" s="66"/>
      <c r="P50" s="66"/>
      <c r="Q50" s="66"/>
      <c r="R50" s="66"/>
      <c r="S50" s="1"/>
      <c r="T50" s="1"/>
      <c r="U50" s="1"/>
      <c r="V50" s="1"/>
      <c r="W50" s="5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</row>
    <row r="51" spans="1:80" ht="15.75" customHeight="1">
      <c r="A51" s="28"/>
      <c r="B51" s="73" t="s">
        <v>14</v>
      </c>
      <c r="C51" s="74">
        <v>0.41399999999999998</v>
      </c>
      <c r="D51" s="74">
        <v>0.23599999999999999</v>
      </c>
      <c r="E51" s="74">
        <v>0.154</v>
      </c>
      <c r="F51" s="74">
        <v>0.13700000000000001</v>
      </c>
      <c r="G51" s="74">
        <v>0.09</v>
      </c>
      <c r="I51" s="72" t="s">
        <v>46</v>
      </c>
      <c r="J51" s="12">
        <v>23.4</v>
      </c>
      <c r="K51" s="12">
        <v>23.11</v>
      </c>
      <c r="L51" s="12">
        <v>24.62</v>
      </c>
      <c r="M51" s="12">
        <v>21.23</v>
      </c>
      <c r="N51" s="75">
        <f>SUM(J51:M51)</f>
        <v>92.36</v>
      </c>
      <c r="T51" s="1"/>
      <c r="U51" s="1"/>
      <c r="V51" s="1"/>
      <c r="W51" s="5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 t="s">
        <v>238</v>
      </c>
      <c r="AM51" s="1">
        <v>0</v>
      </c>
      <c r="AN51" s="1" t="s">
        <v>251</v>
      </c>
      <c r="AO51" s="1">
        <v>0</v>
      </c>
      <c r="AP51" s="1" t="s">
        <v>252</v>
      </c>
      <c r="AQ51" s="1" t="s">
        <v>253</v>
      </c>
      <c r="AR51" s="1" t="s">
        <v>254</v>
      </c>
      <c r="AS51" s="1" t="s">
        <v>255</v>
      </c>
      <c r="AT51" s="1" t="s">
        <v>256</v>
      </c>
      <c r="AU51" s="1" t="s">
        <v>252</v>
      </c>
      <c r="AV51" s="1" t="s">
        <v>256</v>
      </c>
      <c r="AW51" s="1" t="s">
        <v>257</v>
      </c>
      <c r="AX51" s="1" t="s">
        <v>258</v>
      </c>
      <c r="AY51" s="1">
        <v>0</v>
      </c>
      <c r="AZ51" s="1"/>
      <c r="BA51" s="1"/>
      <c r="BB51" s="1">
        <v>2016</v>
      </c>
      <c r="BC51" s="1">
        <v>1084.9000000000001</v>
      </c>
      <c r="BD51" s="1">
        <v>1318.2</v>
      </c>
      <c r="BE51" s="1">
        <v>928.8</v>
      </c>
      <c r="BF51" s="1">
        <v>1204.2</v>
      </c>
      <c r="BG51" s="1">
        <v>28191280</v>
      </c>
      <c r="BH51" s="1">
        <v>576769</v>
      </c>
      <c r="BI51" s="1">
        <v>32402569817</v>
      </c>
      <c r="BJ51" s="1">
        <v>15446011</v>
      </c>
      <c r="BK51" s="1">
        <v>54.79</v>
      </c>
      <c r="BL51" s="1">
        <v>389.4</v>
      </c>
      <c r="BM51" s="1">
        <v>119.3</v>
      </c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</row>
    <row r="52" spans="1:80" ht="15.75" customHeight="1">
      <c r="A52" s="28"/>
      <c r="B52" s="73" t="s">
        <v>15</v>
      </c>
      <c r="C52" s="74">
        <v>0.17499999999999999</v>
      </c>
      <c r="D52" s="74">
        <v>0.11899999999999999</v>
      </c>
      <c r="E52" s="74">
        <v>0.105</v>
      </c>
      <c r="F52" s="74">
        <v>-1.2999999999999999E-2</v>
      </c>
      <c r="G52" s="74">
        <v>0.05</v>
      </c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>
        <v>2017</v>
      </c>
      <c r="AI52" s="1">
        <v>1205</v>
      </c>
      <c r="AJ52" s="1">
        <v>1905</v>
      </c>
      <c r="AK52" s="1">
        <v>1181.75</v>
      </c>
      <c r="AL52" s="1">
        <v>1873.55</v>
      </c>
      <c r="AM52" s="1">
        <v>45009684</v>
      </c>
      <c r="AN52" s="1">
        <v>599601</v>
      </c>
      <c r="AO52" s="1">
        <v>69091363465</v>
      </c>
      <c r="AP52" s="1">
        <v>21286665</v>
      </c>
      <c r="AQ52" s="1">
        <v>47.29</v>
      </c>
      <c r="AR52" s="1">
        <v>723.25</v>
      </c>
      <c r="AS52" s="1">
        <v>668.55</v>
      </c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</row>
    <row r="53" spans="1:80" ht="15.75" customHeight="1">
      <c r="A53" s="1"/>
      <c r="B53" s="73" t="s">
        <v>46</v>
      </c>
      <c r="C53" s="74">
        <v>0.01</v>
      </c>
      <c r="D53" s="74">
        <v>1.4999999999999999E-2</v>
      </c>
      <c r="E53" s="74">
        <v>2.5999999999999999E-2</v>
      </c>
      <c r="F53" s="74">
        <v>0.02</v>
      </c>
      <c r="G53" s="74">
        <v>0.05</v>
      </c>
      <c r="I53" s="76" t="s">
        <v>259</v>
      </c>
      <c r="J53" s="76" t="s">
        <v>16</v>
      </c>
      <c r="K53" s="76" t="s">
        <v>260</v>
      </c>
      <c r="L53" s="76" t="s">
        <v>40</v>
      </c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>
        <v>2018</v>
      </c>
      <c r="AI53" s="1">
        <v>1873</v>
      </c>
      <c r="AJ53" s="1">
        <v>2064.9</v>
      </c>
      <c r="AK53" s="1">
        <v>1830</v>
      </c>
      <c r="AL53" s="1">
        <v>2046.85</v>
      </c>
      <c r="AM53" s="1">
        <v>9914408</v>
      </c>
      <c r="AN53" s="1">
        <v>216276</v>
      </c>
      <c r="AO53" s="1">
        <v>19109405020</v>
      </c>
      <c r="AP53" s="1">
        <v>5049296</v>
      </c>
      <c r="AQ53" s="1">
        <v>50.93</v>
      </c>
      <c r="AR53" s="1">
        <v>234.9</v>
      </c>
      <c r="AS53" s="1">
        <v>173.85</v>
      </c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</row>
    <row r="54" spans="1:80" ht="15.75" customHeight="1">
      <c r="A54" s="1"/>
      <c r="B54" s="73" t="s">
        <v>261</v>
      </c>
      <c r="C54" s="77">
        <v>1.6E-2</v>
      </c>
      <c r="D54" s="77">
        <v>0.14799999999999999</v>
      </c>
      <c r="E54" s="77">
        <v>0.15</v>
      </c>
      <c r="F54" s="77">
        <v>0.122</v>
      </c>
      <c r="G54" s="77">
        <v>0.13500000000000001</v>
      </c>
      <c r="I54" s="78">
        <v>92.81</v>
      </c>
      <c r="J54" s="78">
        <f>N51</f>
        <v>92.36</v>
      </c>
      <c r="K54" s="79">
        <v>91</v>
      </c>
      <c r="L54" s="80">
        <f ca="1">K56/-2</f>
        <v>-10.945054945054945</v>
      </c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</row>
    <row r="55" spans="1:80" ht="15.75" customHeight="1">
      <c r="A55" s="1"/>
      <c r="B55" s="73" t="s">
        <v>32</v>
      </c>
      <c r="C55" s="77">
        <v>1.3599999999999999E-2</v>
      </c>
      <c r="D55" s="77">
        <v>1.4200000000000001E-2</v>
      </c>
      <c r="E55" s="77">
        <v>1.3299999999999999E-2</v>
      </c>
      <c r="F55" s="77">
        <v>1.4E-2</v>
      </c>
      <c r="G55" s="77">
        <v>1.3299999999999999E-2</v>
      </c>
      <c r="I55" s="76" t="s">
        <v>262</v>
      </c>
      <c r="J55" s="76" t="s">
        <v>263</v>
      </c>
      <c r="K55" s="76" t="s">
        <v>263</v>
      </c>
      <c r="L55" s="81"/>
      <c r="T55" s="5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</row>
    <row r="56" spans="1:80" ht="15.75" customHeight="1">
      <c r="A56" s="1"/>
      <c r="I56" s="82">
        <f>C4/I54</f>
        <v>19.696153431742268</v>
      </c>
      <c r="J56" s="82">
        <f ca="1">C3/J54</f>
        <v>21.567778258986575</v>
      </c>
      <c r="K56" s="82">
        <f ca="1">$C$3/K54</f>
        <v>21.890109890109891</v>
      </c>
      <c r="L56" s="83"/>
      <c r="O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</row>
    <row r="57" spans="1:80" ht="15.75" customHeight="1">
      <c r="A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</row>
    <row r="58" spans="1:80" ht="15.75" customHeight="1">
      <c r="A58" s="1"/>
      <c r="B58" s="72" t="s">
        <v>264</v>
      </c>
      <c r="C58" s="72" t="s">
        <v>265</v>
      </c>
      <c r="D58" s="72" t="s">
        <v>243</v>
      </c>
      <c r="E58" s="71" t="s">
        <v>232</v>
      </c>
      <c r="G58" s="72" t="s">
        <v>264</v>
      </c>
      <c r="H58" s="72" t="s">
        <v>266</v>
      </c>
      <c r="I58" s="72" t="s">
        <v>267</v>
      </c>
      <c r="J58" s="71" t="s">
        <v>232</v>
      </c>
      <c r="L58" s="72" t="s">
        <v>264</v>
      </c>
      <c r="M58" s="72" t="s">
        <v>242</v>
      </c>
      <c r="N58" s="72" t="s">
        <v>268</v>
      </c>
      <c r="O58" s="71" t="s">
        <v>232</v>
      </c>
      <c r="Q58" s="72" t="s">
        <v>269</v>
      </c>
      <c r="R58" s="72" t="s">
        <v>265</v>
      </c>
      <c r="S58" s="72" t="s">
        <v>243</v>
      </c>
      <c r="T58" s="72" t="s">
        <v>270</v>
      </c>
      <c r="U58" s="71" t="s">
        <v>232</v>
      </c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</row>
    <row r="59" spans="1:80" ht="15.75" customHeight="1">
      <c r="A59" s="1"/>
      <c r="B59" s="84" t="s">
        <v>44</v>
      </c>
      <c r="C59" s="47">
        <v>133054</v>
      </c>
      <c r="D59" s="47">
        <v>116996</v>
      </c>
      <c r="E59" s="38">
        <f t="shared" ref="E59:E65" si="45">(C59/D59)^(1/1)-1</f>
        <v>0.13725255564292804</v>
      </c>
      <c r="F59" s="85"/>
      <c r="G59" s="84" t="s">
        <v>44</v>
      </c>
      <c r="H59" s="47">
        <v>120268</v>
      </c>
      <c r="I59" s="47">
        <v>124391</v>
      </c>
      <c r="J59" s="38">
        <f t="shared" ref="J59:J65" si="46">(H59/I59)^(1/1)-1</f>
        <v>-3.3145484801955116E-2</v>
      </c>
      <c r="L59" s="84" t="s">
        <v>44</v>
      </c>
      <c r="M59" s="47">
        <v>470915</v>
      </c>
      <c r="N59" s="47">
        <v>407995</v>
      </c>
      <c r="O59" s="38">
        <f t="shared" ref="O59:O65" si="47">(M59/N59)^(1/1)-1</f>
        <v>0.15421757619578669</v>
      </c>
      <c r="Q59" s="84" t="s">
        <v>271</v>
      </c>
      <c r="R59" s="47">
        <v>47708</v>
      </c>
      <c r="S59" s="47">
        <v>44580</v>
      </c>
      <c r="T59" s="74">
        <f t="shared" ref="T59:T63" si="48">R59/$R$65</f>
        <v>0.42519362227391422</v>
      </c>
      <c r="U59" s="38">
        <f t="shared" ref="U59:U63" si="49">(R59/S59)^(1/1)-1</f>
        <v>7.016599371915655E-2</v>
      </c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</row>
    <row r="60" spans="1:80" ht="15.75" customHeight="1">
      <c r="A60" s="1"/>
      <c r="B60" s="84" t="s">
        <v>269</v>
      </c>
      <c r="C60" s="47">
        <v>96891</v>
      </c>
      <c r="D60" s="47">
        <v>91126</v>
      </c>
      <c r="E60" s="38">
        <f t="shared" si="45"/>
        <v>6.3264051971994917E-2</v>
      </c>
      <c r="F60" s="29"/>
      <c r="G60" s="84" t="s">
        <v>269</v>
      </c>
      <c r="H60" s="47">
        <v>90890</v>
      </c>
      <c r="I60" s="47">
        <v>92819</v>
      </c>
      <c r="J60" s="38">
        <f t="shared" si="46"/>
        <v>-2.078238291729062E-2</v>
      </c>
      <c r="L60" s="84" t="s">
        <v>269</v>
      </c>
      <c r="M60" s="47">
        <v>360499</v>
      </c>
      <c r="N60" s="47">
        <v>306407</v>
      </c>
      <c r="O60" s="38">
        <f t="shared" si="47"/>
        <v>0.17653643683075115</v>
      </c>
      <c r="Q60" s="84" t="s">
        <v>272</v>
      </c>
      <c r="R60" s="47">
        <v>8897</v>
      </c>
      <c r="S60" s="47">
        <v>8289</v>
      </c>
      <c r="T60" s="74">
        <f t="shared" si="48"/>
        <v>7.9293780023707031E-2</v>
      </c>
      <c r="U60" s="38">
        <f t="shared" si="49"/>
        <v>7.3350223187356844E-2</v>
      </c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</row>
    <row r="61" spans="1:80" ht="15.75" customHeight="1">
      <c r="A61" s="29"/>
      <c r="B61" s="84" t="s">
        <v>273</v>
      </c>
      <c r="C61" s="47">
        <v>15313</v>
      </c>
      <c r="D61" s="47">
        <v>3143</v>
      </c>
      <c r="E61" s="38">
        <f t="shared" si="45"/>
        <v>3.8720967228762326</v>
      </c>
      <c r="G61" s="84" t="s">
        <v>273</v>
      </c>
      <c r="H61" s="47">
        <v>3805</v>
      </c>
      <c r="I61" s="47">
        <v>13810</v>
      </c>
      <c r="J61" s="38">
        <f t="shared" si="46"/>
        <v>-0.72447501810282411</v>
      </c>
      <c r="L61" s="84" t="s">
        <v>273</v>
      </c>
      <c r="M61" s="47">
        <v>14175</v>
      </c>
      <c r="N61" s="47">
        <v>25018</v>
      </c>
      <c r="O61" s="38">
        <f t="shared" si="47"/>
        <v>-0.4334079462786794</v>
      </c>
      <c r="Q61" s="84" t="s">
        <v>274</v>
      </c>
      <c r="R61" s="47">
        <v>28073</v>
      </c>
      <c r="S61" s="47">
        <v>26752</v>
      </c>
      <c r="T61" s="74">
        <f t="shared" si="48"/>
        <v>0.25019830129319182</v>
      </c>
      <c r="U61" s="38">
        <f t="shared" si="49"/>
        <v>4.9379485645933086E-2</v>
      </c>
      <c r="W61" s="2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</row>
    <row r="62" spans="1:80" ht="15.75" customHeight="1">
      <c r="A62" s="29"/>
      <c r="B62" s="13" t="s">
        <v>275</v>
      </c>
      <c r="C62" s="8">
        <f t="shared" ref="C62:D62" si="50">SUM(C60:C61)</f>
        <v>112204</v>
      </c>
      <c r="D62" s="8">
        <f t="shared" si="50"/>
        <v>94269</v>
      </c>
      <c r="E62" s="38">
        <f t="shared" si="45"/>
        <v>0.19025342371299159</v>
      </c>
      <c r="G62" s="13" t="s">
        <v>275</v>
      </c>
      <c r="H62" s="8">
        <f t="shared" ref="H62:I62" si="51">SUM(H60:H61)</f>
        <v>94695</v>
      </c>
      <c r="I62" s="8">
        <f t="shared" si="51"/>
        <v>106629</v>
      </c>
      <c r="J62" s="38">
        <f t="shared" si="46"/>
        <v>-0.11192077202262052</v>
      </c>
      <c r="L62" s="13" t="s">
        <v>275</v>
      </c>
      <c r="M62" s="8">
        <f t="shared" ref="M62:N62" si="52">SUM(M60:M61)</f>
        <v>374674</v>
      </c>
      <c r="N62" s="8">
        <f t="shared" si="52"/>
        <v>331425</v>
      </c>
      <c r="O62" s="38">
        <f t="shared" si="47"/>
        <v>0.13049407859998485</v>
      </c>
      <c r="Q62" s="84" t="s">
        <v>276</v>
      </c>
      <c r="R62" s="47">
        <v>12212</v>
      </c>
      <c r="S62" s="47">
        <v>11505</v>
      </c>
      <c r="T62" s="74">
        <f t="shared" si="48"/>
        <v>0.10883844460486797</v>
      </c>
      <c r="U62" s="38">
        <f t="shared" si="49"/>
        <v>6.1451542807475112E-2</v>
      </c>
      <c r="W62" s="2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</row>
    <row r="63" spans="1:80" ht="15.75" customHeight="1">
      <c r="A63" s="29"/>
      <c r="B63" s="73" t="s">
        <v>277</v>
      </c>
      <c r="C63" s="47">
        <v>16258</v>
      </c>
      <c r="D63" s="47">
        <v>16475</v>
      </c>
      <c r="E63" s="38">
        <f t="shared" si="45"/>
        <v>-1.3171471927162393E-2</v>
      </c>
      <c r="G63" s="73" t="s">
        <v>277</v>
      </c>
      <c r="H63" s="47">
        <v>18835</v>
      </c>
      <c r="I63" s="47">
        <v>17622</v>
      </c>
      <c r="J63" s="38">
        <f t="shared" si="46"/>
        <v>6.883441153104064E-2</v>
      </c>
      <c r="L63" s="73" t="s">
        <v>277</v>
      </c>
      <c r="M63" s="47">
        <v>70792</v>
      </c>
      <c r="N63" s="47">
        <v>64062</v>
      </c>
      <c r="O63" s="38">
        <f t="shared" si="47"/>
        <v>0.10505447847397842</v>
      </c>
      <c r="Q63" s="13" t="s">
        <v>273</v>
      </c>
      <c r="R63" s="47">
        <v>15313</v>
      </c>
      <c r="S63" s="47">
        <v>3143</v>
      </c>
      <c r="T63" s="74">
        <f t="shared" si="48"/>
        <v>0.13647585180431895</v>
      </c>
      <c r="U63" s="38">
        <f t="shared" si="49"/>
        <v>3.8720967228762326</v>
      </c>
      <c r="W63" s="2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 t="s">
        <v>278</v>
      </c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</row>
    <row r="64" spans="1:80" ht="15.75" customHeight="1">
      <c r="A64" s="29"/>
      <c r="B64" s="73" t="s">
        <v>17</v>
      </c>
      <c r="C64" s="47">
        <v>765</v>
      </c>
      <c r="D64" s="47">
        <v>760</v>
      </c>
      <c r="E64" s="38">
        <f t="shared" si="45"/>
        <v>6.5789473684210176E-3</v>
      </c>
      <c r="G64" s="73" t="s">
        <v>17</v>
      </c>
      <c r="H64" s="47">
        <v>765</v>
      </c>
      <c r="I64" s="47">
        <v>759</v>
      </c>
      <c r="J64" s="38">
        <f t="shared" si="46"/>
        <v>7.905138339920903E-3</v>
      </c>
      <c r="L64" s="73" t="s">
        <v>17</v>
      </c>
      <c r="M64" s="47">
        <v>765</v>
      </c>
      <c r="N64" s="47">
        <v>759</v>
      </c>
      <c r="O64" s="38">
        <f t="shared" si="47"/>
        <v>7.905138339920903E-3</v>
      </c>
      <c r="Q64" s="73"/>
      <c r="R64" s="47"/>
      <c r="S64" s="47"/>
      <c r="T64" s="13"/>
      <c r="U64" s="38"/>
      <c r="W64" s="2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</row>
    <row r="65" spans="1:80" ht="15.75" customHeight="1">
      <c r="A65" s="29"/>
      <c r="B65" s="73" t="s">
        <v>46</v>
      </c>
      <c r="C65" s="84">
        <v>21.23</v>
      </c>
      <c r="D65" s="84">
        <v>21.67</v>
      </c>
      <c r="E65" s="38">
        <f t="shared" si="45"/>
        <v>-2.0304568527918843E-2</v>
      </c>
      <c r="G65" s="73" t="s">
        <v>46</v>
      </c>
      <c r="H65" s="84">
        <v>24.62</v>
      </c>
      <c r="I65" s="84">
        <v>23.2</v>
      </c>
      <c r="J65" s="38">
        <f t="shared" si="46"/>
        <v>6.1206896551724288E-2</v>
      </c>
      <c r="L65" s="73" t="s">
        <v>46</v>
      </c>
      <c r="M65" s="84">
        <v>92.81</v>
      </c>
      <c r="N65" s="84">
        <v>90.42</v>
      </c>
      <c r="O65" s="38">
        <f t="shared" si="47"/>
        <v>2.6432205264321995E-2</v>
      </c>
      <c r="Q65" s="86" t="s">
        <v>279</v>
      </c>
      <c r="R65" s="87">
        <f t="shared" ref="R65:S65" si="53">SUM(R59:R63)</f>
        <v>112203</v>
      </c>
      <c r="S65" s="87">
        <f t="shared" si="53"/>
        <v>94269</v>
      </c>
      <c r="T65" s="88">
        <f>R65/$R$65</f>
        <v>1</v>
      </c>
      <c r="U65" s="89">
        <f>(R65/S65)^(1/1)-1</f>
        <v>0.19024281577188673</v>
      </c>
      <c r="W65" s="2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</row>
    <row r="66" spans="1:80" ht="15.75" customHeight="1">
      <c r="A66" s="29"/>
      <c r="B66" s="73" t="s">
        <v>280</v>
      </c>
      <c r="C66" s="90">
        <v>1.4E-2</v>
      </c>
      <c r="D66" s="90">
        <v>1.3299999999999999E-2</v>
      </c>
      <c r="E66" s="91">
        <f t="shared" ref="E66:E67" si="54">C66-D66</f>
        <v>7.0000000000000097E-4</v>
      </c>
      <c r="G66" s="73" t="s">
        <v>280</v>
      </c>
      <c r="H66" s="90">
        <v>1.3299999999999999E-2</v>
      </c>
      <c r="I66" s="90">
        <v>1.24E-2</v>
      </c>
      <c r="J66" s="91">
        <f t="shared" ref="J66:J67" si="55">H66-I66</f>
        <v>8.9999999999999976E-4</v>
      </c>
      <c r="L66" s="73" t="s">
        <v>280</v>
      </c>
      <c r="M66" s="90">
        <v>1.3299999999999999E-2</v>
      </c>
      <c r="N66" s="90">
        <v>1.24E-2</v>
      </c>
      <c r="O66" s="91">
        <f t="shared" ref="O66:O67" si="56">M66-N66</f>
        <v>8.9999999999999976E-4</v>
      </c>
      <c r="W66" s="2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</row>
    <row r="67" spans="1:80" ht="15.75" customHeight="1">
      <c r="A67" s="1"/>
      <c r="B67" s="73" t="s">
        <v>281</v>
      </c>
      <c r="C67" s="38">
        <f t="shared" ref="C67:D67" si="57">C63/C59</f>
        <v>0.12219099012431044</v>
      </c>
      <c r="D67" s="38">
        <f t="shared" si="57"/>
        <v>0.14081678006085679</v>
      </c>
      <c r="E67" s="38">
        <f t="shared" si="54"/>
        <v>-1.8625789936546358E-2</v>
      </c>
      <c r="G67" s="73" t="s">
        <v>281</v>
      </c>
      <c r="H67" s="38">
        <f t="shared" ref="H67:I67" si="58">H63/H59</f>
        <v>0.15660857418432167</v>
      </c>
      <c r="I67" s="38">
        <f t="shared" si="58"/>
        <v>0.14166619771526878</v>
      </c>
      <c r="J67" s="38">
        <f t="shared" si="55"/>
        <v>1.4942376469052887E-2</v>
      </c>
      <c r="L67" s="73" t="s">
        <v>281</v>
      </c>
      <c r="M67" s="38">
        <f t="shared" ref="M67:N67" si="59">M63/M59</f>
        <v>0.15032861556756527</v>
      </c>
      <c r="N67" s="38">
        <f t="shared" si="59"/>
        <v>0.15701663010576111</v>
      </c>
      <c r="O67" s="38">
        <f t="shared" si="56"/>
        <v>-6.6880145381958411E-3</v>
      </c>
      <c r="W67" s="2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>
        <f>(100*BU47)/BC26</f>
        <v>169.88738738738738</v>
      </c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</row>
    <row r="68" spans="1:80" ht="15.75" customHeight="1">
      <c r="A68" s="1"/>
      <c r="M68" s="21"/>
      <c r="W68" s="2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</row>
    <row r="69" spans="1:80" ht="15.75" customHeight="1">
      <c r="A69" s="1"/>
      <c r="B69" s="92" t="s">
        <v>282</v>
      </c>
      <c r="C69" s="6" t="s">
        <v>21</v>
      </c>
      <c r="D69" s="93" t="s">
        <v>113</v>
      </c>
      <c r="E69" s="93" t="s">
        <v>45</v>
      </c>
      <c r="F69" s="93" t="s">
        <v>46</v>
      </c>
      <c r="G69" s="93" t="s">
        <v>261</v>
      </c>
      <c r="M69" s="21"/>
      <c r="Q69" s="72" t="s">
        <v>283</v>
      </c>
      <c r="R69" s="72" t="s">
        <v>284</v>
      </c>
      <c r="S69" s="72" t="s">
        <v>285</v>
      </c>
      <c r="T69" s="72" t="s">
        <v>277</v>
      </c>
      <c r="U69" s="72" t="s">
        <v>54</v>
      </c>
      <c r="V69" s="94" t="s">
        <v>46</v>
      </c>
      <c r="W69" s="94" t="s">
        <v>286</v>
      </c>
      <c r="X69" s="94" t="s">
        <v>287</v>
      </c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</row>
    <row r="70" spans="1:80" ht="15.75" customHeight="1">
      <c r="A70" s="1"/>
      <c r="B70" s="95" t="s">
        <v>288</v>
      </c>
      <c r="C70" s="96">
        <v>7.0000000000000007E-2</v>
      </c>
      <c r="D70" s="97">
        <v>0.09</v>
      </c>
      <c r="E70" s="97">
        <f>(E74/E40)-1</f>
        <v>-2.2642353355783351E-2</v>
      </c>
      <c r="F70" s="97">
        <v>-0.02</v>
      </c>
      <c r="G70" s="98">
        <v>0.13500000000000001</v>
      </c>
      <c r="M70" s="99"/>
      <c r="Q70" s="13" t="s">
        <v>289</v>
      </c>
      <c r="R70" s="100">
        <v>0.94540000000000002</v>
      </c>
      <c r="S70" s="47">
        <v>3500</v>
      </c>
      <c r="T70" s="47">
        <v>590</v>
      </c>
      <c r="U70" s="47">
        <v>187.4</v>
      </c>
      <c r="V70" s="101">
        <v>7.4</v>
      </c>
      <c r="W70" s="102">
        <v>0.27</v>
      </c>
      <c r="X70" s="10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</row>
    <row r="71" spans="1:80" ht="16.5" customHeight="1">
      <c r="A71" s="1"/>
      <c r="B71" s="93" t="s">
        <v>290</v>
      </c>
      <c r="C71" s="96">
        <v>0.15</v>
      </c>
      <c r="D71" s="97">
        <v>0.15</v>
      </c>
      <c r="E71" s="97">
        <v>0.15</v>
      </c>
      <c r="F71" s="97">
        <v>0.15</v>
      </c>
      <c r="G71" s="98">
        <v>0.17199999999999999</v>
      </c>
      <c r="M71" s="27"/>
      <c r="N71" s="21"/>
      <c r="O71" s="21"/>
      <c r="P71" s="21"/>
      <c r="Q71" s="13" t="s">
        <v>291</v>
      </c>
      <c r="R71" s="100">
        <v>0.50339999999999996</v>
      </c>
      <c r="S71" s="47">
        <v>5600</v>
      </c>
      <c r="T71" s="47">
        <v>430</v>
      </c>
      <c r="U71" s="47">
        <v>72.400000000000006</v>
      </c>
      <c r="V71" s="103">
        <v>2</v>
      </c>
      <c r="W71" s="104">
        <v>0.12</v>
      </c>
      <c r="X71" s="104">
        <v>0.15</v>
      </c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</row>
    <row r="72" spans="1:80" ht="16.5" customHeight="1">
      <c r="A72" s="1"/>
      <c r="G72" s="21"/>
      <c r="Q72" s="13" t="s">
        <v>292</v>
      </c>
      <c r="R72" s="100">
        <v>0.50480000000000003</v>
      </c>
      <c r="S72" s="47">
        <v>2800</v>
      </c>
      <c r="T72" s="47">
        <v>200</v>
      </c>
      <c r="U72" s="47">
        <v>65.7</v>
      </c>
      <c r="V72" s="105">
        <v>2.8</v>
      </c>
      <c r="W72" s="106">
        <v>-0.04</v>
      </c>
      <c r="X72" s="105">
        <v>-20</v>
      </c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</row>
    <row r="73" spans="1:80" ht="15.75" customHeight="1">
      <c r="A73" s="1"/>
      <c r="B73" s="68" t="s">
        <v>43</v>
      </c>
      <c r="C73" s="6" t="s">
        <v>21</v>
      </c>
      <c r="D73" s="5" t="s">
        <v>44</v>
      </c>
      <c r="E73" s="5" t="s">
        <v>45</v>
      </c>
      <c r="F73" s="5" t="s">
        <v>46</v>
      </c>
      <c r="G73" s="5" t="s">
        <v>293</v>
      </c>
      <c r="H73" s="5" t="s">
        <v>294</v>
      </c>
      <c r="I73" s="5" t="s">
        <v>295</v>
      </c>
      <c r="J73" s="107"/>
      <c r="K73" s="5" t="s">
        <v>54</v>
      </c>
      <c r="L73" s="5" t="s">
        <v>293</v>
      </c>
      <c r="M73" s="5" t="s">
        <v>294</v>
      </c>
      <c r="N73" s="5" t="s">
        <v>295</v>
      </c>
      <c r="Q73" s="13" t="s">
        <v>296</v>
      </c>
      <c r="R73" s="100">
        <v>0.52510000000000001</v>
      </c>
      <c r="S73" s="13">
        <v>200</v>
      </c>
      <c r="T73" s="108">
        <v>580</v>
      </c>
      <c r="U73" s="108">
        <v>318.3</v>
      </c>
      <c r="V73" s="109">
        <v>27</v>
      </c>
      <c r="W73" s="110">
        <v>0.38</v>
      </c>
      <c r="X73" s="110">
        <v>0.32</v>
      </c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</row>
    <row r="74" spans="1:80" ht="15.75" customHeight="1">
      <c r="A74" s="1"/>
      <c r="B74" s="111" t="s">
        <v>297</v>
      </c>
      <c r="C74" s="112">
        <f t="shared" ref="C74:D74" si="60">FV(C70,1,0,-C40,0)</f>
        <v>2915683.66</v>
      </c>
      <c r="D74" s="112">
        <f t="shared" si="60"/>
        <v>462217.77</v>
      </c>
      <c r="E74" s="112">
        <f t="shared" ref="E74:E75" si="61">D74*G70</f>
        <v>62399.39895000001</v>
      </c>
      <c r="F74" s="112">
        <f>FV(F70,1,0,-F40,0)</f>
        <v>90.953800000000001</v>
      </c>
      <c r="G74" s="113">
        <f t="shared" ref="G74:G76" si="62">F74*AVERAGE($M$44:$M$48)</f>
        <v>1509.114445179021</v>
      </c>
      <c r="H74" s="114">
        <f t="shared" ref="H74:H76" si="63">AVERAGE(G74,I74)</f>
        <v>1857.6880273318025</v>
      </c>
      <c r="I74" s="113">
        <f t="shared" ref="I74:I76" si="64">F74*AVERAGE($N$44:$N$48)</f>
        <v>2206.2616094845839</v>
      </c>
      <c r="J74" s="107"/>
      <c r="K74" s="115">
        <f>(F74*80%)+O40</f>
        <v>754.84016418300655</v>
      </c>
      <c r="L74" s="113">
        <f t="shared" ref="L74:L76" si="65">K74*AVERAGE($P$44:$P$48)</f>
        <v>1934.4665387600212</v>
      </c>
      <c r="M74" s="114">
        <f t="shared" ref="M74:M76" si="66">AVERAGE(L74,N74)</f>
        <v>2388.4827268848389</v>
      </c>
      <c r="N74" s="113">
        <f t="shared" ref="N74:N76" si="67">K74*AVERAGE($Q$44:$Q$48)</f>
        <v>2842.4989150096567</v>
      </c>
      <c r="Q74" s="13" t="s">
        <v>298</v>
      </c>
      <c r="R74" s="100">
        <v>0.94889999999999997</v>
      </c>
      <c r="S74" s="47">
        <v>1300</v>
      </c>
      <c r="T74" s="47">
        <v>320</v>
      </c>
      <c r="U74" s="47">
        <v>1793</v>
      </c>
      <c r="V74" s="116">
        <v>178.5</v>
      </c>
      <c r="W74" s="117">
        <v>0.51</v>
      </c>
      <c r="X74" s="117">
        <v>0.47</v>
      </c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</row>
    <row r="75" spans="1:80" ht="15.75" customHeight="1">
      <c r="A75" s="1"/>
      <c r="B75" s="118" t="s">
        <v>299</v>
      </c>
      <c r="C75" s="112">
        <f t="shared" ref="C75:D75" si="68">FV(C71,4,0,-C74,0)</f>
        <v>5099548.9443628732</v>
      </c>
      <c r="D75" s="112">
        <f t="shared" si="68"/>
        <v>808421.76859106228</v>
      </c>
      <c r="E75" s="112">
        <f t="shared" si="61"/>
        <v>139048.5441976627</v>
      </c>
      <c r="F75" s="112">
        <f>(E75*F74)/E74</f>
        <v>202.67812979062953</v>
      </c>
      <c r="G75" s="113">
        <f t="shared" si="62"/>
        <v>3362.8555749062434</v>
      </c>
      <c r="H75" s="114">
        <f t="shared" si="63"/>
        <v>4139.6042288948192</v>
      </c>
      <c r="I75" s="113">
        <f t="shared" si="64"/>
        <v>4916.3528828833942</v>
      </c>
      <c r="J75" s="107"/>
      <c r="K75" s="115">
        <f>FV(10%,4,0,-K74,0)</f>
        <v>1105.1614843803402</v>
      </c>
      <c r="L75" s="113">
        <f t="shared" si="65"/>
        <v>2832.2524593985477</v>
      </c>
      <c r="M75" s="114">
        <f t="shared" si="66"/>
        <v>3496.9775604320939</v>
      </c>
      <c r="N75" s="113">
        <f t="shared" si="67"/>
        <v>4161.7026614656397</v>
      </c>
      <c r="Q75" s="13" t="s">
        <v>144</v>
      </c>
      <c r="R75" s="100"/>
      <c r="S75" s="47">
        <v>500</v>
      </c>
      <c r="T75" s="47">
        <f>0.4*100</f>
        <v>40</v>
      </c>
      <c r="U75" s="47"/>
      <c r="V75" s="116"/>
      <c r="W75" s="117"/>
      <c r="X75" s="117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</row>
    <row r="76" spans="1:80" ht="15.75" customHeight="1" thickBot="1">
      <c r="A76" s="1"/>
      <c r="B76" s="118" t="s">
        <v>300</v>
      </c>
      <c r="C76" s="112">
        <f t="shared" ref="C76:F76" si="69">FV(12%,5,0,(-C75),0)</f>
        <v>8987147.670169251</v>
      </c>
      <c r="D76" s="112">
        <f t="shared" si="69"/>
        <v>1424715.3803942939</v>
      </c>
      <c r="E76" s="112">
        <f t="shared" si="69"/>
        <v>245051.04542781855</v>
      </c>
      <c r="F76" s="112">
        <f t="shared" si="69"/>
        <v>357.18811640304619</v>
      </c>
      <c r="G76" s="113">
        <f t="shared" si="62"/>
        <v>5926.5005542387735</v>
      </c>
      <c r="H76" s="114">
        <f t="shared" si="63"/>
        <v>7295.3970845323347</v>
      </c>
      <c r="I76" s="113">
        <f t="shared" si="64"/>
        <v>8664.2936148258959</v>
      </c>
      <c r="J76" s="107"/>
      <c r="K76" s="115">
        <f>FV(10%,5,0,-K75,0)</f>
        <v>1779.8736222093823</v>
      </c>
      <c r="L76" s="113">
        <f t="shared" si="65"/>
        <v>4561.3709083859567</v>
      </c>
      <c r="M76" s="114">
        <f t="shared" si="66"/>
        <v>5631.9173308514928</v>
      </c>
      <c r="N76" s="113">
        <f t="shared" si="67"/>
        <v>6702.4637533170289</v>
      </c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</row>
    <row r="77" spans="1:80" ht="15.75" customHeight="1" thickTop="1">
      <c r="A77" s="1"/>
      <c r="D77" s="29"/>
      <c r="E77" s="1"/>
      <c r="F77" s="1"/>
      <c r="G77" s="1"/>
      <c r="Q77" s="119" t="s">
        <v>279</v>
      </c>
      <c r="R77" s="119"/>
      <c r="S77" s="120">
        <f t="shared" ref="S77:V77" si="70">SUM(S70:S75)</f>
        <v>13900</v>
      </c>
      <c r="T77" s="120">
        <f t="shared" si="70"/>
        <v>2160</v>
      </c>
      <c r="U77" s="120">
        <f t="shared" si="70"/>
        <v>2436.8000000000002</v>
      </c>
      <c r="V77" s="120">
        <f t="shared" si="70"/>
        <v>217.7</v>
      </c>
      <c r="W77" s="120"/>
      <c r="X77" s="1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</row>
    <row r="78" spans="1:80" ht="15.75" customHeight="1">
      <c r="A78" s="1"/>
      <c r="B78" s="122" t="s">
        <v>301</v>
      </c>
      <c r="C78" s="122" t="s">
        <v>301</v>
      </c>
      <c r="D78" s="123" t="s">
        <v>302</v>
      </c>
      <c r="E78" s="122" t="s">
        <v>303</v>
      </c>
      <c r="F78" s="122" t="s">
        <v>304</v>
      </c>
      <c r="G78" s="122" t="s">
        <v>305</v>
      </c>
      <c r="H78" s="122" t="s">
        <v>306</v>
      </c>
      <c r="I78" s="122" t="s">
        <v>307</v>
      </c>
      <c r="K78" s="71" t="s">
        <v>308</v>
      </c>
      <c r="L78" s="71" t="s">
        <v>309</v>
      </c>
      <c r="M78" s="72" t="s">
        <v>310</v>
      </c>
      <c r="N78" s="72" t="s">
        <v>311</v>
      </c>
      <c r="O78" s="72" t="s">
        <v>312</v>
      </c>
      <c r="W78" s="21"/>
      <c r="X78" s="2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</row>
    <row r="79" spans="1:80" ht="15.75" customHeight="1">
      <c r="A79" s="1"/>
      <c r="B79" s="124" t="s">
        <v>303</v>
      </c>
      <c r="C79" s="124" t="s">
        <v>27</v>
      </c>
      <c r="D79" s="125">
        <f ca="1">IFERROR(__xludf.DUMMYFUNCTION("GOOGLEFINANCE(""NSE:""&amp;C79,""price"")"),1992)</f>
        <v>1992</v>
      </c>
      <c r="E79" s="126">
        <v>0.05</v>
      </c>
      <c r="F79" s="126">
        <f ca="1">IF(D79&gt;=I74, E79/2, IF(D79&lt;=G74, E79, E79/2 + ((I74 - D79) / (I74 - G74)) * E79/2))</f>
        <v>3.2683514344421551E-2</v>
      </c>
      <c r="G79" s="127">
        <f ca="1">IF(D79&gt;=N74, E79/2, IF(D79&lt;=L74, E79, E79/2 + ((N74 - D79) / (N74 - L74)) * E79/2))</f>
        <v>4.8415985411291058E-2</v>
      </c>
      <c r="H79" s="128">
        <f ca="1">E79-((K56+2)%*E79)</f>
        <v>3.8054945054945055E-2</v>
      </c>
      <c r="I79" s="129">
        <f ca="1">AVERAGE(F79:H79)</f>
        <v>3.9718148270219224E-2</v>
      </c>
      <c r="K79" s="84" t="s">
        <v>313</v>
      </c>
      <c r="L79" s="130">
        <v>0.28299999999999997</v>
      </c>
      <c r="M79" s="130">
        <v>0.25729999999999997</v>
      </c>
      <c r="N79" s="77">
        <v>0.25519999999999998</v>
      </c>
      <c r="O79" s="77">
        <v>0</v>
      </c>
      <c r="W79" s="2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</row>
    <row r="80" spans="1:80" ht="15.75" customHeight="1">
      <c r="A80" s="1"/>
      <c r="C80" s="69"/>
      <c r="D80" s="1"/>
      <c r="E80" s="1"/>
      <c r="F80" s="1"/>
      <c r="G80" s="21"/>
      <c r="K80" s="84" t="s">
        <v>314</v>
      </c>
      <c r="L80" s="130">
        <v>4.53E-2</v>
      </c>
      <c r="M80" s="130">
        <f>18.03%+0.36%+0.73%+7.95%</f>
        <v>0.2707</v>
      </c>
      <c r="N80" s="77">
        <v>0.26989999999999997</v>
      </c>
      <c r="O80" s="77">
        <v>0.27</v>
      </c>
      <c r="W80" s="2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</row>
    <row r="81" spans="1:80" ht="15.75" customHeight="1">
      <c r="A81" s="1"/>
      <c r="C81" s="69"/>
      <c r="D81" s="1"/>
      <c r="E81" s="1"/>
      <c r="F81" s="1"/>
      <c r="G81" s="21"/>
      <c r="I81" s="21"/>
      <c r="J81" s="21"/>
      <c r="K81" s="84" t="s">
        <v>315</v>
      </c>
      <c r="L81" s="130">
        <v>0.17199999999999999</v>
      </c>
      <c r="M81" s="130">
        <f>32.31%</f>
        <v>0.3231</v>
      </c>
      <c r="N81" s="77">
        <v>0.33379999999999999</v>
      </c>
      <c r="O81" s="77">
        <v>0.41699999999999998</v>
      </c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</row>
    <row r="82" spans="1:80" ht="15.75" customHeight="1">
      <c r="A82" s="1"/>
      <c r="C82" s="69"/>
      <c r="D82" s="1"/>
      <c r="E82" s="1"/>
      <c r="F82" s="1"/>
      <c r="G82" s="21"/>
      <c r="K82" s="84" t="s">
        <v>316</v>
      </c>
      <c r="L82" s="130">
        <v>0.14000000000000001</v>
      </c>
      <c r="M82" s="130">
        <v>2.5999999999999999E-2</v>
      </c>
      <c r="N82" s="100">
        <v>2.5000000000000001E-2</v>
      </c>
      <c r="O82" s="74">
        <v>4.5999999999999999E-2</v>
      </c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</row>
    <row r="83" spans="1:80" ht="15.75" customHeight="1">
      <c r="A83" s="1"/>
      <c r="C83" s="69"/>
      <c r="D83" s="1"/>
      <c r="E83" s="1"/>
      <c r="F83" s="1"/>
      <c r="G83" s="21"/>
      <c r="K83" s="84" t="s">
        <v>317</v>
      </c>
      <c r="L83" s="130">
        <f>26%+10%</f>
        <v>0.36</v>
      </c>
      <c r="M83" s="130">
        <f>10.78%+1.55%</f>
        <v>0.12329999999999999</v>
      </c>
      <c r="N83" s="100">
        <v>0.1162</v>
      </c>
      <c r="O83" s="77">
        <v>0.13</v>
      </c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</row>
    <row r="84" spans="1:80" ht="15.75" customHeight="1">
      <c r="A84" s="1"/>
      <c r="C84" s="69"/>
      <c r="D84" s="1"/>
      <c r="E84" s="1"/>
      <c r="F84" s="1"/>
      <c r="G84" s="1"/>
      <c r="K84" s="16" t="s">
        <v>318</v>
      </c>
      <c r="L84" s="13"/>
      <c r="M84" s="16"/>
      <c r="N84" s="16"/>
      <c r="O84" s="100">
        <v>0.13500000000000001</v>
      </c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</row>
    <row r="85" spans="1:80" ht="15.75" customHeight="1">
      <c r="A85" s="1"/>
      <c r="C85" s="69"/>
      <c r="D85" s="1"/>
      <c r="E85" s="1"/>
      <c r="F85" s="1"/>
      <c r="G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</row>
    <row r="86" spans="1:80" ht="15.75" customHeight="1">
      <c r="A86" s="1"/>
      <c r="C86" s="69"/>
      <c r="D86" s="1"/>
      <c r="E86" s="1"/>
      <c r="F86" s="1"/>
      <c r="G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</row>
    <row r="87" spans="1:80" ht="15.75" customHeight="1">
      <c r="A87" s="1"/>
      <c r="C87" s="69"/>
      <c r="D87" s="1"/>
      <c r="E87" s="1"/>
      <c r="F87" s="1"/>
      <c r="G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</row>
    <row r="88" spans="1:80" ht="15.75" customHeight="1">
      <c r="A88" s="1"/>
      <c r="B88" s="1"/>
      <c r="C88" s="1"/>
      <c r="D88" s="1"/>
      <c r="E88" s="1"/>
      <c r="F88" s="1"/>
      <c r="G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</row>
    <row r="89" spans="1:80" ht="15.75" customHeight="1">
      <c r="A89" s="1"/>
      <c r="B89" s="1"/>
      <c r="C89" s="1"/>
      <c r="D89" s="1"/>
      <c r="E89" s="1"/>
      <c r="F89" s="1"/>
      <c r="G89" s="1"/>
      <c r="H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</row>
    <row r="90" spans="1:80" ht="15.75" customHeight="1">
      <c r="A90" s="1"/>
      <c r="B90" s="1"/>
      <c r="C90" s="1"/>
      <c r="D90" s="1"/>
      <c r="E90" s="1"/>
      <c r="F90" s="1"/>
      <c r="G90" s="1"/>
      <c r="H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</row>
    <row r="91" spans="1:80" ht="15.75" customHeight="1">
      <c r="A91" s="1"/>
      <c r="B91" s="1"/>
      <c r="C91" s="1"/>
      <c r="D91" s="1"/>
      <c r="E91" s="1"/>
      <c r="F91" s="1"/>
      <c r="G91" s="1"/>
      <c r="H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</row>
    <row r="92" spans="1:80" ht="15.75" customHeight="1">
      <c r="A92" s="1"/>
      <c r="B92" s="1"/>
      <c r="C92" s="1"/>
      <c r="D92" s="1"/>
      <c r="E92" s="1"/>
      <c r="F92" s="1"/>
      <c r="G92" s="1"/>
      <c r="H92" s="1"/>
      <c r="I92" s="131"/>
      <c r="J92" s="131"/>
      <c r="K92" s="131"/>
      <c r="L92" s="131"/>
      <c r="M92" s="132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</row>
    <row r="93" spans="1:80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</row>
    <row r="94" spans="1:80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</row>
    <row r="95" spans="1:80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</row>
    <row r="96" spans="1:80" ht="15.75" customHeight="1">
      <c r="A96" s="1"/>
      <c r="B96" s="133" t="s">
        <v>319</v>
      </c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</row>
    <row r="97" spans="1:80" ht="15.75" customHeight="1">
      <c r="A97" s="1"/>
      <c r="B97" s="135"/>
      <c r="C97" s="136"/>
      <c r="D97" s="136"/>
      <c r="E97" s="136"/>
      <c r="F97" s="136"/>
      <c r="G97" s="136"/>
      <c r="H97" s="136"/>
      <c r="I97" s="136"/>
      <c r="J97" s="136"/>
      <c r="K97" s="136"/>
      <c r="L97" s="136"/>
      <c r="M97" s="136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</row>
    <row r="98" spans="1:80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</row>
    <row r="99" spans="1:80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</row>
    <row r="100" spans="1:8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</row>
    <row r="101" spans="1:80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</row>
    <row r="102" spans="1:80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</row>
    <row r="103" spans="1:80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</row>
    <row r="104" spans="1:80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</row>
    <row r="105" spans="1:80" ht="15.75" customHeight="1">
      <c r="A105" s="1"/>
      <c r="B105" s="21"/>
      <c r="C105" s="21"/>
      <c r="D105" s="21"/>
      <c r="E105" s="21"/>
      <c r="F105" s="2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</row>
    <row r="106" spans="1:80" ht="15.75" customHeight="1">
      <c r="A106" s="1"/>
      <c r="B106" s="21"/>
      <c r="C106" s="21"/>
      <c r="D106" s="21"/>
      <c r="E106" s="21"/>
      <c r="F106" s="2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</row>
    <row r="107" spans="1:80" ht="15.75" customHeight="1">
      <c r="A107" s="1"/>
      <c r="B107" s="21"/>
      <c r="C107" s="21"/>
      <c r="D107" s="21"/>
      <c r="E107" s="21"/>
      <c r="F107" s="2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</row>
    <row r="108" spans="1:80" ht="15.75" customHeight="1">
      <c r="A108" s="1"/>
      <c r="B108" s="21"/>
      <c r="C108" s="21"/>
      <c r="D108" s="21"/>
      <c r="E108" s="21"/>
      <c r="F108" s="2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</row>
    <row r="109" spans="1:80" ht="15.75" customHeight="1">
      <c r="A109" s="1"/>
      <c r="B109" s="21"/>
      <c r="C109" s="137"/>
      <c r="D109" s="137"/>
      <c r="E109" s="21"/>
      <c r="F109" s="2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</row>
    <row r="110" spans="1:80" ht="15.75" customHeight="1">
      <c r="A110" s="1"/>
      <c r="B110" s="21"/>
      <c r="C110" s="138"/>
      <c r="D110" s="138"/>
      <c r="E110" s="21"/>
      <c r="F110" s="2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</row>
    <row r="111" spans="1:80" ht="15.75" customHeight="1">
      <c r="A111" s="1"/>
      <c r="B111" s="21"/>
      <c r="C111" s="138"/>
      <c r="D111" s="138"/>
      <c r="E111" s="21"/>
      <c r="F111" s="2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</row>
    <row r="112" spans="1:80" ht="15.75" customHeight="1">
      <c r="A112" s="1"/>
      <c r="B112" s="21"/>
      <c r="C112" s="138"/>
      <c r="D112" s="138"/>
      <c r="E112" s="21"/>
      <c r="F112" s="2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</row>
    <row r="113" spans="1:80" ht="15.75" customHeight="1">
      <c r="A113" s="1"/>
      <c r="B113" s="21"/>
      <c r="C113" s="21"/>
      <c r="D113" s="21"/>
      <c r="E113" s="21"/>
      <c r="F113" s="2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</row>
    <row r="114" spans="1:80" ht="15.75" customHeight="1">
      <c r="A114" s="1"/>
      <c r="B114" s="21"/>
      <c r="C114" s="138"/>
      <c r="D114" s="138"/>
      <c r="E114" s="21"/>
      <c r="F114" s="2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</row>
    <row r="115" spans="1:80" ht="15.75" customHeight="1">
      <c r="A115" s="1"/>
      <c r="C115" s="21"/>
      <c r="D115" s="21"/>
      <c r="E115" s="21"/>
      <c r="F115" s="2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</row>
    <row r="116" spans="1:80" ht="15.75" customHeight="1">
      <c r="A116" s="1"/>
      <c r="B116" s="21"/>
      <c r="C116" s="21"/>
      <c r="D116" s="21"/>
      <c r="E116" s="21"/>
      <c r="F116" s="2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</row>
    <row r="117" spans="1:80" ht="15.75" customHeight="1">
      <c r="A117" s="29"/>
      <c r="B117" s="21"/>
      <c r="C117" s="21"/>
      <c r="D117" s="2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</row>
    <row r="118" spans="1:80" ht="15.75" customHeight="1">
      <c r="A118" s="29"/>
      <c r="B118" s="21"/>
      <c r="C118" s="21"/>
      <c r="D118" s="2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</row>
    <row r="119" spans="1:80" ht="15.75" customHeight="1">
      <c r="A119" s="29"/>
      <c r="B119" s="21"/>
      <c r="C119" s="21"/>
      <c r="D119" s="2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</row>
    <row r="120" spans="1:80" ht="15.75" customHeight="1">
      <c r="A120" s="29"/>
      <c r="B120" s="21"/>
      <c r="C120" s="21"/>
      <c r="D120" s="2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</row>
    <row r="121" spans="1:80" ht="15.75" customHeight="1">
      <c r="A121" s="1"/>
      <c r="B121" s="29"/>
      <c r="C121" s="29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</row>
    <row r="122" spans="1:80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</row>
    <row r="123" spans="1:80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</row>
    <row r="124" spans="1:80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</row>
    <row r="125" spans="1:80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</row>
    <row r="126" spans="1:80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</row>
    <row r="127" spans="1:80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</row>
    <row r="128" spans="1:80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</row>
    <row r="129" spans="1:80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</row>
    <row r="130" spans="1:80" ht="15.75" customHeight="1">
      <c r="A130" s="1"/>
      <c r="B130" s="29"/>
      <c r="C130" s="29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</row>
    <row r="131" spans="1:80" ht="15.75" customHeight="1">
      <c r="A131" s="29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</row>
    <row r="132" spans="1:80" ht="15.75" customHeight="1">
      <c r="A132" s="29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</row>
    <row r="133" spans="1:80" ht="15.75" customHeight="1">
      <c r="A133" s="29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</row>
    <row r="134" spans="1:80" ht="15.75" customHeight="1">
      <c r="A134" s="29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</row>
    <row r="135" spans="1:80" ht="15.75" customHeight="1">
      <c r="A135" s="29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</row>
    <row r="136" spans="1:80" ht="15.75" customHeight="1">
      <c r="A136" s="29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</row>
    <row r="137" spans="1:80" ht="15.75" customHeight="1">
      <c r="A137" s="29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</row>
    <row r="138" spans="1:80" ht="15.75" customHeight="1">
      <c r="A138" s="29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</row>
    <row r="139" spans="1:80" ht="15.75" customHeight="1">
      <c r="A139" s="1"/>
      <c r="B139" s="29"/>
      <c r="C139" s="29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</row>
    <row r="140" spans="1:8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</row>
    <row r="141" spans="1:80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</row>
    <row r="142" spans="1:80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</row>
    <row r="143" spans="1:80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</row>
    <row r="144" spans="1:80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</row>
    <row r="145" spans="1:80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</row>
    <row r="146" spans="1:80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</row>
    <row r="147" spans="1:80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</row>
    <row r="148" spans="1:80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</row>
    <row r="149" spans="1:80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</row>
    <row r="150" spans="1:8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</row>
    <row r="151" spans="1:80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</row>
    <row r="152" spans="1:80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</row>
    <row r="153" spans="1:80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</row>
    <row r="154" spans="1:80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</row>
    <row r="155" spans="1:80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</row>
    <row r="156" spans="1:80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</row>
    <row r="157" spans="1:80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</row>
    <row r="158" spans="1:80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</row>
    <row r="159" spans="1:80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</row>
    <row r="160" spans="1:8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</row>
    <row r="161" spans="1:80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</row>
    <row r="162" spans="1:80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</row>
    <row r="163" spans="1:80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</row>
    <row r="164" spans="1:80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</row>
    <row r="165" spans="1:80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</row>
    <row r="166" spans="1:80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</row>
    <row r="167" spans="1:80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</row>
    <row r="168" spans="1:80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</row>
    <row r="169" spans="1:80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</row>
    <row r="170" spans="1:8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</row>
    <row r="171" spans="1:80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</row>
    <row r="172" spans="1:80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</row>
    <row r="173" spans="1:80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</row>
    <row r="174" spans="1:80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</row>
    <row r="175" spans="1:80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</row>
    <row r="176" spans="1:80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</row>
    <row r="177" spans="1:80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</row>
    <row r="178" spans="1:80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</row>
    <row r="179" spans="1:80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</row>
    <row r="180" spans="1: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</row>
    <row r="181" spans="1:80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</row>
    <row r="182" spans="1:80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</row>
    <row r="183" spans="1:80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</row>
    <row r="184" spans="1:80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</row>
    <row r="185" spans="1:80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</row>
    <row r="186" spans="1:80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</row>
    <row r="187" spans="1:80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</row>
    <row r="188" spans="1:80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</row>
    <row r="189" spans="1:80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</row>
    <row r="190" spans="1:8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</row>
    <row r="191" spans="1:80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</row>
    <row r="192" spans="1:80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</row>
    <row r="193" spans="1:80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</row>
    <row r="194" spans="1:80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</row>
    <row r="195" spans="1:80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</row>
    <row r="196" spans="1:80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</row>
    <row r="197" spans="1:80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</row>
    <row r="198" spans="1:80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</row>
    <row r="199" spans="1:80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</row>
    <row r="200" spans="1:8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</row>
    <row r="201" spans="1:80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</row>
    <row r="202" spans="1:80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</row>
    <row r="203" spans="1:80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</row>
    <row r="204" spans="1:80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</row>
    <row r="205" spans="1:80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</row>
    <row r="206" spans="1:80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</row>
    <row r="207" spans="1:80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</row>
    <row r="208" spans="1:80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</row>
    <row r="209" spans="1:80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</row>
    <row r="210" spans="1:8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</row>
    <row r="211" spans="1:80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</row>
    <row r="212" spans="1:80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</row>
    <row r="213" spans="1:80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</row>
    <row r="214" spans="1:80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</row>
    <row r="215" spans="1:80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</row>
    <row r="216" spans="1:80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</row>
    <row r="217" spans="1:80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</row>
    <row r="218" spans="1:80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</row>
    <row r="219" spans="1:80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</row>
    <row r="220" spans="1:8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</row>
    <row r="221" spans="1:80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</row>
    <row r="222" spans="1:80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</row>
    <row r="223" spans="1:80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</row>
    <row r="224" spans="1:80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</row>
    <row r="225" spans="1:80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</row>
    <row r="226" spans="1:80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</row>
    <row r="227" spans="1:80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</row>
    <row r="228" spans="1:80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</row>
    <row r="229" spans="1:80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</row>
    <row r="230" spans="1:8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</row>
    <row r="231" spans="1:80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</row>
    <row r="232" spans="1:80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</row>
    <row r="233" spans="1:80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</row>
    <row r="234" spans="1:80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</row>
    <row r="235" spans="1:80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</row>
    <row r="236" spans="1:80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</row>
    <row r="237" spans="1:80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</row>
    <row r="238" spans="1:80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</row>
    <row r="239" spans="1:80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</row>
    <row r="240" spans="1:8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</row>
    <row r="241" spans="1:80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</row>
    <row r="242" spans="1:80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</row>
    <row r="243" spans="1:80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</row>
    <row r="244" spans="1:80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</row>
    <row r="245" spans="1:80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</row>
    <row r="246" spans="1:80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</row>
    <row r="247" spans="1:80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</row>
    <row r="248" spans="1:80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</row>
    <row r="249" spans="1:80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</row>
    <row r="250" spans="1:8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</row>
    <row r="251" spans="1:80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</row>
    <row r="252" spans="1:80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</row>
    <row r="253" spans="1:80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</row>
    <row r="254" spans="1:80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</row>
    <row r="255" spans="1:80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</row>
    <row r="256" spans="1:80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</row>
    <row r="257" spans="1:80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</row>
    <row r="258" spans="1:80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</row>
    <row r="259" spans="1:80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</row>
    <row r="260" spans="1:8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</row>
    <row r="261" spans="1:80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</row>
    <row r="262" spans="1:80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</row>
    <row r="263" spans="1:80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</row>
    <row r="264" spans="1:80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</row>
    <row r="265" spans="1:80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</row>
    <row r="266" spans="1:80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</row>
    <row r="267" spans="1:80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</row>
    <row r="268" spans="1:80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</row>
    <row r="269" spans="1:80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</row>
    <row r="270" spans="1:8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</row>
    <row r="271" spans="1:80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</row>
    <row r="272" spans="1:80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</row>
    <row r="273" spans="1:80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</row>
    <row r="274" spans="1:80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</row>
    <row r="275" spans="1:80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</row>
    <row r="276" spans="1:80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</row>
    <row r="277" spans="1:80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</row>
    <row r="278" spans="1:80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</row>
    <row r="279" spans="1:80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</row>
    <row r="280" spans="1: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</row>
    <row r="281" spans="1:80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</row>
    <row r="282" spans="1:80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</row>
    <row r="283" spans="1:80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</row>
    <row r="284" spans="1:80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</row>
    <row r="285" spans="1:80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</row>
    <row r="286" spans="1:80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</row>
    <row r="287" spans="1:80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</row>
    <row r="288" spans="1:80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</row>
    <row r="289" spans="1:80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</row>
    <row r="290" spans="1:8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</row>
    <row r="291" spans="1:80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</row>
    <row r="292" spans="1:80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</row>
    <row r="293" spans="1:80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</row>
    <row r="294" spans="1:80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</row>
    <row r="295" spans="1:80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</row>
    <row r="296" spans="1:80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</row>
    <row r="297" spans="1:80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</row>
    <row r="298" spans="1:80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</row>
    <row r="299" spans="1:80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</row>
    <row r="300" spans="1:8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</row>
    <row r="301" spans="1:80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</row>
    <row r="302" spans="1:80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</row>
    <row r="303" spans="1:80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</row>
    <row r="304" spans="1:80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</row>
    <row r="305" spans="1:80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</row>
    <row r="306" spans="1:80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</row>
    <row r="307" spans="1:80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</row>
    <row r="308" spans="1:80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</row>
    <row r="309" spans="1:80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</row>
    <row r="310" spans="1:8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</row>
    <row r="311" spans="1:80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</row>
    <row r="312" spans="1:80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</row>
    <row r="313" spans="1:80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</row>
    <row r="314" spans="1:80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</row>
    <row r="315" spans="1:80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</row>
    <row r="316" spans="1:80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</row>
    <row r="317" spans="1:80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</row>
    <row r="318" spans="1:80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</row>
    <row r="319" spans="1:80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</row>
    <row r="320" spans="1:8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</row>
    <row r="321" spans="1:80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</row>
    <row r="322" spans="1:80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</row>
    <row r="323" spans="1:80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</row>
    <row r="324" spans="1:80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</row>
    <row r="325" spans="1:80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</row>
    <row r="326" spans="1:80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</row>
    <row r="327" spans="1:80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</row>
    <row r="328" spans="1:80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</row>
    <row r="329" spans="1:80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</row>
    <row r="330" spans="1:8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</row>
    <row r="331" spans="1:80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</row>
    <row r="332" spans="1:80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</row>
    <row r="333" spans="1:80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</row>
    <row r="334" spans="1:80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</row>
    <row r="335" spans="1:80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</row>
    <row r="336" spans="1:80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</row>
    <row r="337" spans="1:80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</row>
    <row r="338" spans="1:80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</row>
    <row r="339" spans="1:80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</row>
    <row r="340" spans="1:8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</row>
    <row r="341" spans="1:80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</row>
    <row r="342" spans="1:80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</row>
    <row r="343" spans="1:80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</row>
    <row r="344" spans="1:80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</row>
    <row r="345" spans="1:80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</row>
    <row r="346" spans="1:80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</row>
    <row r="347" spans="1:80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</row>
    <row r="348" spans="1:80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</row>
    <row r="349" spans="1:80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</row>
    <row r="350" spans="1:8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</row>
    <row r="351" spans="1:80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</row>
    <row r="352" spans="1:80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</row>
    <row r="353" spans="1:80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</row>
    <row r="354" spans="1:80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</row>
    <row r="355" spans="1:80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</row>
    <row r="356" spans="1:80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</row>
    <row r="357" spans="1:80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</row>
    <row r="358" spans="1:80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</row>
    <row r="359" spans="1:80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</row>
    <row r="360" spans="1:8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</row>
    <row r="361" spans="1:80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</row>
    <row r="362" spans="1:80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</row>
    <row r="363" spans="1:80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</row>
    <row r="364" spans="1:80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</row>
    <row r="365" spans="1:80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</row>
    <row r="366" spans="1:80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</row>
    <row r="367" spans="1:80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</row>
    <row r="368" spans="1:80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</row>
    <row r="369" spans="1:80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</row>
    <row r="370" spans="1:8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</row>
    <row r="371" spans="1:80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</row>
    <row r="372" spans="1:80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</row>
    <row r="373" spans="1:80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</row>
    <row r="374" spans="1:80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</row>
    <row r="375" spans="1:80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</row>
    <row r="376" spans="1:80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</row>
    <row r="377" spans="1:80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</row>
    <row r="378" spans="1:80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</row>
    <row r="379" spans="1:80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</row>
    <row r="380" spans="1: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</row>
    <row r="381" spans="1:80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</row>
    <row r="382" spans="1:80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</row>
    <row r="383" spans="1:80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</row>
    <row r="384" spans="1:80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</row>
    <row r="385" spans="1:80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</row>
    <row r="386" spans="1:80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</row>
    <row r="387" spans="1:80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</row>
    <row r="388" spans="1:80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</row>
    <row r="389" spans="1:80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</row>
    <row r="390" spans="1:8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</row>
    <row r="391" spans="1:80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</row>
    <row r="392" spans="1:80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</row>
    <row r="393" spans="1:80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</row>
    <row r="394" spans="1:80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</row>
    <row r="395" spans="1:80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</row>
    <row r="396" spans="1:80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</row>
    <row r="397" spans="1:80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</row>
    <row r="398" spans="1:80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</row>
    <row r="399" spans="1:80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</row>
    <row r="400" spans="1:8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</row>
    <row r="401" spans="1:80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</row>
    <row r="402" spans="1:80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</row>
    <row r="403" spans="1:80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</row>
    <row r="404" spans="1:80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</row>
    <row r="405" spans="1:80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</row>
    <row r="406" spans="1:80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</row>
    <row r="407" spans="1:80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</row>
    <row r="408" spans="1:80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</row>
    <row r="409" spans="1:80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</row>
    <row r="410" spans="1:8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</row>
    <row r="411" spans="1:80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</row>
    <row r="412" spans="1:80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</row>
    <row r="413" spans="1:80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</row>
    <row r="414" spans="1:80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</row>
    <row r="415" spans="1:80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</row>
    <row r="416" spans="1:80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</row>
    <row r="417" spans="1:80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</row>
    <row r="418" spans="1:80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</row>
    <row r="419" spans="1:80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</row>
    <row r="420" spans="1:8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</row>
    <row r="421" spans="1:80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</row>
    <row r="422" spans="1:80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</row>
    <row r="423" spans="1:80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</row>
    <row r="424" spans="1:80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</row>
    <row r="425" spans="1:80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</row>
    <row r="426" spans="1:80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</row>
    <row r="427" spans="1:80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</row>
    <row r="428" spans="1:80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</row>
    <row r="429" spans="1:80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</row>
    <row r="430" spans="1:8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</row>
    <row r="431" spans="1:80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</row>
    <row r="432" spans="1:80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</row>
    <row r="433" spans="1:80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</row>
    <row r="434" spans="1:80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</row>
    <row r="435" spans="1:80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</row>
    <row r="436" spans="1:80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</row>
    <row r="437" spans="1:80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</row>
    <row r="438" spans="1:80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</row>
    <row r="439" spans="1:80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</row>
    <row r="440" spans="1:8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</row>
    <row r="441" spans="1:80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</row>
    <row r="442" spans="1:80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</row>
    <row r="443" spans="1:80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</row>
    <row r="444" spans="1:80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</row>
    <row r="445" spans="1:80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</row>
    <row r="446" spans="1:80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</row>
    <row r="447" spans="1:80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</row>
    <row r="448" spans="1:80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</row>
    <row r="449" spans="1:80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</row>
    <row r="450" spans="1:8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</row>
    <row r="451" spans="1:80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</row>
    <row r="452" spans="1:80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</row>
    <row r="453" spans="1:80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</row>
    <row r="454" spans="1:80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</row>
    <row r="455" spans="1:80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</row>
    <row r="456" spans="1:80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</row>
    <row r="457" spans="1:80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</row>
    <row r="458" spans="1:80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</row>
    <row r="459" spans="1:80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</row>
    <row r="460" spans="1:8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</row>
    <row r="461" spans="1:80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</row>
    <row r="462" spans="1:80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</row>
    <row r="463" spans="1:80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</row>
    <row r="464" spans="1:80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</row>
    <row r="465" spans="1:80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</row>
    <row r="466" spans="1:80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</row>
    <row r="467" spans="1:80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</row>
    <row r="468" spans="1:80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</row>
    <row r="469" spans="1:80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</row>
    <row r="470" spans="1:8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</row>
    <row r="471" spans="1:80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</row>
    <row r="472" spans="1:80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</row>
    <row r="473" spans="1:80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</row>
    <row r="474" spans="1:80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</row>
    <row r="475" spans="1:80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</row>
    <row r="476" spans="1:80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</row>
    <row r="477" spans="1:80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</row>
    <row r="478" spans="1:80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</row>
    <row r="479" spans="1:80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</row>
    <row r="480" spans="1: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</row>
    <row r="481" spans="1:80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</row>
    <row r="482" spans="1:80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</row>
    <row r="483" spans="1:80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</row>
    <row r="484" spans="1:80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</row>
    <row r="485" spans="1:80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</row>
    <row r="486" spans="1:80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</row>
    <row r="487" spans="1:80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</row>
    <row r="488" spans="1:80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</row>
    <row r="489" spans="1:80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</row>
    <row r="490" spans="1:8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</row>
    <row r="491" spans="1:80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</row>
    <row r="492" spans="1:80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</row>
    <row r="493" spans="1:80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</row>
    <row r="494" spans="1:80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</row>
    <row r="495" spans="1:80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</row>
    <row r="496" spans="1:80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</row>
    <row r="497" spans="1:80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</row>
    <row r="498" spans="1:80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</row>
    <row r="499" spans="1:80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</row>
    <row r="500" spans="1:8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</row>
    <row r="501" spans="1:80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</row>
    <row r="502" spans="1:80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</row>
    <row r="503" spans="1:80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</row>
    <row r="504" spans="1:80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</row>
    <row r="505" spans="1:80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</row>
    <row r="506" spans="1:80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</row>
    <row r="507" spans="1:80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</row>
    <row r="508" spans="1:80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</row>
    <row r="509" spans="1:80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</row>
    <row r="510" spans="1:8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</row>
    <row r="511" spans="1:80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</row>
    <row r="512" spans="1:80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</row>
    <row r="513" spans="1:80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</row>
    <row r="514" spans="1:80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</row>
    <row r="515" spans="1:80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</row>
    <row r="516" spans="1:80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</row>
    <row r="517" spans="1:80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</row>
    <row r="518" spans="1:80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</row>
    <row r="519" spans="1:80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</row>
    <row r="520" spans="1:8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</row>
    <row r="521" spans="1:80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</row>
    <row r="522" spans="1:80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</row>
    <row r="523" spans="1:80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</row>
    <row r="524" spans="1:80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</row>
    <row r="525" spans="1:80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</row>
    <row r="526" spans="1:80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</row>
    <row r="527" spans="1:80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</row>
    <row r="528" spans="1:80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</row>
    <row r="529" spans="1:80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</row>
    <row r="530" spans="1:8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</row>
    <row r="531" spans="1:80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</row>
    <row r="532" spans="1:80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</row>
    <row r="533" spans="1:80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</row>
    <row r="534" spans="1:80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</row>
    <row r="535" spans="1:80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</row>
    <row r="536" spans="1:80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</row>
    <row r="537" spans="1:80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</row>
    <row r="538" spans="1:80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</row>
    <row r="539" spans="1:80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</row>
    <row r="540" spans="1:8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</row>
    <row r="541" spans="1:80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</row>
    <row r="542" spans="1:80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</row>
    <row r="543" spans="1:80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</row>
    <row r="544" spans="1:80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</row>
    <row r="545" spans="1:80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</row>
    <row r="546" spans="1:80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</row>
    <row r="547" spans="1:80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</row>
    <row r="548" spans="1:80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</row>
    <row r="549" spans="1:80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</row>
    <row r="550" spans="1:8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</row>
    <row r="551" spans="1:80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</row>
    <row r="552" spans="1:80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</row>
    <row r="553" spans="1:80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</row>
    <row r="554" spans="1:80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</row>
    <row r="555" spans="1:80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</row>
    <row r="556" spans="1:80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</row>
    <row r="557" spans="1:80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</row>
    <row r="558" spans="1:80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</row>
    <row r="559" spans="1:80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</row>
    <row r="560" spans="1:8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</row>
    <row r="561" spans="1:80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</row>
    <row r="562" spans="1:80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</row>
    <row r="563" spans="1:80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</row>
    <row r="564" spans="1:80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</row>
    <row r="565" spans="1:80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</row>
    <row r="566" spans="1:80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</row>
    <row r="567" spans="1:80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</row>
    <row r="568" spans="1:80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</row>
    <row r="569" spans="1:80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</row>
    <row r="570" spans="1:8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</row>
    <row r="571" spans="1:80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</row>
    <row r="572" spans="1:80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</row>
    <row r="573" spans="1:80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</row>
    <row r="574" spans="1:80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</row>
    <row r="575" spans="1:80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</row>
    <row r="576" spans="1:80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</row>
    <row r="577" spans="1:80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</row>
    <row r="578" spans="1:80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</row>
    <row r="579" spans="1:80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</row>
    <row r="580" spans="1: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</row>
    <row r="581" spans="1:80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</row>
    <row r="582" spans="1:80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</row>
    <row r="583" spans="1:80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</row>
    <row r="584" spans="1:80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</row>
    <row r="585" spans="1:80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</row>
    <row r="586" spans="1:80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</row>
    <row r="587" spans="1:80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</row>
    <row r="588" spans="1:80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</row>
    <row r="589" spans="1:80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</row>
    <row r="590" spans="1:8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</row>
    <row r="591" spans="1:80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</row>
    <row r="592" spans="1:80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</row>
    <row r="593" spans="1:80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</row>
    <row r="594" spans="1:80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</row>
    <row r="595" spans="1:80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</row>
    <row r="596" spans="1:80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</row>
    <row r="597" spans="1:80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</row>
    <row r="598" spans="1:80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</row>
    <row r="599" spans="1:80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</row>
    <row r="600" spans="1:8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</row>
    <row r="601" spans="1:80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</row>
    <row r="602" spans="1:80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</row>
    <row r="603" spans="1:80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</row>
    <row r="604" spans="1:80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</row>
    <row r="605" spans="1:80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</row>
    <row r="606" spans="1:80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</row>
    <row r="607" spans="1:80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</row>
    <row r="608" spans="1:80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</row>
    <row r="609" spans="1:80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</row>
    <row r="610" spans="1:8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</row>
    <row r="611" spans="1:80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</row>
    <row r="612" spans="1:80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</row>
    <row r="613" spans="1:80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</row>
    <row r="614" spans="1:80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</row>
    <row r="615" spans="1:80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</row>
    <row r="616" spans="1:80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</row>
    <row r="617" spans="1:80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</row>
    <row r="618" spans="1:80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</row>
    <row r="619" spans="1:80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</row>
    <row r="620" spans="1:8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</row>
    <row r="621" spans="1:80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</row>
    <row r="622" spans="1:80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</row>
    <row r="623" spans="1:80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</row>
    <row r="624" spans="1:80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</row>
    <row r="625" spans="1:80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</row>
    <row r="626" spans="1:80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</row>
    <row r="627" spans="1:80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</row>
    <row r="628" spans="1:80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</row>
    <row r="629" spans="1:80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</row>
    <row r="630" spans="1:8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</row>
    <row r="631" spans="1:80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</row>
    <row r="632" spans="1:80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</row>
    <row r="633" spans="1:80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</row>
    <row r="634" spans="1:80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</row>
    <row r="635" spans="1:80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</row>
    <row r="636" spans="1:80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</row>
    <row r="637" spans="1:80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</row>
    <row r="638" spans="1:80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</row>
    <row r="639" spans="1:80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</row>
    <row r="640" spans="1:8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</row>
    <row r="641" spans="1:80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</row>
    <row r="642" spans="1:80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</row>
    <row r="643" spans="1:80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</row>
    <row r="644" spans="1:80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</row>
    <row r="645" spans="1:80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</row>
    <row r="646" spans="1:80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</row>
    <row r="647" spans="1:80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</row>
    <row r="648" spans="1:80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</row>
    <row r="649" spans="1:80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</row>
    <row r="650" spans="1:8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</row>
    <row r="651" spans="1:80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</row>
    <row r="652" spans="1:80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</row>
    <row r="653" spans="1:80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</row>
    <row r="654" spans="1:80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</row>
    <row r="655" spans="1:80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</row>
    <row r="656" spans="1:80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</row>
    <row r="657" spans="1:80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</row>
    <row r="658" spans="1:80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</row>
    <row r="659" spans="1:80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</row>
    <row r="660" spans="1:8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</row>
    <row r="661" spans="1:80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</row>
    <row r="662" spans="1:80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</row>
    <row r="663" spans="1:80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</row>
    <row r="664" spans="1:80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</row>
    <row r="665" spans="1:80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</row>
    <row r="666" spans="1:80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</row>
    <row r="667" spans="1:80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</row>
    <row r="668" spans="1:80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</row>
    <row r="669" spans="1:80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</row>
    <row r="670" spans="1:8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</row>
    <row r="671" spans="1:80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</row>
    <row r="672" spans="1:80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</row>
    <row r="673" spans="1:80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</row>
    <row r="674" spans="1:80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</row>
    <row r="675" spans="1:80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</row>
    <row r="676" spans="1:80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</row>
    <row r="677" spans="1:80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</row>
    <row r="678" spans="1:80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</row>
    <row r="679" spans="1:80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</row>
    <row r="680" spans="1: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</row>
    <row r="681" spans="1:80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</row>
    <row r="682" spans="1:80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</row>
    <row r="683" spans="1:80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</row>
    <row r="684" spans="1:80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</row>
    <row r="685" spans="1:80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</row>
    <row r="686" spans="1:80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</row>
    <row r="687" spans="1:80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</row>
    <row r="688" spans="1:80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</row>
    <row r="689" spans="1:80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</row>
    <row r="690" spans="1:8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</row>
    <row r="691" spans="1:80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</row>
    <row r="692" spans="1:80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</row>
    <row r="693" spans="1:80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</row>
    <row r="694" spans="1:80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</row>
    <row r="695" spans="1:80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</row>
    <row r="696" spans="1:80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</row>
    <row r="697" spans="1:80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</row>
    <row r="698" spans="1:80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</row>
    <row r="699" spans="1:80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</row>
    <row r="700" spans="1:8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</row>
    <row r="701" spans="1:80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</row>
    <row r="702" spans="1:80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</row>
    <row r="703" spans="1:80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</row>
    <row r="704" spans="1:80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</row>
    <row r="705" spans="1:80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</row>
    <row r="706" spans="1:80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</row>
    <row r="707" spans="1:80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</row>
    <row r="708" spans="1:80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</row>
    <row r="709" spans="1:80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</row>
    <row r="710" spans="1:8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</row>
    <row r="711" spans="1:80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</row>
    <row r="712" spans="1:80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</row>
    <row r="713" spans="1:80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</row>
    <row r="714" spans="1:80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</row>
    <row r="715" spans="1:80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</row>
    <row r="716" spans="1:80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</row>
    <row r="717" spans="1:80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</row>
    <row r="718" spans="1:80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</row>
    <row r="719" spans="1:80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</row>
    <row r="720" spans="1:8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</row>
    <row r="721" spans="1:80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</row>
    <row r="722" spans="1:80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</row>
    <row r="723" spans="1:80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</row>
    <row r="724" spans="1:80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</row>
    <row r="725" spans="1:80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</row>
    <row r="726" spans="1:80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</row>
    <row r="727" spans="1:80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</row>
    <row r="728" spans="1:80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</row>
    <row r="729" spans="1:80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</row>
    <row r="730" spans="1:8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</row>
    <row r="731" spans="1:80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</row>
    <row r="732" spans="1:80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</row>
    <row r="733" spans="1:80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</row>
    <row r="734" spans="1:80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</row>
    <row r="735" spans="1:80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</row>
    <row r="736" spans="1:80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</row>
    <row r="737" spans="1:80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</row>
    <row r="738" spans="1:80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</row>
    <row r="739" spans="1:80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</row>
    <row r="740" spans="1:8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</row>
    <row r="741" spans="1:80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</row>
    <row r="742" spans="1:80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</row>
    <row r="743" spans="1:80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</row>
    <row r="744" spans="1:80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</row>
    <row r="745" spans="1:80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</row>
    <row r="746" spans="1:80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</row>
    <row r="747" spans="1:80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</row>
    <row r="748" spans="1:80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</row>
    <row r="749" spans="1:80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</row>
    <row r="750" spans="1:8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</row>
    <row r="751" spans="1:80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</row>
    <row r="752" spans="1:80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</row>
    <row r="753" spans="1:80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</row>
    <row r="754" spans="1:80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</row>
    <row r="755" spans="1:80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</row>
    <row r="756" spans="1:80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</row>
    <row r="757" spans="1:80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</row>
    <row r="758" spans="1:80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</row>
    <row r="759" spans="1:80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</row>
    <row r="760" spans="1:8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</row>
    <row r="761" spans="1:80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</row>
    <row r="762" spans="1:80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</row>
    <row r="763" spans="1:80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</row>
    <row r="764" spans="1:80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</row>
    <row r="765" spans="1:80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</row>
    <row r="766" spans="1:80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</row>
    <row r="767" spans="1:80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</row>
    <row r="768" spans="1:80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</row>
    <row r="769" spans="1:80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</row>
    <row r="770" spans="1:8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</row>
    <row r="771" spans="1:80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</row>
    <row r="772" spans="1:80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</row>
    <row r="773" spans="1:80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</row>
    <row r="774" spans="1:80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</row>
    <row r="775" spans="1:80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</row>
    <row r="776" spans="1:80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</row>
    <row r="777" spans="1:80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</row>
    <row r="778" spans="1:80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</row>
    <row r="779" spans="1:80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</row>
    <row r="780" spans="1: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</row>
    <row r="781" spans="1:80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</row>
    <row r="782" spans="1:80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</row>
    <row r="783" spans="1:80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</row>
    <row r="784" spans="1:80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</row>
    <row r="785" spans="1:80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</row>
    <row r="786" spans="1:80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</row>
    <row r="787" spans="1:80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</row>
    <row r="788" spans="1:80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</row>
    <row r="789" spans="1:80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</row>
    <row r="790" spans="1:8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</row>
    <row r="791" spans="1:80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</row>
    <row r="792" spans="1:80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</row>
    <row r="793" spans="1:80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</row>
    <row r="794" spans="1:80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</row>
    <row r="795" spans="1:80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</row>
    <row r="796" spans="1:80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</row>
    <row r="797" spans="1:80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</row>
    <row r="798" spans="1:80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</row>
    <row r="799" spans="1:80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</row>
    <row r="800" spans="1:8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</row>
    <row r="801" spans="1:80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</row>
    <row r="802" spans="1:80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</row>
    <row r="803" spans="1:80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</row>
    <row r="804" spans="1:80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</row>
    <row r="805" spans="1:80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</row>
    <row r="806" spans="1:80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</row>
    <row r="807" spans="1:80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</row>
    <row r="808" spans="1:80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</row>
    <row r="809" spans="1:80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</row>
    <row r="810" spans="1:8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</row>
    <row r="811" spans="1:80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</row>
    <row r="812" spans="1:80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</row>
    <row r="813" spans="1:80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</row>
    <row r="814" spans="1:80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</row>
    <row r="815" spans="1:80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</row>
    <row r="816" spans="1:80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</row>
    <row r="817" spans="1:80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</row>
    <row r="818" spans="1:80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</row>
    <row r="819" spans="1:80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</row>
    <row r="820" spans="1:8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</row>
    <row r="821" spans="1:80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</row>
    <row r="822" spans="1:80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</row>
    <row r="823" spans="1:80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</row>
    <row r="824" spans="1:80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</row>
    <row r="825" spans="1:80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</row>
    <row r="826" spans="1:80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</row>
    <row r="827" spans="1:80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</row>
    <row r="828" spans="1:80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</row>
    <row r="829" spans="1:80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</row>
    <row r="830" spans="1:8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</row>
    <row r="831" spans="1:80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</row>
    <row r="832" spans="1:80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</row>
    <row r="833" spans="1:80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</row>
    <row r="834" spans="1:80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</row>
    <row r="835" spans="1:80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</row>
    <row r="836" spans="1:80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</row>
    <row r="837" spans="1:80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</row>
    <row r="838" spans="1:80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</row>
    <row r="839" spans="1:80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</row>
    <row r="840" spans="1:8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</row>
    <row r="841" spans="1:80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</row>
    <row r="842" spans="1:80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</row>
    <row r="843" spans="1:80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</row>
    <row r="844" spans="1:80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</row>
    <row r="845" spans="1:80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</row>
    <row r="846" spans="1:80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</row>
    <row r="847" spans="1:80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</row>
    <row r="848" spans="1:80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</row>
    <row r="849" spans="1:80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</row>
    <row r="850" spans="1:8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</row>
    <row r="851" spans="1:80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</row>
    <row r="852" spans="1:80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</row>
    <row r="853" spans="1:80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</row>
    <row r="854" spans="1:80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</row>
    <row r="855" spans="1:80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</row>
    <row r="856" spans="1:80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</row>
    <row r="857" spans="1:80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</row>
    <row r="858" spans="1:80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</row>
    <row r="859" spans="1:80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</row>
    <row r="860" spans="1:8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</row>
    <row r="861" spans="1:80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</row>
    <row r="862" spans="1:80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</row>
    <row r="863" spans="1:80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</row>
    <row r="864" spans="1:80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</row>
    <row r="865" spans="1:80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</row>
    <row r="866" spans="1:80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</row>
    <row r="867" spans="1:80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</row>
    <row r="868" spans="1:80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</row>
    <row r="869" spans="1:80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</row>
    <row r="870" spans="1:8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</row>
    <row r="871" spans="1:80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</row>
    <row r="872" spans="1:80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</row>
    <row r="873" spans="1:80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</row>
    <row r="874" spans="1:80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</row>
    <row r="875" spans="1:80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</row>
    <row r="876" spans="1:80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</row>
    <row r="877" spans="1:80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</row>
    <row r="878" spans="1:80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</row>
    <row r="879" spans="1:80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</row>
    <row r="880" spans="1: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</row>
    <row r="881" spans="1:80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</row>
    <row r="882" spans="1:80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</row>
    <row r="883" spans="1:80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</row>
    <row r="884" spans="1:80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</row>
    <row r="885" spans="1:80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</row>
    <row r="886" spans="1:80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</row>
    <row r="887" spans="1:80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</row>
    <row r="888" spans="1:80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</row>
    <row r="889" spans="1:80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</row>
    <row r="890" spans="1:8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</row>
    <row r="891" spans="1:80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</row>
    <row r="892" spans="1:80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</row>
    <row r="893" spans="1:80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</row>
    <row r="894" spans="1:80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</row>
    <row r="895" spans="1:80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</row>
    <row r="896" spans="1:80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</row>
    <row r="897" spans="1:80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</row>
    <row r="898" spans="1:80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</row>
    <row r="899" spans="1:80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</row>
    <row r="900" spans="1:8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</row>
    <row r="901" spans="1:80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</row>
    <row r="902" spans="1:80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</row>
    <row r="903" spans="1:80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</row>
    <row r="904" spans="1:80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</row>
    <row r="905" spans="1:80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</row>
    <row r="906" spans="1:80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</row>
    <row r="907" spans="1:80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</row>
    <row r="908" spans="1:80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</row>
    <row r="909" spans="1:80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</row>
    <row r="910" spans="1:8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</row>
    <row r="911" spans="1:80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</row>
    <row r="912" spans="1:80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</row>
    <row r="913" spans="1:80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</row>
    <row r="914" spans="1:80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</row>
    <row r="915" spans="1:80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</row>
    <row r="916" spans="1:80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</row>
    <row r="917" spans="1:80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</row>
    <row r="918" spans="1:80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</row>
    <row r="919" spans="1:80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</row>
    <row r="920" spans="1:8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</row>
    <row r="921" spans="1:80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</row>
    <row r="922" spans="1:80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</row>
    <row r="923" spans="1:80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</row>
    <row r="924" spans="1:80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</row>
    <row r="925" spans="1:80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</row>
    <row r="926" spans="1:80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</row>
    <row r="927" spans="1:80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</row>
    <row r="928" spans="1:80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</row>
    <row r="929" spans="1:80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</row>
    <row r="930" spans="1:8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</row>
    <row r="931" spans="1:80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</row>
    <row r="932" spans="1:80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</row>
    <row r="933" spans="1:80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</row>
    <row r="934" spans="1:80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</row>
    <row r="935" spans="1:80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</row>
    <row r="936" spans="1:80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</row>
    <row r="937" spans="1:80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</row>
    <row r="938" spans="1:80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</row>
    <row r="939" spans="1:80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</row>
    <row r="940" spans="1:8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</row>
    <row r="941" spans="1:80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</row>
    <row r="942" spans="1:80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</row>
    <row r="943" spans="1:80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</row>
    <row r="944" spans="1:80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</row>
    <row r="945" spans="1:80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</row>
    <row r="946" spans="1:80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</row>
    <row r="947" spans="1:80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</row>
    <row r="948" spans="1:80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</row>
    <row r="949" spans="1:80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</row>
    <row r="950" spans="1:8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</row>
    <row r="951" spans="1:80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</row>
    <row r="952" spans="1:80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</row>
    <row r="953" spans="1:80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</row>
    <row r="954" spans="1:80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</row>
    <row r="955" spans="1:80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</row>
    <row r="956" spans="1:80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</row>
    <row r="957" spans="1:80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</row>
    <row r="958" spans="1:80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</row>
    <row r="959" spans="1:80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</row>
    <row r="960" spans="1:8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</row>
    <row r="961" spans="1:80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</row>
    <row r="962" spans="1:80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</row>
    <row r="963" spans="1:80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</row>
    <row r="964" spans="1:80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</row>
    <row r="965" spans="1:80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</row>
    <row r="966" spans="1:80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/>
      <c r="CB966" s="1"/>
    </row>
    <row r="967" spans="1:80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"/>
      <c r="CB967" s="1"/>
    </row>
    <row r="968" spans="1:80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</row>
    <row r="969" spans="1:80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"/>
      <c r="CB969" s="1"/>
    </row>
    <row r="970" spans="1:8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"/>
      <c r="CB970" s="1"/>
    </row>
    <row r="971" spans="1:80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"/>
      <c r="CB971" s="1"/>
    </row>
    <row r="972" spans="1:80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"/>
      <c r="CB972" s="1"/>
    </row>
    <row r="973" spans="1:80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</row>
    <row r="974" spans="1:80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</row>
    <row r="975" spans="1:80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</row>
    <row r="976" spans="1:80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</row>
    <row r="977" spans="1:80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"/>
      <c r="CB977" s="1"/>
    </row>
    <row r="978" spans="1:80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"/>
      <c r="CB978" s="1"/>
    </row>
    <row r="979" spans="1:80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"/>
      <c r="CB979" s="1"/>
    </row>
    <row r="980" spans="1: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"/>
      <c r="CB980" s="1"/>
    </row>
    <row r="981" spans="1:80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"/>
      <c r="CB981" s="1"/>
    </row>
    <row r="982" spans="1:80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"/>
      <c r="CB982" s="1"/>
    </row>
    <row r="983" spans="1:80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"/>
      <c r="CB983" s="1"/>
    </row>
    <row r="984" spans="1:80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"/>
      <c r="CB984" s="1"/>
    </row>
    <row r="985" spans="1:80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"/>
      <c r="CB985" s="1"/>
    </row>
    <row r="986" spans="1:80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  <c r="CA986" s="1"/>
      <c r="CB986" s="1"/>
    </row>
    <row r="987" spans="1:80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  <c r="CA987" s="1"/>
      <c r="CB987" s="1"/>
    </row>
    <row r="988" spans="1:80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  <c r="CA988" s="1"/>
      <c r="CB988" s="1"/>
    </row>
    <row r="989" spans="1:80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  <c r="CA989" s="1"/>
      <c r="CB989" s="1"/>
    </row>
    <row r="990" spans="1:8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  <c r="CA990" s="1"/>
      <c r="CB990" s="1"/>
    </row>
    <row r="991" spans="1:80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  <c r="CA991" s="1"/>
      <c r="CB991" s="1"/>
    </row>
    <row r="992" spans="1:80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  <c r="CA992" s="1"/>
      <c r="CB992" s="1"/>
    </row>
    <row r="993" spans="1:80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  <c r="CA993" s="1"/>
      <c r="CB993" s="1"/>
    </row>
    <row r="994" spans="1:80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  <c r="CA994" s="1"/>
      <c r="CB994" s="1"/>
    </row>
    <row r="995" spans="1:80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  <c r="CA995" s="1"/>
      <c r="CB995" s="1"/>
    </row>
    <row r="996" spans="1:80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"/>
      <c r="CA996" s="1"/>
      <c r="CB996" s="1"/>
    </row>
    <row r="997" spans="1:80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"/>
      <c r="CA997" s="1"/>
      <c r="CB997" s="1"/>
    </row>
    <row r="998" spans="1:80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"/>
      <c r="CA998" s="1"/>
      <c r="CB998" s="1"/>
    </row>
    <row r="999" spans="1:80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"/>
      <c r="CA999" s="1"/>
      <c r="CB999" s="1"/>
    </row>
    <row r="1000" spans="1:8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  <c r="BX1000" s="1"/>
      <c r="BY1000" s="1"/>
      <c r="BZ1000" s="1"/>
      <c r="CA1000" s="1"/>
      <c r="CB1000" s="1"/>
    </row>
    <row r="1001" spans="1:80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  <c r="BJ1001" s="1"/>
      <c r="BK1001" s="1"/>
      <c r="BL1001" s="1"/>
      <c r="BM1001" s="1"/>
      <c r="BN1001" s="1"/>
      <c r="BO1001" s="1"/>
      <c r="BP1001" s="1"/>
      <c r="BQ1001" s="1"/>
      <c r="BR1001" s="1"/>
      <c r="BS1001" s="1"/>
      <c r="BT1001" s="1"/>
      <c r="BU1001" s="1"/>
      <c r="BV1001" s="1"/>
      <c r="BW1001" s="1"/>
      <c r="BX1001" s="1"/>
      <c r="BY1001" s="1"/>
      <c r="BZ1001" s="1"/>
      <c r="CA1001" s="1"/>
      <c r="CB1001" s="1"/>
    </row>
    <row r="1002" spans="1:80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  <c r="BA1002" s="1"/>
      <c r="BB1002" s="1"/>
      <c r="BC1002" s="1"/>
      <c r="BD1002" s="1"/>
      <c r="BE1002" s="1"/>
      <c r="BF1002" s="1"/>
      <c r="BG1002" s="1"/>
      <c r="BH1002" s="1"/>
      <c r="BI1002" s="1"/>
      <c r="BJ1002" s="1"/>
      <c r="BK1002" s="1"/>
      <c r="BL1002" s="1"/>
      <c r="BM1002" s="1"/>
      <c r="BN1002" s="1"/>
      <c r="BO1002" s="1"/>
      <c r="BP1002" s="1"/>
      <c r="BQ1002" s="1"/>
      <c r="BR1002" s="1"/>
      <c r="BS1002" s="1"/>
      <c r="BT1002" s="1"/>
      <c r="BU1002" s="1"/>
      <c r="BV1002" s="1"/>
      <c r="BW1002" s="1"/>
      <c r="BX1002" s="1"/>
      <c r="BY1002" s="1"/>
      <c r="BZ1002" s="1"/>
      <c r="CA1002" s="1"/>
      <c r="CB1002" s="1"/>
    </row>
    <row r="1003" spans="1:80" ht="15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  <c r="BA1003" s="1"/>
      <c r="BB1003" s="1"/>
      <c r="BC1003" s="1"/>
      <c r="BD1003" s="1"/>
      <c r="BE1003" s="1"/>
      <c r="BF1003" s="1"/>
      <c r="BG1003" s="1"/>
      <c r="BH1003" s="1"/>
      <c r="BI1003" s="1"/>
      <c r="BJ1003" s="1"/>
      <c r="BK1003" s="1"/>
      <c r="BL1003" s="1"/>
      <c r="BM1003" s="1"/>
      <c r="BN1003" s="1"/>
      <c r="BO1003" s="1"/>
      <c r="BP1003" s="1"/>
      <c r="BQ1003" s="1"/>
      <c r="BR1003" s="1"/>
      <c r="BS1003" s="1"/>
      <c r="BT1003" s="1"/>
      <c r="BU1003" s="1"/>
      <c r="BV1003" s="1"/>
      <c r="BW1003" s="1"/>
      <c r="BX1003" s="1"/>
      <c r="BY1003" s="1"/>
      <c r="BZ1003" s="1"/>
      <c r="CA1003" s="1"/>
      <c r="CB1003" s="1"/>
    </row>
    <row r="1004" spans="1:80" ht="15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  <c r="BA1004" s="1"/>
      <c r="BB1004" s="1"/>
      <c r="BC1004" s="1"/>
      <c r="BD1004" s="1"/>
      <c r="BE1004" s="1"/>
      <c r="BF1004" s="1"/>
      <c r="BG1004" s="1"/>
      <c r="BH1004" s="1"/>
      <c r="BI1004" s="1"/>
      <c r="BJ1004" s="1"/>
      <c r="BK1004" s="1"/>
      <c r="BL1004" s="1"/>
      <c r="BM1004" s="1"/>
      <c r="BN1004" s="1"/>
      <c r="BO1004" s="1"/>
      <c r="BP1004" s="1"/>
      <c r="BQ1004" s="1"/>
      <c r="BR1004" s="1"/>
      <c r="BS1004" s="1"/>
      <c r="BT1004" s="1"/>
      <c r="BU1004" s="1"/>
      <c r="BV1004" s="1"/>
      <c r="BW1004" s="1"/>
      <c r="BX1004" s="1"/>
      <c r="BY1004" s="1"/>
      <c r="BZ1004" s="1"/>
      <c r="CA1004" s="1"/>
      <c r="CB1004" s="1"/>
    </row>
    <row r="1005" spans="1:80" ht="15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  <c r="BA1005" s="1"/>
      <c r="BB1005" s="1"/>
      <c r="BC1005" s="1"/>
      <c r="BD1005" s="1"/>
      <c r="BE1005" s="1"/>
      <c r="BF1005" s="1"/>
      <c r="BG1005" s="1"/>
      <c r="BH1005" s="1"/>
      <c r="BI1005" s="1"/>
      <c r="BJ1005" s="1"/>
      <c r="BK1005" s="1"/>
      <c r="BL1005" s="1"/>
      <c r="BM1005" s="1"/>
      <c r="BN1005" s="1"/>
      <c r="BO1005" s="1"/>
      <c r="BP1005" s="1"/>
      <c r="BQ1005" s="1"/>
      <c r="BR1005" s="1"/>
      <c r="BS1005" s="1"/>
      <c r="BT1005" s="1"/>
      <c r="BU1005" s="1"/>
      <c r="BV1005" s="1"/>
      <c r="BW1005" s="1"/>
      <c r="BX1005" s="1"/>
      <c r="BY1005" s="1"/>
      <c r="BZ1005" s="1"/>
      <c r="CA1005" s="1"/>
      <c r="CB1005" s="1"/>
    </row>
    <row r="1006" spans="1:80" ht="15.7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  <c r="AZ1006" s="1"/>
      <c r="BA1006" s="1"/>
      <c r="BB1006" s="1"/>
      <c r="BC1006" s="1"/>
      <c r="BD1006" s="1"/>
      <c r="BE1006" s="1"/>
      <c r="BF1006" s="1"/>
      <c r="BG1006" s="1"/>
      <c r="BH1006" s="1"/>
      <c r="BI1006" s="1"/>
      <c r="BJ1006" s="1"/>
      <c r="BK1006" s="1"/>
      <c r="BL1006" s="1"/>
      <c r="BM1006" s="1"/>
      <c r="BN1006" s="1"/>
      <c r="BO1006" s="1"/>
      <c r="BP1006" s="1"/>
      <c r="BQ1006" s="1"/>
      <c r="BR1006" s="1"/>
      <c r="BS1006" s="1"/>
      <c r="BT1006" s="1"/>
      <c r="BU1006" s="1"/>
      <c r="BV1006" s="1"/>
      <c r="BW1006" s="1"/>
      <c r="BX1006" s="1"/>
      <c r="BY1006" s="1"/>
      <c r="BZ1006" s="1"/>
      <c r="CA1006" s="1"/>
      <c r="CB1006" s="1"/>
    </row>
    <row r="1007" spans="1:80" ht="15.7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  <c r="AZ1007" s="1"/>
      <c r="BA1007" s="1"/>
      <c r="BB1007" s="1"/>
      <c r="BC1007" s="1"/>
      <c r="BD1007" s="1"/>
      <c r="BE1007" s="1"/>
      <c r="BF1007" s="1"/>
      <c r="BG1007" s="1"/>
      <c r="BH1007" s="1"/>
      <c r="BI1007" s="1"/>
      <c r="BJ1007" s="1"/>
      <c r="BK1007" s="1"/>
      <c r="BL1007" s="1"/>
      <c r="BM1007" s="1"/>
      <c r="BN1007" s="1"/>
      <c r="BO1007" s="1"/>
      <c r="BP1007" s="1"/>
      <c r="BQ1007" s="1"/>
      <c r="BR1007" s="1"/>
      <c r="BS1007" s="1"/>
      <c r="BT1007" s="1"/>
      <c r="BU1007" s="1"/>
      <c r="BV1007" s="1"/>
      <c r="BW1007" s="1"/>
      <c r="BX1007" s="1"/>
      <c r="BY1007" s="1"/>
      <c r="BZ1007" s="1"/>
      <c r="CA1007" s="1"/>
      <c r="CB1007" s="1"/>
    </row>
    <row r="1008" spans="1:80" ht="15.7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  <c r="BA1008" s="1"/>
      <c r="BB1008" s="1"/>
      <c r="BC1008" s="1"/>
      <c r="BD1008" s="1"/>
      <c r="BE1008" s="1"/>
      <c r="BF1008" s="1"/>
      <c r="BG1008" s="1"/>
      <c r="BH1008" s="1"/>
      <c r="BI1008" s="1"/>
      <c r="BJ1008" s="1"/>
      <c r="BK1008" s="1"/>
      <c r="BL1008" s="1"/>
      <c r="BM1008" s="1"/>
      <c r="BN1008" s="1"/>
      <c r="BO1008" s="1"/>
      <c r="BP1008" s="1"/>
      <c r="BQ1008" s="1"/>
      <c r="BR1008" s="1"/>
      <c r="BS1008" s="1"/>
      <c r="BT1008" s="1"/>
      <c r="BU1008" s="1"/>
      <c r="BV1008" s="1"/>
      <c r="BW1008" s="1"/>
      <c r="BX1008" s="1"/>
      <c r="BY1008" s="1"/>
      <c r="BZ1008" s="1"/>
      <c r="CA1008" s="1"/>
      <c r="CB1008" s="1"/>
    </row>
    <row r="1009" spans="1:80" ht="15.7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  <c r="BA1009" s="1"/>
      <c r="BB1009" s="1"/>
      <c r="BC1009" s="1"/>
      <c r="BD1009" s="1"/>
      <c r="BE1009" s="1"/>
      <c r="BF1009" s="1"/>
      <c r="BG1009" s="1"/>
      <c r="BH1009" s="1"/>
      <c r="BI1009" s="1"/>
      <c r="BJ1009" s="1"/>
      <c r="BK1009" s="1"/>
      <c r="BL1009" s="1"/>
      <c r="BM1009" s="1"/>
      <c r="BN1009" s="1"/>
      <c r="BO1009" s="1"/>
      <c r="BP1009" s="1"/>
      <c r="BQ1009" s="1"/>
      <c r="BR1009" s="1"/>
      <c r="BS1009" s="1"/>
      <c r="BT1009" s="1"/>
      <c r="BU1009" s="1"/>
      <c r="BV1009" s="1"/>
      <c r="BW1009" s="1"/>
      <c r="BX1009" s="1"/>
      <c r="BY1009" s="1"/>
      <c r="BZ1009" s="1"/>
      <c r="CA1009" s="1"/>
      <c r="CB1009" s="1"/>
    </row>
    <row r="1010" spans="1:80" ht="15.75" customHeight="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  <c r="AY1010" s="1"/>
      <c r="AZ1010" s="1"/>
      <c r="BA1010" s="1"/>
      <c r="BB1010" s="1"/>
      <c r="BC1010" s="1"/>
      <c r="BD1010" s="1"/>
      <c r="BE1010" s="1"/>
      <c r="BF1010" s="1"/>
      <c r="BG1010" s="1"/>
      <c r="BH1010" s="1"/>
      <c r="BI1010" s="1"/>
      <c r="BJ1010" s="1"/>
      <c r="BK1010" s="1"/>
      <c r="BL1010" s="1"/>
      <c r="BM1010" s="1"/>
      <c r="BN1010" s="1"/>
      <c r="BO1010" s="1"/>
      <c r="BP1010" s="1"/>
      <c r="BQ1010" s="1"/>
      <c r="BR1010" s="1"/>
      <c r="BS1010" s="1"/>
      <c r="BT1010" s="1"/>
      <c r="BU1010" s="1"/>
      <c r="BV1010" s="1"/>
      <c r="BW1010" s="1"/>
      <c r="BX1010" s="1"/>
      <c r="BY1010" s="1"/>
      <c r="BZ1010" s="1"/>
      <c r="CA1010" s="1"/>
      <c r="CB1010" s="1"/>
    </row>
    <row r="1011" spans="1:80" ht="15.75" customHeight="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  <c r="AY1011" s="1"/>
      <c r="AZ1011" s="1"/>
      <c r="BA1011" s="1"/>
      <c r="BB1011" s="1"/>
      <c r="BC1011" s="1"/>
      <c r="BD1011" s="1"/>
      <c r="BE1011" s="1"/>
      <c r="BF1011" s="1"/>
      <c r="BG1011" s="1"/>
      <c r="BH1011" s="1"/>
      <c r="BI1011" s="1"/>
      <c r="BJ1011" s="1"/>
      <c r="BK1011" s="1"/>
      <c r="BL1011" s="1"/>
      <c r="BM1011" s="1"/>
      <c r="BN1011" s="1"/>
      <c r="BO1011" s="1"/>
      <c r="BP1011" s="1"/>
      <c r="BQ1011" s="1"/>
      <c r="BR1011" s="1"/>
      <c r="BS1011" s="1"/>
      <c r="BT1011" s="1"/>
      <c r="BU1011" s="1"/>
      <c r="BV1011" s="1"/>
      <c r="BW1011" s="1"/>
      <c r="BX1011" s="1"/>
      <c r="BY1011" s="1"/>
      <c r="BZ1011" s="1"/>
      <c r="CA1011" s="1"/>
      <c r="CB1011" s="1"/>
    </row>
    <row r="1012" spans="1:80" ht="15.75" customHeight="1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1"/>
      <c r="AY1012" s="1"/>
      <c r="AZ1012" s="1"/>
      <c r="BA1012" s="1"/>
      <c r="BB1012" s="1"/>
      <c r="BC1012" s="1"/>
      <c r="BD1012" s="1"/>
      <c r="BE1012" s="1"/>
      <c r="BF1012" s="1"/>
      <c r="BG1012" s="1"/>
      <c r="BH1012" s="1"/>
      <c r="BI1012" s="1"/>
      <c r="BJ1012" s="1"/>
      <c r="BK1012" s="1"/>
      <c r="BL1012" s="1"/>
      <c r="BM1012" s="1"/>
      <c r="BN1012" s="1"/>
      <c r="BO1012" s="1"/>
      <c r="BP1012" s="1"/>
      <c r="BQ1012" s="1"/>
      <c r="BR1012" s="1"/>
      <c r="BS1012" s="1"/>
      <c r="BT1012" s="1"/>
      <c r="BU1012" s="1"/>
      <c r="BV1012" s="1"/>
      <c r="BW1012" s="1"/>
      <c r="BX1012" s="1"/>
      <c r="BY1012" s="1"/>
      <c r="BZ1012" s="1"/>
      <c r="CA1012" s="1"/>
      <c r="CB1012" s="1"/>
    </row>
    <row r="1013" spans="1:80" ht="15.75" customHeight="1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1"/>
      <c r="AW1013" s="1"/>
      <c r="AX1013" s="1"/>
      <c r="AY1013" s="1"/>
      <c r="AZ1013" s="1"/>
      <c r="BA1013" s="1"/>
      <c r="BB1013" s="1"/>
      <c r="BC1013" s="1"/>
      <c r="BD1013" s="1"/>
      <c r="BE1013" s="1"/>
      <c r="BF1013" s="1"/>
      <c r="BG1013" s="1"/>
      <c r="BH1013" s="1"/>
      <c r="BI1013" s="1"/>
      <c r="BJ1013" s="1"/>
      <c r="BK1013" s="1"/>
      <c r="BL1013" s="1"/>
      <c r="BM1013" s="1"/>
      <c r="BN1013" s="1"/>
      <c r="BO1013" s="1"/>
      <c r="BP1013" s="1"/>
      <c r="BQ1013" s="1"/>
      <c r="BR1013" s="1"/>
      <c r="BS1013" s="1"/>
      <c r="BT1013" s="1"/>
      <c r="BU1013" s="1"/>
      <c r="BV1013" s="1"/>
      <c r="BW1013" s="1"/>
      <c r="BX1013" s="1"/>
      <c r="BY1013" s="1"/>
      <c r="BZ1013" s="1"/>
      <c r="CA1013" s="1"/>
      <c r="CB1013" s="1"/>
    </row>
    <row r="1014" spans="1:80" ht="15.75" customHeight="1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  <c r="AW1014" s="1"/>
      <c r="AX1014" s="1"/>
      <c r="AY1014" s="1"/>
      <c r="AZ1014" s="1"/>
      <c r="BA1014" s="1"/>
      <c r="BB1014" s="1"/>
      <c r="BC1014" s="1"/>
      <c r="BD1014" s="1"/>
      <c r="BE1014" s="1"/>
      <c r="BF1014" s="1"/>
      <c r="BG1014" s="1"/>
      <c r="BH1014" s="1"/>
      <c r="BI1014" s="1"/>
      <c r="BJ1014" s="1"/>
      <c r="BK1014" s="1"/>
      <c r="BL1014" s="1"/>
      <c r="BM1014" s="1"/>
      <c r="BN1014" s="1"/>
      <c r="BO1014" s="1"/>
      <c r="BP1014" s="1"/>
      <c r="BQ1014" s="1"/>
      <c r="BR1014" s="1"/>
      <c r="BS1014" s="1"/>
      <c r="BT1014" s="1"/>
      <c r="BU1014" s="1"/>
      <c r="BV1014" s="1"/>
      <c r="BW1014" s="1"/>
      <c r="BX1014" s="1"/>
      <c r="BY1014" s="1"/>
      <c r="BZ1014" s="1"/>
      <c r="CA1014" s="1"/>
      <c r="CB1014" s="1"/>
    </row>
    <row r="1015" spans="1:80" ht="15.75" customHeight="1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1"/>
      <c r="AW1015" s="1"/>
      <c r="AX1015" s="1"/>
      <c r="AY1015" s="1"/>
      <c r="AZ1015" s="1"/>
      <c r="BA1015" s="1"/>
      <c r="BB1015" s="1"/>
      <c r="BC1015" s="1"/>
      <c r="BD1015" s="1"/>
      <c r="BE1015" s="1"/>
      <c r="BF1015" s="1"/>
      <c r="BG1015" s="1"/>
      <c r="BH1015" s="1"/>
      <c r="BI1015" s="1"/>
      <c r="BJ1015" s="1"/>
      <c r="BK1015" s="1"/>
      <c r="BL1015" s="1"/>
      <c r="BM1015" s="1"/>
      <c r="BN1015" s="1"/>
      <c r="BO1015" s="1"/>
      <c r="BP1015" s="1"/>
      <c r="BQ1015" s="1"/>
      <c r="BR1015" s="1"/>
      <c r="BS1015" s="1"/>
      <c r="BT1015" s="1"/>
      <c r="BU1015" s="1"/>
      <c r="BV1015" s="1"/>
      <c r="BW1015" s="1"/>
      <c r="BX1015" s="1"/>
      <c r="BY1015" s="1"/>
      <c r="BZ1015" s="1"/>
      <c r="CA1015" s="1"/>
      <c r="CB1015" s="1"/>
    </row>
    <row r="1016" spans="1:80" ht="15.75" customHeight="1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1"/>
      <c r="AW1016" s="1"/>
      <c r="AX1016" s="1"/>
      <c r="AY1016" s="1"/>
      <c r="AZ1016" s="1"/>
      <c r="BA1016" s="1"/>
      <c r="BB1016" s="1"/>
      <c r="BC1016" s="1"/>
      <c r="BD1016" s="1"/>
      <c r="BE1016" s="1"/>
      <c r="BF1016" s="1"/>
      <c r="BG1016" s="1"/>
      <c r="BH1016" s="1"/>
      <c r="BI1016" s="1"/>
      <c r="BJ1016" s="1"/>
      <c r="BK1016" s="1"/>
      <c r="BL1016" s="1"/>
      <c r="BM1016" s="1"/>
      <c r="BN1016" s="1"/>
      <c r="BO1016" s="1"/>
      <c r="BP1016" s="1"/>
      <c r="BQ1016" s="1"/>
      <c r="BR1016" s="1"/>
      <c r="BS1016" s="1"/>
      <c r="BT1016" s="1"/>
      <c r="BU1016" s="1"/>
      <c r="BV1016" s="1"/>
      <c r="BW1016" s="1"/>
      <c r="BX1016" s="1"/>
      <c r="BY1016" s="1"/>
      <c r="BZ1016" s="1"/>
      <c r="CA1016" s="1"/>
      <c r="CB1016" s="1"/>
    </row>
    <row r="1017" spans="1:80" ht="15.75" customHeight="1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  <c r="AT1017" s="1"/>
      <c r="AU1017" s="1"/>
      <c r="AV1017" s="1"/>
      <c r="AW1017" s="1"/>
      <c r="AX1017" s="1"/>
      <c r="AY1017" s="1"/>
      <c r="AZ1017" s="1"/>
      <c r="BA1017" s="1"/>
      <c r="BB1017" s="1"/>
      <c r="BC1017" s="1"/>
      <c r="BD1017" s="1"/>
      <c r="BE1017" s="1"/>
      <c r="BF1017" s="1"/>
      <c r="BG1017" s="1"/>
      <c r="BH1017" s="1"/>
      <c r="BI1017" s="1"/>
      <c r="BJ1017" s="1"/>
      <c r="BK1017" s="1"/>
      <c r="BL1017" s="1"/>
      <c r="BM1017" s="1"/>
      <c r="BN1017" s="1"/>
      <c r="BO1017" s="1"/>
      <c r="BP1017" s="1"/>
      <c r="BQ1017" s="1"/>
      <c r="BR1017" s="1"/>
      <c r="BS1017" s="1"/>
      <c r="BT1017" s="1"/>
      <c r="BU1017" s="1"/>
      <c r="BV1017" s="1"/>
      <c r="BW1017" s="1"/>
      <c r="BX1017" s="1"/>
      <c r="BY1017" s="1"/>
      <c r="BZ1017" s="1"/>
      <c r="CA1017" s="1"/>
      <c r="CB1017" s="1"/>
    </row>
    <row r="1018" spans="1:80" ht="15.75" customHeight="1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1"/>
      <c r="AW1018" s="1"/>
      <c r="AX1018" s="1"/>
      <c r="AY1018" s="1"/>
      <c r="AZ1018" s="1"/>
      <c r="BA1018" s="1"/>
      <c r="BB1018" s="1"/>
      <c r="BC1018" s="1"/>
      <c r="BD1018" s="1"/>
      <c r="BE1018" s="1"/>
      <c r="BF1018" s="1"/>
      <c r="BG1018" s="1"/>
      <c r="BH1018" s="1"/>
      <c r="BI1018" s="1"/>
      <c r="BJ1018" s="1"/>
      <c r="BK1018" s="1"/>
      <c r="BL1018" s="1"/>
      <c r="BM1018" s="1"/>
      <c r="BN1018" s="1"/>
      <c r="BO1018" s="1"/>
      <c r="BP1018" s="1"/>
      <c r="BQ1018" s="1"/>
      <c r="BR1018" s="1"/>
      <c r="BS1018" s="1"/>
      <c r="BT1018" s="1"/>
      <c r="BU1018" s="1"/>
      <c r="BV1018" s="1"/>
      <c r="BW1018" s="1"/>
      <c r="BX1018" s="1"/>
      <c r="BY1018" s="1"/>
      <c r="BZ1018" s="1"/>
      <c r="CA1018" s="1"/>
      <c r="CB1018" s="1"/>
    </row>
    <row r="1019" spans="1:80" ht="15.75" customHeight="1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  <c r="AT1019" s="1"/>
      <c r="AU1019" s="1"/>
      <c r="AV1019" s="1"/>
      <c r="AW1019" s="1"/>
      <c r="AX1019" s="1"/>
      <c r="AY1019" s="1"/>
      <c r="AZ1019" s="1"/>
      <c r="BA1019" s="1"/>
      <c r="BB1019" s="1"/>
      <c r="BC1019" s="1"/>
      <c r="BD1019" s="1"/>
      <c r="BE1019" s="1"/>
      <c r="BF1019" s="1"/>
      <c r="BG1019" s="1"/>
      <c r="BH1019" s="1"/>
      <c r="BI1019" s="1"/>
      <c r="BJ1019" s="1"/>
      <c r="BK1019" s="1"/>
      <c r="BL1019" s="1"/>
      <c r="BM1019" s="1"/>
      <c r="BN1019" s="1"/>
      <c r="BO1019" s="1"/>
      <c r="BP1019" s="1"/>
      <c r="BQ1019" s="1"/>
      <c r="BR1019" s="1"/>
      <c r="BS1019" s="1"/>
      <c r="BT1019" s="1"/>
      <c r="BU1019" s="1"/>
      <c r="BV1019" s="1"/>
      <c r="BW1019" s="1"/>
      <c r="BX1019" s="1"/>
      <c r="BY1019" s="1"/>
      <c r="BZ1019" s="1"/>
      <c r="CA1019" s="1"/>
      <c r="CB1019" s="1"/>
    </row>
    <row r="1020" spans="1:80" ht="15.75" customHeight="1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1"/>
      <c r="AW1020" s="1"/>
      <c r="AX1020" s="1"/>
      <c r="AY1020" s="1"/>
      <c r="AZ1020" s="1"/>
      <c r="BA1020" s="1"/>
      <c r="BB1020" s="1"/>
      <c r="BC1020" s="1"/>
      <c r="BD1020" s="1"/>
      <c r="BE1020" s="1"/>
      <c r="BF1020" s="1"/>
      <c r="BG1020" s="1"/>
      <c r="BH1020" s="1"/>
      <c r="BI1020" s="1"/>
      <c r="BJ1020" s="1"/>
      <c r="BK1020" s="1"/>
      <c r="BL1020" s="1"/>
      <c r="BM1020" s="1"/>
      <c r="BN1020" s="1"/>
      <c r="BO1020" s="1"/>
      <c r="BP1020" s="1"/>
      <c r="BQ1020" s="1"/>
      <c r="BR1020" s="1"/>
      <c r="BS1020" s="1"/>
      <c r="BT1020" s="1"/>
      <c r="BU1020" s="1"/>
      <c r="BV1020" s="1"/>
      <c r="BW1020" s="1"/>
      <c r="BX1020" s="1"/>
      <c r="BY1020" s="1"/>
      <c r="BZ1020" s="1"/>
      <c r="CA1020" s="1"/>
      <c r="CB1020" s="1"/>
    </row>
    <row r="1021" spans="1:80" ht="15.75" customHeight="1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  <c r="AT1021" s="1"/>
      <c r="AU1021" s="1"/>
      <c r="AV1021" s="1"/>
      <c r="AW1021" s="1"/>
      <c r="AX1021" s="1"/>
      <c r="AY1021" s="1"/>
      <c r="AZ1021" s="1"/>
      <c r="BA1021" s="1"/>
      <c r="BB1021" s="1"/>
      <c r="BC1021" s="1"/>
      <c r="BD1021" s="1"/>
      <c r="BE1021" s="1"/>
      <c r="BF1021" s="1"/>
      <c r="BG1021" s="1"/>
      <c r="BH1021" s="1"/>
      <c r="BI1021" s="1"/>
      <c r="BJ1021" s="1"/>
      <c r="BK1021" s="1"/>
      <c r="BL1021" s="1"/>
      <c r="BM1021" s="1"/>
      <c r="BN1021" s="1"/>
      <c r="BO1021" s="1"/>
      <c r="BP1021" s="1"/>
      <c r="BQ1021" s="1"/>
      <c r="BR1021" s="1"/>
      <c r="BS1021" s="1"/>
      <c r="BT1021" s="1"/>
      <c r="BU1021" s="1"/>
      <c r="BV1021" s="1"/>
      <c r="BW1021" s="1"/>
      <c r="BX1021" s="1"/>
      <c r="BY1021" s="1"/>
      <c r="BZ1021" s="1"/>
      <c r="CA1021" s="1"/>
      <c r="CB1021" s="1"/>
    </row>
    <row r="1022" spans="1:80" ht="15.75" customHeight="1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  <c r="AP1022" s="1"/>
      <c r="AQ1022" s="1"/>
      <c r="AR1022" s="1"/>
      <c r="AS1022" s="1"/>
      <c r="AT1022" s="1"/>
      <c r="AU1022" s="1"/>
      <c r="AV1022" s="1"/>
      <c r="AW1022" s="1"/>
      <c r="AX1022" s="1"/>
      <c r="AY1022" s="1"/>
      <c r="AZ1022" s="1"/>
      <c r="BA1022" s="1"/>
      <c r="BB1022" s="1"/>
      <c r="BC1022" s="1"/>
      <c r="BD1022" s="1"/>
      <c r="BE1022" s="1"/>
      <c r="BF1022" s="1"/>
      <c r="BG1022" s="1"/>
      <c r="BH1022" s="1"/>
      <c r="BI1022" s="1"/>
      <c r="BJ1022" s="1"/>
      <c r="BK1022" s="1"/>
      <c r="BL1022" s="1"/>
      <c r="BM1022" s="1"/>
      <c r="BN1022" s="1"/>
      <c r="BO1022" s="1"/>
      <c r="BP1022" s="1"/>
      <c r="BQ1022" s="1"/>
      <c r="BR1022" s="1"/>
      <c r="BS1022" s="1"/>
      <c r="BT1022" s="1"/>
      <c r="BU1022" s="1"/>
      <c r="BV1022" s="1"/>
      <c r="BW1022" s="1"/>
      <c r="BX1022" s="1"/>
      <c r="BY1022" s="1"/>
      <c r="BZ1022" s="1"/>
      <c r="CA1022" s="1"/>
      <c r="CB1022" s="1"/>
    </row>
    <row r="1023" spans="1:80" ht="15.75" customHeight="1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1"/>
      <c r="AM1023" s="1"/>
      <c r="AN1023" s="1"/>
      <c r="AO1023" s="1"/>
      <c r="AP1023" s="1"/>
      <c r="AQ1023" s="1"/>
      <c r="AR1023" s="1"/>
      <c r="AS1023" s="1"/>
      <c r="AT1023" s="1"/>
      <c r="AU1023" s="1"/>
      <c r="AV1023" s="1"/>
      <c r="AW1023" s="1"/>
      <c r="AX1023" s="1"/>
      <c r="AY1023" s="1"/>
      <c r="AZ1023" s="1"/>
      <c r="BA1023" s="1"/>
      <c r="BB1023" s="1"/>
      <c r="BC1023" s="1"/>
      <c r="BD1023" s="1"/>
      <c r="BE1023" s="1"/>
      <c r="BF1023" s="1"/>
      <c r="BG1023" s="1"/>
      <c r="BH1023" s="1"/>
      <c r="BI1023" s="1"/>
      <c r="BJ1023" s="1"/>
      <c r="BK1023" s="1"/>
      <c r="BL1023" s="1"/>
      <c r="BM1023" s="1"/>
      <c r="BN1023" s="1"/>
      <c r="BO1023" s="1"/>
      <c r="BP1023" s="1"/>
      <c r="BQ1023" s="1"/>
      <c r="BR1023" s="1"/>
      <c r="BS1023" s="1"/>
      <c r="BT1023" s="1"/>
      <c r="BU1023" s="1"/>
      <c r="BV1023" s="1"/>
      <c r="BW1023" s="1"/>
      <c r="BX1023" s="1"/>
      <c r="BY1023" s="1"/>
      <c r="BZ1023" s="1"/>
      <c r="CA1023" s="1"/>
      <c r="CB1023" s="1"/>
    </row>
    <row r="1024" spans="1:80" ht="15.75" customHeight="1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  <c r="AP1024" s="1"/>
      <c r="AQ1024" s="1"/>
      <c r="AR1024" s="1"/>
      <c r="AS1024" s="1"/>
      <c r="AT1024" s="1"/>
      <c r="AU1024" s="1"/>
      <c r="AV1024" s="1"/>
      <c r="AW1024" s="1"/>
      <c r="AX1024" s="1"/>
      <c r="AY1024" s="1"/>
      <c r="AZ1024" s="1"/>
      <c r="BA1024" s="1"/>
      <c r="BB1024" s="1"/>
      <c r="BC1024" s="1"/>
      <c r="BD1024" s="1"/>
      <c r="BE1024" s="1"/>
      <c r="BF1024" s="1"/>
      <c r="BG1024" s="1"/>
      <c r="BH1024" s="1"/>
      <c r="BI1024" s="1"/>
      <c r="BJ1024" s="1"/>
      <c r="BK1024" s="1"/>
      <c r="BL1024" s="1"/>
      <c r="BM1024" s="1"/>
      <c r="BN1024" s="1"/>
      <c r="BO1024" s="1"/>
      <c r="BP1024" s="1"/>
      <c r="BQ1024" s="1"/>
      <c r="BR1024" s="1"/>
      <c r="BS1024" s="1"/>
      <c r="BT1024" s="1"/>
      <c r="BU1024" s="1"/>
      <c r="BV1024" s="1"/>
      <c r="BW1024" s="1"/>
      <c r="BX1024" s="1"/>
      <c r="BY1024" s="1"/>
      <c r="BZ1024" s="1"/>
      <c r="CA1024" s="1"/>
      <c r="CB1024" s="1"/>
    </row>
    <row r="1025" spans="1:80" ht="15.75" customHeight="1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1"/>
      <c r="AM1025" s="1"/>
      <c r="AN1025" s="1"/>
      <c r="AO1025" s="1"/>
      <c r="AP1025" s="1"/>
      <c r="AQ1025" s="1"/>
      <c r="AR1025" s="1"/>
      <c r="AS1025" s="1"/>
      <c r="AT1025" s="1"/>
      <c r="AU1025" s="1"/>
      <c r="AV1025" s="1"/>
      <c r="AW1025" s="1"/>
      <c r="AX1025" s="1"/>
      <c r="AY1025" s="1"/>
      <c r="AZ1025" s="1"/>
      <c r="BA1025" s="1"/>
      <c r="BB1025" s="1"/>
      <c r="BC1025" s="1"/>
      <c r="BD1025" s="1"/>
      <c r="BE1025" s="1"/>
      <c r="BF1025" s="1"/>
      <c r="BG1025" s="1"/>
      <c r="BH1025" s="1"/>
      <c r="BI1025" s="1"/>
      <c r="BJ1025" s="1"/>
      <c r="BK1025" s="1"/>
      <c r="BL1025" s="1"/>
      <c r="BM1025" s="1"/>
      <c r="BN1025" s="1"/>
      <c r="BO1025" s="1"/>
      <c r="BP1025" s="1"/>
      <c r="BQ1025" s="1"/>
      <c r="BR1025" s="1"/>
      <c r="BS1025" s="1"/>
      <c r="BT1025" s="1"/>
      <c r="BU1025" s="1"/>
      <c r="BV1025" s="1"/>
      <c r="BW1025" s="1"/>
      <c r="BX1025" s="1"/>
      <c r="BY1025" s="1"/>
      <c r="BZ1025" s="1"/>
      <c r="CA1025" s="1"/>
      <c r="CB1025" s="1"/>
    </row>
    <row r="1026" spans="1:80" ht="15.75" customHeight="1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1"/>
      <c r="AP1026" s="1"/>
      <c r="AQ1026" s="1"/>
      <c r="AR1026" s="1"/>
      <c r="AS1026" s="1"/>
      <c r="AT1026" s="1"/>
      <c r="AU1026" s="1"/>
      <c r="AV1026" s="1"/>
      <c r="AW1026" s="1"/>
      <c r="AX1026" s="1"/>
      <c r="AY1026" s="1"/>
      <c r="AZ1026" s="1"/>
      <c r="BA1026" s="1"/>
      <c r="BB1026" s="1"/>
      <c r="BC1026" s="1"/>
      <c r="BD1026" s="1"/>
      <c r="BE1026" s="1"/>
      <c r="BF1026" s="1"/>
      <c r="BG1026" s="1"/>
      <c r="BH1026" s="1"/>
      <c r="BI1026" s="1"/>
      <c r="BJ1026" s="1"/>
      <c r="BK1026" s="1"/>
      <c r="BL1026" s="1"/>
      <c r="BM1026" s="1"/>
      <c r="BN1026" s="1"/>
      <c r="BO1026" s="1"/>
      <c r="BP1026" s="1"/>
      <c r="BQ1026" s="1"/>
      <c r="BR1026" s="1"/>
      <c r="BS1026" s="1"/>
      <c r="BT1026" s="1"/>
      <c r="BU1026" s="1"/>
      <c r="BV1026" s="1"/>
      <c r="BW1026" s="1"/>
      <c r="BX1026" s="1"/>
      <c r="BY1026" s="1"/>
      <c r="BZ1026" s="1"/>
      <c r="CA1026" s="1"/>
      <c r="CB1026" s="1"/>
    </row>
    <row r="1027" spans="1:80" ht="15.75" customHeight="1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1"/>
      <c r="AM1027" s="1"/>
      <c r="AN1027" s="1"/>
      <c r="AO1027" s="1"/>
      <c r="AP1027" s="1"/>
      <c r="AQ1027" s="1"/>
      <c r="AR1027" s="1"/>
      <c r="AS1027" s="1"/>
      <c r="AT1027" s="1"/>
      <c r="AU1027" s="1"/>
      <c r="AV1027" s="1"/>
      <c r="AW1027" s="1"/>
      <c r="AX1027" s="1"/>
      <c r="AY1027" s="1"/>
      <c r="AZ1027" s="1"/>
      <c r="BA1027" s="1"/>
      <c r="BB1027" s="1"/>
      <c r="BC1027" s="1"/>
      <c r="BD1027" s="1"/>
      <c r="BE1027" s="1"/>
      <c r="BF1027" s="1"/>
      <c r="BG1027" s="1"/>
      <c r="BH1027" s="1"/>
      <c r="BI1027" s="1"/>
      <c r="BJ1027" s="1"/>
      <c r="BK1027" s="1"/>
      <c r="BL1027" s="1"/>
      <c r="BM1027" s="1"/>
      <c r="BN1027" s="1"/>
      <c r="BO1027" s="1"/>
      <c r="BP1027" s="1"/>
      <c r="BQ1027" s="1"/>
      <c r="BR1027" s="1"/>
      <c r="BS1027" s="1"/>
      <c r="BT1027" s="1"/>
      <c r="BU1027" s="1"/>
      <c r="BV1027" s="1"/>
      <c r="BW1027" s="1"/>
      <c r="BX1027" s="1"/>
      <c r="BY1027" s="1"/>
      <c r="BZ1027" s="1"/>
      <c r="CA1027" s="1"/>
      <c r="CB1027" s="1"/>
    </row>
    <row r="1028" spans="1:80" ht="15.75" customHeight="1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  <c r="AL1028" s="1"/>
      <c r="AM1028" s="1"/>
      <c r="AN1028" s="1"/>
      <c r="AO1028" s="1"/>
      <c r="AP1028" s="1"/>
      <c r="AQ1028" s="1"/>
      <c r="AR1028" s="1"/>
      <c r="AS1028" s="1"/>
      <c r="AT1028" s="1"/>
      <c r="AU1028" s="1"/>
      <c r="AV1028" s="1"/>
      <c r="AW1028" s="1"/>
      <c r="AX1028" s="1"/>
      <c r="AY1028" s="1"/>
      <c r="AZ1028" s="1"/>
      <c r="BA1028" s="1"/>
      <c r="BB1028" s="1"/>
      <c r="BC1028" s="1"/>
      <c r="BD1028" s="1"/>
      <c r="BE1028" s="1"/>
      <c r="BF1028" s="1"/>
      <c r="BG1028" s="1"/>
      <c r="BH1028" s="1"/>
      <c r="BI1028" s="1"/>
      <c r="BJ1028" s="1"/>
      <c r="BK1028" s="1"/>
      <c r="BL1028" s="1"/>
      <c r="BM1028" s="1"/>
      <c r="BN1028" s="1"/>
      <c r="BO1028" s="1"/>
      <c r="BP1028" s="1"/>
      <c r="BQ1028" s="1"/>
      <c r="BR1028" s="1"/>
      <c r="BS1028" s="1"/>
      <c r="BT1028" s="1"/>
      <c r="BU1028" s="1"/>
      <c r="BV1028" s="1"/>
      <c r="BW1028" s="1"/>
      <c r="BX1028" s="1"/>
      <c r="BY1028" s="1"/>
      <c r="BZ1028" s="1"/>
      <c r="CA1028" s="1"/>
      <c r="CB1028" s="1"/>
    </row>
    <row r="1029" spans="1:80" ht="15.75" customHeight="1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  <c r="AL1029" s="1"/>
      <c r="AM1029" s="1"/>
      <c r="AN1029" s="1"/>
      <c r="AO1029" s="1"/>
      <c r="AP1029" s="1"/>
      <c r="AQ1029" s="1"/>
      <c r="AR1029" s="1"/>
      <c r="AS1029" s="1"/>
      <c r="AT1029" s="1"/>
      <c r="AU1029" s="1"/>
      <c r="AV1029" s="1"/>
      <c r="AW1029" s="1"/>
      <c r="AX1029" s="1"/>
      <c r="AY1029" s="1"/>
      <c r="AZ1029" s="1"/>
      <c r="BA1029" s="1"/>
      <c r="BB1029" s="1"/>
      <c r="BC1029" s="1"/>
      <c r="BD1029" s="1"/>
      <c r="BE1029" s="1"/>
      <c r="BF1029" s="1"/>
      <c r="BG1029" s="1"/>
      <c r="BH1029" s="1"/>
      <c r="BI1029" s="1"/>
      <c r="BJ1029" s="1"/>
      <c r="BK1029" s="1"/>
      <c r="BL1029" s="1"/>
      <c r="BM1029" s="1"/>
      <c r="BN1029" s="1"/>
      <c r="BO1029" s="1"/>
      <c r="BP1029" s="1"/>
      <c r="BQ1029" s="1"/>
      <c r="BR1029" s="1"/>
      <c r="BS1029" s="1"/>
      <c r="BT1029" s="1"/>
      <c r="BU1029" s="1"/>
      <c r="BV1029" s="1"/>
      <c r="BW1029" s="1"/>
      <c r="BX1029" s="1"/>
      <c r="BY1029" s="1"/>
      <c r="BZ1029" s="1"/>
      <c r="CA1029" s="1"/>
      <c r="CB1029" s="1"/>
    </row>
    <row r="1030" spans="1:80" ht="15.75" customHeight="1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  <c r="AL1030" s="1"/>
      <c r="AM1030" s="1"/>
      <c r="AN1030" s="1"/>
      <c r="AO1030" s="1"/>
      <c r="AP1030" s="1"/>
      <c r="AQ1030" s="1"/>
      <c r="AR1030" s="1"/>
      <c r="AS1030" s="1"/>
      <c r="AT1030" s="1"/>
      <c r="AU1030" s="1"/>
      <c r="AV1030" s="1"/>
      <c r="AW1030" s="1"/>
      <c r="AX1030" s="1"/>
      <c r="AY1030" s="1"/>
      <c r="AZ1030" s="1"/>
      <c r="BA1030" s="1"/>
      <c r="BB1030" s="1"/>
      <c r="BC1030" s="1"/>
      <c r="BD1030" s="1"/>
      <c r="BE1030" s="1"/>
      <c r="BF1030" s="1"/>
      <c r="BG1030" s="1"/>
      <c r="BH1030" s="1"/>
      <c r="BI1030" s="1"/>
      <c r="BJ1030" s="1"/>
      <c r="BK1030" s="1"/>
      <c r="BL1030" s="1"/>
      <c r="BM1030" s="1"/>
      <c r="BN1030" s="1"/>
      <c r="BO1030" s="1"/>
      <c r="BP1030" s="1"/>
      <c r="BQ1030" s="1"/>
      <c r="BR1030" s="1"/>
      <c r="BS1030" s="1"/>
      <c r="BT1030" s="1"/>
      <c r="BU1030" s="1"/>
      <c r="BV1030" s="1"/>
      <c r="BW1030" s="1"/>
      <c r="BX1030" s="1"/>
      <c r="BY1030" s="1"/>
      <c r="BZ1030" s="1"/>
      <c r="CA1030" s="1"/>
      <c r="CB1030" s="1"/>
    </row>
    <row r="1031" spans="1:80" ht="15.75" customHeight="1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  <c r="AL1031" s="1"/>
      <c r="AM1031" s="1"/>
      <c r="AN1031" s="1"/>
      <c r="AO1031" s="1"/>
      <c r="AP1031" s="1"/>
      <c r="AQ1031" s="1"/>
      <c r="AR1031" s="1"/>
      <c r="AS1031" s="1"/>
      <c r="AT1031" s="1"/>
      <c r="AU1031" s="1"/>
      <c r="AV1031" s="1"/>
      <c r="AW1031" s="1"/>
      <c r="AX1031" s="1"/>
      <c r="AY1031" s="1"/>
      <c r="AZ1031" s="1"/>
      <c r="BA1031" s="1"/>
      <c r="BB1031" s="1"/>
      <c r="BC1031" s="1"/>
      <c r="BD1031" s="1"/>
      <c r="BE1031" s="1"/>
      <c r="BF1031" s="1"/>
      <c r="BG1031" s="1"/>
      <c r="BH1031" s="1"/>
      <c r="BI1031" s="1"/>
      <c r="BJ1031" s="1"/>
      <c r="BK1031" s="1"/>
      <c r="BL1031" s="1"/>
      <c r="BM1031" s="1"/>
      <c r="BN1031" s="1"/>
      <c r="BO1031" s="1"/>
      <c r="BP1031" s="1"/>
      <c r="BQ1031" s="1"/>
      <c r="BR1031" s="1"/>
      <c r="BS1031" s="1"/>
      <c r="BT1031" s="1"/>
      <c r="BU1031" s="1"/>
      <c r="BV1031" s="1"/>
      <c r="BW1031" s="1"/>
      <c r="BX1031" s="1"/>
      <c r="BY1031" s="1"/>
      <c r="BZ1031" s="1"/>
      <c r="CA1031" s="1"/>
      <c r="CB1031" s="1"/>
    </row>
    <row r="1032" spans="1:80" ht="15.75" customHeight="1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  <c r="AL1032" s="1"/>
      <c r="AM1032" s="1"/>
      <c r="AN1032" s="1"/>
      <c r="AO1032" s="1"/>
      <c r="AP1032" s="1"/>
      <c r="AQ1032" s="1"/>
      <c r="AR1032" s="1"/>
      <c r="AS1032" s="1"/>
      <c r="AT1032" s="1"/>
      <c r="AU1032" s="1"/>
      <c r="AV1032" s="1"/>
      <c r="AW1032" s="1"/>
      <c r="AX1032" s="1"/>
      <c r="AY1032" s="1"/>
      <c r="AZ1032" s="1"/>
      <c r="BA1032" s="1"/>
      <c r="BB1032" s="1"/>
      <c r="BC1032" s="1"/>
      <c r="BD1032" s="1"/>
      <c r="BE1032" s="1"/>
      <c r="BF1032" s="1"/>
      <c r="BG1032" s="1"/>
      <c r="BH1032" s="1"/>
      <c r="BI1032" s="1"/>
      <c r="BJ1032" s="1"/>
      <c r="BK1032" s="1"/>
      <c r="BL1032" s="1"/>
      <c r="BM1032" s="1"/>
      <c r="BN1032" s="1"/>
      <c r="BO1032" s="1"/>
      <c r="BP1032" s="1"/>
      <c r="BQ1032" s="1"/>
      <c r="BR1032" s="1"/>
      <c r="BS1032" s="1"/>
      <c r="BT1032" s="1"/>
      <c r="BU1032" s="1"/>
      <c r="BV1032" s="1"/>
      <c r="BW1032" s="1"/>
      <c r="BX1032" s="1"/>
      <c r="BY1032" s="1"/>
      <c r="BZ1032" s="1"/>
      <c r="CA1032" s="1"/>
      <c r="CB1032" s="1"/>
    </row>
    <row r="1033" spans="1:80" ht="15.75" customHeight="1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1"/>
      <c r="AM1033" s="1"/>
      <c r="AN1033" s="1"/>
      <c r="AO1033" s="1"/>
      <c r="AP1033" s="1"/>
      <c r="AQ1033" s="1"/>
      <c r="AR1033" s="1"/>
      <c r="AS1033" s="1"/>
      <c r="AT1033" s="1"/>
      <c r="AU1033" s="1"/>
      <c r="AV1033" s="1"/>
      <c r="AW1033" s="1"/>
      <c r="AX1033" s="1"/>
      <c r="AY1033" s="1"/>
      <c r="AZ1033" s="1"/>
      <c r="BA1033" s="1"/>
      <c r="BB1033" s="1"/>
      <c r="BC1033" s="1"/>
      <c r="BD1033" s="1"/>
      <c r="BE1033" s="1"/>
      <c r="BF1033" s="1"/>
      <c r="BG1033" s="1"/>
      <c r="BH1033" s="1"/>
      <c r="BI1033" s="1"/>
      <c r="BJ1033" s="1"/>
      <c r="BK1033" s="1"/>
      <c r="BL1033" s="1"/>
      <c r="BM1033" s="1"/>
      <c r="BN1033" s="1"/>
      <c r="BO1033" s="1"/>
      <c r="BP1033" s="1"/>
      <c r="BQ1033" s="1"/>
      <c r="BR1033" s="1"/>
      <c r="BS1033" s="1"/>
      <c r="BT1033" s="1"/>
      <c r="BU1033" s="1"/>
      <c r="BV1033" s="1"/>
      <c r="BW1033" s="1"/>
      <c r="BX1033" s="1"/>
      <c r="BY1033" s="1"/>
      <c r="BZ1033" s="1"/>
      <c r="CA1033" s="1"/>
      <c r="CB1033" s="1"/>
    </row>
    <row r="1034" spans="1:80" ht="15.75" customHeight="1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  <c r="AL1034" s="1"/>
      <c r="AM1034" s="1"/>
      <c r="AN1034" s="1"/>
      <c r="AO1034" s="1"/>
      <c r="AP1034" s="1"/>
      <c r="AQ1034" s="1"/>
      <c r="AR1034" s="1"/>
      <c r="AS1034" s="1"/>
      <c r="AT1034" s="1"/>
      <c r="AU1034" s="1"/>
      <c r="AV1034" s="1"/>
      <c r="AW1034" s="1"/>
      <c r="AX1034" s="1"/>
      <c r="AY1034" s="1"/>
      <c r="AZ1034" s="1"/>
      <c r="BA1034" s="1"/>
      <c r="BB1034" s="1"/>
      <c r="BC1034" s="1"/>
      <c r="BD1034" s="1"/>
      <c r="BE1034" s="1"/>
      <c r="BF1034" s="1"/>
      <c r="BG1034" s="1"/>
      <c r="BH1034" s="1"/>
      <c r="BI1034" s="1"/>
      <c r="BJ1034" s="1"/>
      <c r="BK1034" s="1"/>
      <c r="BL1034" s="1"/>
      <c r="BM1034" s="1"/>
      <c r="BN1034" s="1"/>
      <c r="BO1034" s="1"/>
      <c r="BP1034" s="1"/>
      <c r="BQ1034" s="1"/>
      <c r="BR1034" s="1"/>
      <c r="BS1034" s="1"/>
      <c r="BT1034" s="1"/>
      <c r="BU1034" s="1"/>
      <c r="BV1034" s="1"/>
      <c r="BW1034" s="1"/>
      <c r="BX1034" s="1"/>
      <c r="BY1034" s="1"/>
      <c r="BZ1034" s="1"/>
      <c r="CA1034" s="1"/>
      <c r="CB1034" s="1"/>
    </row>
    <row r="1035" spans="1:80" ht="15.75" customHeight="1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  <c r="AP1035" s="1"/>
      <c r="AQ1035" s="1"/>
      <c r="AR1035" s="1"/>
      <c r="AS1035" s="1"/>
      <c r="AT1035" s="1"/>
      <c r="AU1035" s="1"/>
      <c r="AV1035" s="1"/>
      <c r="AW1035" s="1"/>
      <c r="AX1035" s="1"/>
      <c r="AY1035" s="1"/>
      <c r="AZ1035" s="1"/>
      <c r="BA1035" s="1"/>
      <c r="BB1035" s="1"/>
      <c r="BC1035" s="1"/>
      <c r="BD1035" s="1"/>
      <c r="BE1035" s="1"/>
      <c r="BF1035" s="1"/>
      <c r="BG1035" s="1"/>
      <c r="BH1035" s="1"/>
      <c r="BI1035" s="1"/>
      <c r="BJ1035" s="1"/>
      <c r="BK1035" s="1"/>
      <c r="BL1035" s="1"/>
      <c r="BM1035" s="1"/>
      <c r="BN1035" s="1"/>
      <c r="BO1035" s="1"/>
      <c r="BP1035" s="1"/>
      <c r="BQ1035" s="1"/>
      <c r="BR1035" s="1"/>
      <c r="BS1035" s="1"/>
      <c r="BT1035" s="1"/>
      <c r="BU1035" s="1"/>
      <c r="BV1035" s="1"/>
      <c r="BW1035" s="1"/>
      <c r="BX1035" s="1"/>
      <c r="BY1035" s="1"/>
      <c r="BZ1035" s="1"/>
      <c r="CA1035" s="1"/>
      <c r="CB1035" s="1"/>
    </row>
  </sheetData>
  <mergeCells count="2">
    <mergeCell ref="L54:L56"/>
    <mergeCell ref="B96:M97"/>
  </mergeCells>
  <conditionalFormatting sqref="C11:C41">
    <cfRule type="colorScale" priority="16">
      <colorScale>
        <cfvo type="min"/>
        <cfvo type="max"/>
        <color rgb="FFFFFFFF"/>
        <color rgb="FF57BB8A"/>
      </colorScale>
    </cfRule>
  </conditionalFormatting>
  <conditionalFormatting sqref="C77">
    <cfRule type="colorScale" priority="27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C50:F53">
    <cfRule type="colorScale" priority="2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54:F54">
    <cfRule type="colorScale" priority="1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55:F55">
    <cfRule type="colorScale" priority="15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C44:H49">
    <cfRule type="colorScale" priority="3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11:D41">
    <cfRule type="colorScale" priority="17">
      <colorScale>
        <cfvo type="min"/>
        <cfvo type="max"/>
        <color rgb="FFFFFFFF"/>
        <color rgb="FF57BB8A"/>
      </colorScale>
    </cfRule>
  </conditionalFormatting>
  <conditionalFormatting sqref="E11:E41">
    <cfRule type="colorScale" priority="1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E57:E67 L51 O58:O67 V59:V60 J66">
    <cfRule type="colorScale" priority="1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11:F41">
    <cfRule type="colorScale" priority="1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11:I41">
    <cfRule type="colorScale" priority="2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44:I49">
    <cfRule type="colorScale" priority="3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54:K54 O56">
    <cfRule type="colorScale" priority="1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56:K56">
    <cfRule type="colorScale" priority="10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J23:J41">
    <cfRule type="colorScale" priority="28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J44:J49">
    <cfRule type="colorScale" priority="33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J58:J67 J56">
    <cfRule type="colorScale" priority="1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J51:M51">
    <cfRule type="colorScale" priority="2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J66:N67 K78:M89 N78:O83 I82:J89">
    <cfRule type="colorScale" priority="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K11:L41">
    <cfRule type="colorScale" priority="2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K44:L49">
    <cfRule type="colorScale" priority="3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M11:N41">
    <cfRule type="colorScale" priority="22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M44:N49">
    <cfRule type="colorScale" priority="35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O10:O41 O43">
    <cfRule type="colorScale" priority="2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O44:O49">
    <cfRule type="colorScale" priority="3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B51 O52">
    <cfRule type="colorScale" priority="2">
      <colorScale>
        <cfvo type="min"/>
        <cfvo type="max"/>
        <color rgb="FFFFFFFF"/>
        <color rgb="FF57BB8A"/>
      </colorScale>
    </cfRule>
  </conditionalFormatting>
  <conditionalFormatting sqref="B54 O54">
    <cfRule type="colorScale" priority="3">
      <colorScale>
        <cfvo type="min"/>
        <cfvo type="max"/>
        <color rgb="FFFFFFFF"/>
        <color rgb="FF57BB8A"/>
      </colorScale>
    </cfRule>
  </conditionalFormatting>
  <conditionalFormatting sqref="B55 O55">
    <cfRule type="colorScale" priority="4">
      <colorScale>
        <cfvo type="min"/>
        <cfvo type="max"/>
        <color rgb="FF57BB8A"/>
        <color rgb="FFFFFFFF"/>
      </colorScale>
    </cfRule>
  </conditionalFormatting>
  <conditionalFormatting sqref="P15:Q41">
    <cfRule type="colorScale" priority="30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P44:Q49">
    <cfRule type="colorScale" priority="37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R69:R75 R64 J81">
    <cfRule type="colorScale" priority="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S69:S79 T69:U75 Q72:R79">
    <cfRule type="colorScale" priority="2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T58:T63 E65:E67 J66 O66 L72">
    <cfRule type="colorScale" priority="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T58:U65 E64:E67 I65:L67 M65:M68 N65:O67 S69:S70 T69:X69 L72 K78:O78 I82:J82 R82:V82 R84:V84">
    <cfRule type="colorScale" priority="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U69:U75 U64">
    <cfRule type="colorScale" priority="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V69:W75">
    <cfRule type="colorScale" priority="2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X69:X75">
    <cfRule type="colorScale" priority="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hyperlinks>
    <hyperlink ref="BP10" r:id="rId1" display="https://www.bseindia.com/corporates/ScripWiseCorpAction.aspx?scrip_cd=500180" xr:uid="{AD70A0FD-85E6-41BF-B622-EABC412E3B59}"/>
    <hyperlink ref="BP16" r:id="rId2" display="https://www.bseindia.com/corporates/ScripWiseCorpAction.aspx?scrip_cd=500180" xr:uid="{8EF04076-21B2-43B4-9192-CAA2B60F7193}"/>
    <hyperlink ref="BP17" r:id="rId3" display="https://www.bseindia.com/corporates/ScripWiseCorpAction.aspx?scrip_cd=500180" xr:uid="{6C1ACF0F-16B8-4025-8418-78946A439853}"/>
    <hyperlink ref="BP18" r:id="rId4" display="https://www.bseindia.com/corporates/ScripWiseCorpAction.aspx?scrip_cd=500180" xr:uid="{C07BF2DA-079A-41D9-ACB8-DF1D91D5AE66}"/>
    <hyperlink ref="BP19" r:id="rId5" display="https://www.bseindia.com/corporates/ScripWiseCorpAction.aspx?scrip_cd=500180" xr:uid="{A597454F-8B22-43FD-9041-0725A05C9993}"/>
    <hyperlink ref="BP20" r:id="rId6" display="https://www.bseindia.com/corporates/ScripWiseCorpAction.aspx?scrip_cd=500180" xr:uid="{F2F3D6C8-D32C-4BA7-83CF-247BCD1FDCF0}"/>
    <hyperlink ref="BP21" r:id="rId7" display="https://www.bseindia.com/corporates/ScripWiseCorpAction.aspx?scrip_cd=500180" xr:uid="{B6DE525A-E20A-40EC-B185-53B201477D14}"/>
    <hyperlink ref="BP22" r:id="rId8" display="https://www.bseindia.com/corporates/ScripWiseCorpAction.aspx?scrip_cd=500180" xr:uid="{05C12233-846A-4BDF-94BE-C2D1E710452A}"/>
    <hyperlink ref="BP23" r:id="rId9" display="https://www.bseindia.com/corporates/ScripWiseCorpAction.aspx?scrip_cd=500180" xr:uid="{5666F364-90DA-4738-8C1C-BD34E9BA58C2}"/>
    <hyperlink ref="BP24" r:id="rId10" display="https://www.bseindia.com/corporates/ScripWiseCorpAction.aspx?scrip_cd=500180" xr:uid="{DAA39DB8-9A44-41D1-95C9-BD32BF1ED2F6}"/>
    <hyperlink ref="BP25" r:id="rId11" display="https://www.bseindia.com/corporates/ScripWiseCorpAction.aspx?scrip_cd=500180" xr:uid="{15EBBE23-A609-4B69-B03F-8869C255E1FD}"/>
    <hyperlink ref="BP26" r:id="rId12" display="https://www.bseindia.com/corporates/ScripWiseCorpAction.aspx?scrip_cd=500180" xr:uid="{EDC17FB1-41FC-41F3-A597-7A697805CE30}"/>
    <hyperlink ref="BP27" r:id="rId13" display="https://www.bseindia.com/corporates/ScripWiseCorpAction.aspx?scrip_cd=500180" xr:uid="{057AD3F2-79A6-464C-A811-CCAE000D6AB1}"/>
    <hyperlink ref="BP28" r:id="rId14" display="https://www.bseindia.com/corporates/ScripWiseCorpAction.aspx?scrip_cd=500180" xr:uid="{E51DCCA1-8F60-4F57-AA94-248C4AEB0C0B}"/>
    <hyperlink ref="BP29" r:id="rId15" display="https://www.bseindia.com/corporates/ScripWiseCorpAction.aspx?scrip_cd=500180" xr:uid="{02281464-0D66-49DA-A646-3FCBDBBB4FD9}"/>
    <hyperlink ref="BP30" r:id="rId16" display="https://www.bseindia.com/corporates/ScripWiseCorpAction.aspx?scrip_cd=500180" xr:uid="{8E8AB15B-7B12-4712-ABD8-7A930C893AD8}"/>
    <hyperlink ref="BP31" r:id="rId17" display="https://www.bseindia.com/corporates/ScripWiseCorpAction.aspx?scrip_cd=500180" xr:uid="{166D829B-524C-47DC-9CD6-4C3A35471407}"/>
    <hyperlink ref="BP32" r:id="rId18" display="https://www.bseindia.com/corporates/ScripWiseCorpAction.aspx?scrip_cd=500180" xr:uid="{32CDD2F4-0B82-413D-9DAB-699D26EAEE95}"/>
    <hyperlink ref="BP33" r:id="rId19" display="https://www.bseindia.com/corporates/ScripWiseCorpAction.aspx?scrip_cd=500180" xr:uid="{8BD29D7F-B22D-4B32-B463-8092D5517352}"/>
    <hyperlink ref="BP34" r:id="rId20" display="https://www.bseindia.com/corporates/ScripWiseCorpAction.aspx?scrip_cd=500180" xr:uid="{1211C11D-7973-44A3-8846-692A2BCCE32E}"/>
    <hyperlink ref="BP42" r:id="rId21" display="https://www.bseindia.com/corporates/ScripWiseCorpAction.aspx?scrip_cd=500180" xr:uid="{B630D7AA-975A-4B5B-9194-F977061951C4}"/>
    <hyperlink ref="B96" r:id="rId22" xr:uid="{8C781BC9-69D9-415C-8CBF-B3EDD446D4C3}"/>
  </hyperlinks>
  <pageMargins left="0.7" right="0.7" top="0.75" bottom="0.75" header="0" footer="0"/>
  <pageSetup orientation="portrait"/>
  <drawing r:id="rId23"/>
  <tableParts count="5">
    <tablePart r:id="rId24"/>
    <tablePart r:id="rId25"/>
    <tablePart r:id="rId26"/>
    <tablePart r:id="rId27"/>
    <tablePart r:id="rId2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HDFCBANK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 Patel</dc:creator>
  <cp:lastModifiedBy>Piyush Patel</cp:lastModifiedBy>
  <dcterms:created xsi:type="dcterms:W3CDTF">2025-08-11T15:26:07Z</dcterms:created>
  <dcterms:modified xsi:type="dcterms:W3CDTF">2025-08-11T15:26:42Z</dcterms:modified>
</cp:coreProperties>
</file>