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874685AF-219C-463F-8DE6-6BCDF8B87145}" xr6:coauthVersionLast="47" xr6:coauthVersionMax="47" xr10:uidLastSave="{00000000-0000-0000-0000-000000000000}"/>
  <bookViews>
    <workbookView xWindow="-108" yWindow="-108" windowWidth="23256" windowHeight="12456" xr2:uid="{8A357161-1D0F-48ED-9A2D-9EF916D8B11A}"/>
  </bookViews>
  <sheets>
    <sheet name="LalPathlab" sheetId="1" r:id="rId1"/>
    <sheet name="Copy of Healthcare Service Prov" sheetId="2" r:id="rId2"/>
  </sheets>
  <externalReferences>
    <externalReference r:id="rId3"/>
  </externalReferences>
  <definedNames>
    <definedName name="_xlnm._FilterDatabase" localSheetId="1" hidden="1">'Copy of Healthcare Service Prov'!$R$18:$T$45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2" i="2" l="1"/>
  <c r="AA172" i="2"/>
  <c r="X172" i="2"/>
  <c r="W172" i="2"/>
  <c r="V172" i="2"/>
  <c r="U172" i="2"/>
  <c r="Z172" i="2" s="1"/>
  <c r="T172" i="2"/>
  <c r="S172" i="2"/>
  <c r="Y172" i="2" s="1"/>
  <c r="R172" i="2"/>
  <c r="Q172" i="2"/>
  <c r="P172" i="2"/>
  <c r="M172" i="2"/>
  <c r="L172" i="2"/>
  <c r="AF172" i="2" s="1"/>
  <c r="K172" i="2"/>
  <c r="AG172" i="2" s="1"/>
  <c r="J172" i="2"/>
  <c r="I172" i="2"/>
  <c r="H172" i="2"/>
  <c r="AH172" i="2" s="1"/>
  <c r="G172" i="2"/>
  <c r="F172" i="2"/>
  <c r="E172" i="2"/>
  <c r="AE172" i="2" s="1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AC157" i="2"/>
  <c r="AB157" i="2"/>
  <c r="AA157" i="2"/>
  <c r="Y157" i="2"/>
  <c r="D157" i="2"/>
  <c r="C157" i="2"/>
  <c r="AC156" i="2"/>
  <c r="AB156" i="2"/>
  <c r="AA156" i="2"/>
  <c r="Y156" i="2"/>
  <c r="D156" i="2"/>
  <c r="C156" i="2"/>
  <c r="AN155" i="2"/>
  <c r="AL155" i="2"/>
  <c r="AH155" i="2"/>
  <c r="AG155" i="2"/>
  <c r="AF155" i="2"/>
  <c r="AE155" i="2"/>
  <c r="AD155" i="2"/>
  <c r="AC155" i="2"/>
  <c r="AB155" i="2"/>
  <c r="AA155" i="2"/>
  <c r="Z155" i="2"/>
  <c r="Y155" i="2"/>
  <c r="N155" i="2"/>
  <c r="AM155" i="2" s="1"/>
  <c r="D155" i="2"/>
  <c r="C155" i="2"/>
  <c r="AO155" i="2" s="1"/>
  <c r="AN154" i="2"/>
  <c r="AL154" i="2"/>
  <c r="AH154" i="2"/>
  <c r="AG154" i="2"/>
  <c r="AF154" i="2"/>
  <c r="AE154" i="2"/>
  <c r="AD154" i="2"/>
  <c r="AC154" i="2"/>
  <c r="AB154" i="2"/>
  <c r="AA154" i="2"/>
  <c r="Z154" i="2"/>
  <c r="Y154" i="2"/>
  <c r="N154" i="2"/>
  <c r="AM154" i="2" s="1"/>
  <c r="D154" i="2"/>
  <c r="D172" i="2" s="1"/>
  <c r="C154" i="2"/>
  <c r="AO154" i="2" s="1"/>
  <c r="AN153" i="2"/>
  <c r="AL153" i="2"/>
  <c r="AH153" i="2"/>
  <c r="AG153" i="2"/>
  <c r="AF153" i="2"/>
  <c r="AE153" i="2"/>
  <c r="AD153" i="2"/>
  <c r="AC153" i="2"/>
  <c r="AB153" i="2"/>
  <c r="AA153" i="2"/>
  <c r="Z153" i="2"/>
  <c r="Y153" i="2"/>
  <c r="N153" i="2"/>
  <c r="D153" i="2"/>
  <c r="C153" i="2"/>
  <c r="AO153" i="2" s="1"/>
  <c r="AN152" i="2"/>
  <c r="AL152" i="2"/>
  <c r="AH152" i="2"/>
  <c r="AG152" i="2"/>
  <c r="AF152" i="2"/>
  <c r="AE152" i="2"/>
  <c r="AD152" i="2"/>
  <c r="AC152" i="2"/>
  <c r="AB152" i="2"/>
  <c r="AA152" i="2"/>
  <c r="Z152" i="2"/>
  <c r="Y152" i="2"/>
  <c r="N152" i="2"/>
  <c r="D152" i="2"/>
  <c r="C152" i="2"/>
  <c r="AO152" i="2" s="1"/>
  <c r="AN151" i="2"/>
  <c r="AL151" i="2"/>
  <c r="AH151" i="2"/>
  <c r="AG151" i="2"/>
  <c r="AF151" i="2"/>
  <c r="AE151" i="2"/>
  <c r="AD151" i="2"/>
  <c r="AD172" i="2" s="1"/>
  <c r="AC151" i="2"/>
  <c r="AB151" i="2"/>
  <c r="AA151" i="2"/>
  <c r="Z151" i="2"/>
  <c r="Y151" i="2"/>
  <c r="N151" i="2"/>
  <c r="D151" i="2"/>
  <c r="C151" i="2"/>
  <c r="AO151" i="2" s="1"/>
  <c r="H131" i="2"/>
  <c r="D131" i="2"/>
  <c r="C131" i="2"/>
  <c r="I54" i="2"/>
  <c r="H54" i="2"/>
  <c r="G54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K28" i="2"/>
  <c r="G28" i="2"/>
  <c r="T27" i="2"/>
  <c r="C27" i="2"/>
  <c r="T26" i="2"/>
  <c r="C26" i="2"/>
  <c r="T25" i="2"/>
  <c r="T24" i="2"/>
  <c r="C24" i="2"/>
  <c r="T23" i="2"/>
  <c r="C23" i="2"/>
  <c r="T22" i="2"/>
  <c r="C22" i="2"/>
  <c r="T21" i="2"/>
  <c r="C21" i="2"/>
  <c r="T20" i="2"/>
  <c r="C20" i="2"/>
  <c r="T19" i="2"/>
  <c r="C19" i="2"/>
  <c r="T39" i="1"/>
  <c r="S39" i="1"/>
  <c r="V39" i="1" s="1"/>
  <c r="I39" i="1"/>
  <c r="I38" i="1"/>
  <c r="V37" i="1"/>
  <c r="U37" i="1"/>
  <c r="I37" i="1"/>
  <c r="V36" i="1"/>
  <c r="U36" i="1"/>
  <c r="I36" i="1"/>
  <c r="V35" i="1"/>
  <c r="U35" i="1"/>
  <c r="P35" i="1"/>
  <c r="N35" i="1"/>
  <c r="M35" i="1"/>
  <c r="I35" i="1"/>
  <c r="V34" i="1"/>
  <c r="U34" i="1"/>
  <c r="P34" i="1"/>
  <c r="N34" i="1"/>
  <c r="M34" i="1"/>
  <c r="I34" i="1"/>
  <c r="V33" i="1"/>
  <c r="U33" i="1"/>
  <c r="P33" i="1"/>
  <c r="N33" i="1"/>
  <c r="M33" i="1"/>
  <c r="I33" i="1"/>
  <c r="V32" i="1"/>
  <c r="U32" i="1"/>
  <c r="P32" i="1"/>
  <c r="N32" i="1"/>
  <c r="M32" i="1"/>
  <c r="I32" i="1"/>
  <c r="P31" i="1"/>
  <c r="N31" i="1"/>
  <c r="N22" i="1" s="1"/>
  <c r="M31" i="1"/>
  <c r="I31" i="1"/>
  <c r="P30" i="1"/>
  <c r="N30" i="1"/>
  <c r="M30" i="1"/>
  <c r="J30" i="1"/>
  <c r="I30" i="1"/>
  <c r="P29" i="1"/>
  <c r="N29" i="1"/>
  <c r="M29" i="1"/>
  <c r="M22" i="1" s="1"/>
  <c r="J29" i="1"/>
  <c r="I29" i="1"/>
  <c r="P28" i="1"/>
  <c r="N28" i="1"/>
  <c r="M28" i="1"/>
  <c r="I28" i="1"/>
  <c r="I21" i="1" s="1"/>
  <c r="G17" i="1" s="1"/>
  <c r="AD27" i="1"/>
  <c r="AE27" i="1" s="1"/>
  <c r="AC27" i="1"/>
  <c r="Y27" i="1"/>
  <c r="X27" i="1"/>
  <c r="Z27" i="1" s="1"/>
  <c r="T27" i="1"/>
  <c r="S27" i="1"/>
  <c r="U27" i="1" s="1"/>
  <c r="P27" i="1"/>
  <c r="P23" i="1" s="1"/>
  <c r="N27" i="1"/>
  <c r="M27" i="1"/>
  <c r="I27" i="1"/>
  <c r="AD26" i="1"/>
  <c r="AC26" i="1"/>
  <c r="AE26" i="1" s="1"/>
  <c r="Y26" i="1"/>
  <c r="Z26" i="1" s="1"/>
  <c r="X26" i="1"/>
  <c r="T26" i="1"/>
  <c r="S26" i="1"/>
  <c r="U26" i="1" s="1"/>
  <c r="P26" i="1"/>
  <c r="N26" i="1"/>
  <c r="M26" i="1"/>
  <c r="I26" i="1"/>
  <c r="H26" i="1"/>
  <c r="F26" i="1"/>
  <c r="E26" i="1"/>
  <c r="D26" i="1"/>
  <c r="AE25" i="1"/>
  <c r="Z25" i="1"/>
  <c r="U25" i="1"/>
  <c r="AE24" i="1"/>
  <c r="Z24" i="1"/>
  <c r="U24" i="1"/>
  <c r="AE23" i="1"/>
  <c r="Z23" i="1"/>
  <c r="U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E22" i="1"/>
  <c r="Z22" i="1"/>
  <c r="U22" i="1"/>
  <c r="O22" i="1"/>
  <c r="L22" i="1"/>
  <c r="K22" i="1"/>
  <c r="J22" i="1"/>
  <c r="I22" i="1"/>
  <c r="H22" i="1"/>
  <c r="G22" i="1"/>
  <c r="F22" i="1"/>
  <c r="E22" i="1"/>
  <c r="D22" i="1"/>
  <c r="C22" i="1"/>
  <c r="AE21" i="1"/>
  <c r="Z21" i="1"/>
  <c r="U21" i="1"/>
  <c r="P21" i="1"/>
  <c r="O21" i="1"/>
  <c r="L21" i="1"/>
  <c r="K21" i="1"/>
  <c r="J21" i="1"/>
  <c r="H21" i="1"/>
  <c r="G21" i="1"/>
  <c r="F21" i="1"/>
  <c r="E21" i="1"/>
  <c r="D21" i="1"/>
  <c r="C21" i="1"/>
  <c r="P18" i="1"/>
  <c r="G18" i="1"/>
  <c r="E14" i="1"/>
  <c r="E18" i="1" s="1"/>
  <c r="F18" i="1" s="1"/>
  <c r="F14" i="1" s="1"/>
  <c r="G14" i="1" s="1"/>
  <c r="D14" i="1"/>
  <c r="C14" i="1"/>
  <c r="D13" i="1"/>
  <c r="D12" i="1" s="1"/>
  <c r="C13" i="1"/>
  <c r="C12" i="1" s="1"/>
  <c r="N12" i="1"/>
  <c r="S9" i="1"/>
  <c r="R9" i="1"/>
  <c r="Q9" i="1"/>
  <c r="O9" i="1"/>
  <c r="K9" i="1"/>
  <c r="I9" i="1"/>
  <c r="H9" i="1"/>
  <c r="G9" i="1"/>
  <c r="E9" i="1"/>
  <c r="D9" i="1"/>
  <c r="C9" i="1"/>
  <c r="B9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F5" i="1"/>
  <c r="G4" i="1"/>
  <c r="F4" i="1"/>
  <c r="E4" i="1"/>
  <c r="E5" i="1" s="1"/>
  <c r="G3" i="1"/>
  <c r="F3" i="1"/>
  <c r="L9" i="1" s="1"/>
  <c r="E3" i="1"/>
  <c r="F9" i="1" s="1"/>
  <c r="D3" i="1"/>
  <c r="C3" i="1"/>
  <c r="C5" i="1" s="1"/>
  <c r="AM153" i="2" l="1"/>
  <c r="N172" i="2"/>
  <c r="AM152" i="2"/>
  <c r="T47" i="2"/>
  <c r="U47" i="2" s="1"/>
  <c r="AM151" i="2"/>
  <c r="O152" i="2"/>
  <c r="O164" i="2"/>
  <c r="O156" i="2"/>
  <c r="O153" i="2"/>
  <c r="O162" i="2"/>
  <c r="O170" i="2"/>
  <c r="O161" i="2"/>
  <c r="O165" i="2"/>
  <c r="O169" i="2"/>
  <c r="O151" i="2"/>
  <c r="O158" i="2"/>
  <c r="O166" i="2"/>
  <c r="O157" i="2"/>
  <c r="O159" i="2"/>
  <c r="O163" i="2"/>
  <c r="O167" i="2"/>
  <c r="O155" i="2"/>
  <c r="O160" i="2"/>
  <c r="O168" i="2"/>
  <c r="AC172" i="2"/>
  <c r="O154" i="2"/>
  <c r="N9" i="1"/>
  <c r="R18" i="1"/>
  <c r="S16" i="1" s="1"/>
  <c r="P9" i="1"/>
  <c r="D4" i="1"/>
  <c r="D5" i="1" s="1"/>
  <c r="G5" i="1"/>
  <c r="J9" i="1"/>
  <c r="Q18" i="1"/>
  <c r="P22" i="1"/>
  <c r="E13" i="1"/>
  <c r="M9" i="1"/>
  <c r="M21" i="1"/>
  <c r="N21" i="1"/>
  <c r="U39" i="1"/>
  <c r="O172" i="2" l="1"/>
  <c r="E12" i="1"/>
  <c r="F13" i="1"/>
  <c r="F12" i="1" l="1"/>
  <c r="G12" i="1" s="1"/>
  <c r="G13" i="1"/>
</calcChain>
</file>

<file path=xl/sharedStrings.xml><?xml version="1.0" encoding="utf-8"?>
<sst xmlns="http://schemas.openxmlformats.org/spreadsheetml/2006/main" count="423" uniqueCount="202">
  <si>
    <t>MARKET</t>
  </si>
  <si>
    <t>INCOME-STAT</t>
  </si>
  <si>
    <t>BALANCE-SHEET</t>
  </si>
  <si>
    <t>CASHFLOW</t>
  </si>
  <si>
    <t>COMPANY</t>
  </si>
  <si>
    <t>LALPATHLAB</t>
  </si>
  <si>
    <t>PRICE</t>
  </si>
  <si>
    <t>MCAP</t>
  </si>
  <si>
    <t>SALES</t>
  </si>
  <si>
    <t>PROFIT</t>
  </si>
  <si>
    <t>Trail_EPS</t>
  </si>
  <si>
    <t>EQUITY</t>
  </si>
  <si>
    <t>TOTALEQ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</si>
  <si>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</si>
  <si>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</si>
  <si>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</si>
  <si>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</si>
  <si>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</si>
  <si>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</si>
  <si>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</si>
  <si>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</si>
  <si>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</si>
  <si>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</si>
  <si>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</si>
  <si>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NET CASHFLOW</t>
  </si>
  <si>
    <t>PPE</t>
  </si>
  <si>
    <t>CYEAR</t>
  </si>
  <si>
    <t>PREVIOUS YEAR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</si>
  <si>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</si>
  <si>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</si>
  <si>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</si>
  <si>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</si>
  <si>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</si>
  <si>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</si>
  <si>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</si>
  <si>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</si>
  <si>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</si>
  <si>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</si>
  <si>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</si>
  <si>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</si>
  <si>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</si>
  <si>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</si>
  <si>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ROCE</t>
  </si>
  <si>
    <t>ROA</t>
  </si>
  <si>
    <t>TRAIL_PE</t>
  </si>
  <si>
    <t>YIELD</t>
  </si>
  <si>
    <t>BOOKVALUE</t>
  </si>
  <si>
    <t>PBV</t>
  </si>
  <si>
    <t>OCFR</t>
  </si>
  <si>
    <t>CFD</t>
  </si>
  <si>
    <t>FCF (INC R)</t>
  </si>
  <si>
    <t>ESTIMATE</t>
  </si>
  <si>
    <t>Year</t>
  </si>
  <si>
    <t>LABS</t>
  </si>
  <si>
    <t>Total Income</t>
  </si>
  <si>
    <t>Net Profit</t>
  </si>
  <si>
    <t>EPS</t>
  </si>
  <si>
    <t>FAIRVALUE</t>
  </si>
  <si>
    <t>YEAR</t>
  </si>
  <si>
    <t>Q3_FY24</t>
  </si>
  <si>
    <t>Q4_FY24</t>
  </si>
  <si>
    <t>Q1_FY25</t>
  </si>
  <si>
    <t>Q2_FY25</t>
  </si>
  <si>
    <t>TRAIL_EPS</t>
  </si>
  <si>
    <t>EST_FY_35</t>
  </si>
  <si>
    <t>TRAILEPS</t>
  </si>
  <si>
    <t>ETR_FY_30</t>
  </si>
  <si>
    <t>EST_FY_25</t>
  </si>
  <si>
    <t>Trend</t>
  </si>
  <si>
    <t>9M_FY24</t>
  </si>
  <si>
    <t>FY24</t>
  </si>
  <si>
    <t>H1_FY25</t>
  </si>
  <si>
    <t>EST_FY_2025</t>
  </si>
  <si>
    <t>EPS_24</t>
  </si>
  <si>
    <t>F_EPS_FY_25</t>
  </si>
  <si>
    <t>F_PEG</t>
  </si>
  <si>
    <t>GR ESTIMATE</t>
  </si>
  <si>
    <t>MARGIN</t>
  </si>
  <si>
    <t>Sales</t>
  </si>
  <si>
    <t>LONGTERM</t>
  </si>
  <si>
    <t>Profit</t>
  </si>
  <si>
    <t>PE_24</t>
  </si>
  <si>
    <t>F_PE25</t>
  </si>
  <si>
    <t>CY YEAR</t>
  </si>
  <si>
    <t>Interest</t>
  </si>
  <si>
    <t>Equity</t>
  </si>
  <si>
    <t>NPM %</t>
  </si>
  <si>
    <t>HIGH PRICE</t>
  </si>
  <si>
    <t>LOW PRICE</t>
  </si>
  <si>
    <t>HPE</t>
  </si>
  <si>
    <t>LPE</t>
  </si>
  <si>
    <t>Dividend</t>
  </si>
  <si>
    <t>dividend in %</t>
  </si>
  <si>
    <t>RESULT</t>
  </si>
  <si>
    <t>H1_FY24</t>
  </si>
  <si>
    <t>Growth</t>
  </si>
  <si>
    <t>Q2_FY24</t>
  </si>
  <si>
    <t>Q1_FY24</t>
  </si>
  <si>
    <t>8 Yr.Growth</t>
  </si>
  <si>
    <t>Revenue</t>
  </si>
  <si>
    <t>5 Year Gr.</t>
  </si>
  <si>
    <t>Expense</t>
  </si>
  <si>
    <t>Cy.Year</t>
  </si>
  <si>
    <t>Finance</t>
  </si>
  <si>
    <t>ACTUAL</t>
  </si>
  <si>
    <t>labs</t>
  </si>
  <si>
    <t>Trail_fy25</t>
  </si>
  <si>
    <t>fy_2024</t>
  </si>
  <si>
    <t>fy_2023</t>
  </si>
  <si>
    <t>fy_2022</t>
  </si>
  <si>
    <t>fy_2021</t>
  </si>
  <si>
    <t>fy_2020</t>
  </si>
  <si>
    <t>MAJORCOST</t>
  </si>
  <si>
    <t>SHARE</t>
  </si>
  <si>
    <t>fy_2019</t>
  </si>
  <si>
    <t>MATERIAL</t>
  </si>
  <si>
    <t>fy_2018</t>
  </si>
  <si>
    <t>OTHER COST</t>
  </si>
  <si>
    <t>IPO</t>
  </si>
  <si>
    <t>fy_2017</t>
  </si>
  <si>
    <t>EMPLOYEE</t>
  </si>
  <si>
    <t>fy_2016</t>
  </si>
  <si>
    <t>FEES</t>
  </si>
  <si>
    <t>fy_2015</t>
  </si>
  <si>
    <t>D&amp;A</t>
  </si>
  <si>
    <t>fy_2014</t>
  </si>
  <si>
    <t>fy_2013</t>
  </si>
  <si>
    <t>fy_2012</t>
  </si>
  <si>
    <t>TOTAL COST</t>
  </si>
  <si>
    <t>SHP</t>
  </si>
  <si>
    <t>FY_22</t>
  </si>
  <si>
    <t>FY_25</t>
  </si>
  <si>
    <t>Promoter</t>
  </si>
  <si>
    <t>FPI</t>
  </si>
  <si>
    <t>MF &amp; Insurance</t>
  </si>
  <si>
    <t>Retail</t>
  </si>
  <si>
    <t>HEALTHCARE SERVICES INDUSTRY</t>
  </si>
  <si>
    <t>INDUSTRY</t>
  </si>
  <si>
    <t>Out-of-hospital has higher share in diagnostics market</t>
  </si>
  <si>
    <t>MARKETSHARE</t>
  </si>
  <si>
    <t>MARKETCAP</t>
  </si>
  <si>
    <t>SALES_24</t>
  </si>
  <si>
    <t>PROFIT_24</t>
  </si>
  <si>
    <t>Security Code</t>
  </si>
  <si>
    <t>Security Name</t>
  </si>
  <si>
    <t>marketcap</t>
  </si>
  <si>
    <t>VIJAYA</t>
  </si>
  <si>
    <t>METROPOLIS</t>
  </si>
  <si>
    <t>THYROCARE</t>
  </si>
  <si>
    <t>KRSNAA</t>
  </si>
  <si>
    <t>SURAKSHA</t>
  </si>
  <si>
    <t>3BBLACKBIO</t>
  </si>
  <si>
    <t>SASTASUNDR</t>
  </si>
  <si>
    <t>Others_19</t>
  </si>
  <si>
    <t>ONEGLOBAL</t>
  </si>
  <si>
    <t>DECCAN</t>
  </si>
  <si>
    <t>ASPIRA</t>
  </si>
  <si>
    <t>NGIND</t>
  </si>
  <si>
    <t>BANDARAM</t>
  </si>
  <si>
    <t>CHOKSILA</t>
  </si>
  <si>
    <t>TRABI</t>
  </si>
  <si>
    <t>TEJNAKSH</t>
  </si>
  <si>
    <t>MEDINOV</t>
  </si>
  <si>
    <t>FAMILYCARE</t>
  </si>
  <si>
    <t>SAMSRITA</t>
  </si>
  <si>
    <t>CMMHOSP</t>
  </si>
  <si>
    <t>SHARMEH</t>
  </si>
  <si>
    <t>GIANLIFE</t>
  </si>
  <si>
    <t>CTLLAB</t>
  </si>
  <si>
    <t>ZDHJERK</t>
  </si>
  <si>
    <t>ASHRAM</t>
  </si>
  <si>
    <t>DLCL</t>
  </si>
  <si>
    <t>SALES_5Y_GR</t>
  </si>
  <si>
    <t>H1_FY25_SALES</t>
  </si>
  <si>
    <t>H1_FY25_PROFIT</t>
  </si>
  <si>
    <t>MARGIN%</t>
  </si>
  <si>
    <t>LOOKS</t>
  </si>
  <si>
    <t>VIJAYA*</t>
  </si>
  <si>
    <t>MARGIN_23</t>
  </si>
  <si>
    <t>CY_MARGIN</t>
  </si>
  <si>
    <t>CUR. RATIO</t>
  </si>
  <si>
    <t>TR.DAYS</t>
  </si>
  <si>
    <t>CMP</t>
  </si>
  <si>
    <t>CUR ASSET</t>
  </si>
  <si>
    <t>CUR LIABILITY</t>
  </si>
  <si>
    <t>TOT. ASSET</t>
  </si>
  <si>
    <t>TOT. LIABILITY</t>
  </si>
  <si>
    <t>TOT. EQUITY</t>
  </si>
  <si>
    <t>TRADE REC.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</si>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</sst>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9" x14ac:knownFonts="1">
    <font>
      <sz val="10"/>
      <color rgb="FF000000"/>
      <name val="Calibri"/>
      <scheme val="minor"/>
    </font>
    <font>
      <sz val="11"/>
      <color rgb="FF000000"/>
      <name val="Calibri"/>
    </font>
    <font>
      <sz val="11"/>
      <color rgb="FFFFFFFF"/>
      <name val="Calibri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Calibri"/>
      <scheme val="minor"/>
    </font>
    <font>
      <b/>
      <i/>
      <sz val="11"/>
      <color theme="1"/>
      <name val="Calibri"/>
    </font>
    <font>
      <i/>
      <sz val="11"/>
      <color theme="1"/>
      <name val="Arial"/>
    </font>
    <font>
      <b/>
      <sz val="11"/>
      <color rgb="FFFFFFFF"/>
      <name val="Calibri"/>
    </font>
    <font>
      <sz val="26"/>
      <color theme="1"/>
      <name val="Calibri"/>
      <scheme val="minor"/>
    </font>
    <font>
      <b/>
      <i/>
      <sz val="10"/>
      <color theme="1"/>
      <name val="Calibri"/>
      <scheme val="minor"/>
    </font>
    <font>
      <b/>
      <i/>
      <sz val="11"/>
      <color rgb="FF000000"/>
      <name val="Calibri"/>
    </font>
    <font>
      <b/>
      <sz val="10"/>
      <color theme="1"/>
      <name val="Calibri"/>
      <scheme val="minor"/>
    </font>
    <font>
      <b/>
      <sz val="23"/>
      <color rgb="FFFFFFFF"/>
      <name val="Arial"/>
    </font>
    <font>
      <sz val="10"/>
      <name val="Arial"/>
    </font>
    <font>
      <b/>
      <sz val="10"/>
      <color rgb="FFFFFFFF"/>
      <name val="Arial"/>
    </font>
    <font>
      <sz val="10"/>
      <color theme="1"/>
      <name val="Calibri"/>
    </font>
    <font>
      <sz val="10"/>
      <color theme="1"/>
      <name val="Arial"/>
    </font>
    <font>
      <b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0" fontId="2" fillId="3" borderId="1" xfId="0" applyFont="1" applyFill="1" applyBorder="1"/>
    <xf numFmtId="0" fontId="3" fillId="0" borderId="1" xfId="0" applyFont="1" applyBorder="1"/>
    <xf numFmtId="1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5" fillId="0" borderId="1" xfId="0" applyFont="1" applyBorder="1"/>
    <xf numFmtId="3" fontId="3" fillId="0" borderId="1" xfId="0" applyNumberFormat="1" applyFont="1" applyBorder="1"/>
    <xf numFmtId="9" fontId="6" fillId="4" borderId="1" xfId="0" applyNumberFormat="1" applyFont="1" applyFill="1" applyBorder="1"/>
    <xf numFmtId="9" fontId="3" fillId="4" borderId="1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0" fontId="2" fillId="3" borderId="0" xfId="0" applyFont="1" applyFill="1"/>
    <xf numFmtId="9" fontId="3" fillId="0" borderId="0" xfId="0" applyNumberFormat="1" applyFont="1"/>
    <xf numFmtId="9" fontId="2" fillId="3" borderId="1" xfId="0" applyNumberFormat="1" applyFont="1" applyFill="1" applyBorder="1"/>
    <xf numFmtId="1" fontId="2" fillId="3" borderId="1" xfId="0" applyNumberFormat="1" applyFont="1" applyFill="1" applyBorder="1"/>
    <xf numFmtId="166" fontId="2" fillId="3" borderId="1" xfId="0" applyNumberFormat="1" applyFont="1" applyFill="1" applyBorder="1"/>
    <xf numFmtId="165" fontId="2" fillId="3" borderId="1" xfId="0" applyNumberFormat="1" applyFont="1" applyFill="1" applyBorder="1"/>
    <xf numFmtId="9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1" fontId="7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1" xfId="0" applyFont="1" applyFill="1" applyBorder="1"/>
    <xf numFmtId="0" fontId="5" fillId="0" borderId="0" xfId="0" applyFont="1"/>
    <xf numFmtId="0" fontId="8" fillId="3" borderId="3" xfId="0" applyFont="1" applyFill="1" applyBorder="1" applyAlignment="1">
      <alignment horizontal="left"/>
    </xf>
    <xf numFmtId="3" fontId="1" fillId="5" borderId="4" xfId="0" applyNumberFormat="1" applyFont="1" applyFill="1" applyBorder="1" applyAlignment="1">
      <alignment horizontal="right"/>
    </xf>
    <xf numFmtId="1" fontId="1" fillId="5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/>
    <xf numFmtId="0" fontId="8" fillId="3" borderId="1" xfId="0" applyFont="1" applyFill="1" applyBorder="1" applyAlignment="1">
      <alignment horizontal="center"/>
    </xf>
    <xf numFmtId="9" fontId="1" fillId="2" borderId="1" xfId="0" applyNumberFormat="1" applyFont="1" applyFill="1" applyBorder="1"/>
    <xf numFmtId="165" fontId="5" fillId="0" borderId="0" xfId="0" applyNumberFormat="1" applyFont="1"/>
    <xf numFmtId="166" fontId="1" fillId="2" borderId="1" xfId="0" applyNumberFormat="1" applyFont="1" applyFill="1" applyBorder="1" applyAlignment="1">
      <alignment horizontal="center"/>
    </xf>
    <xf numFmtId="166" fontId="9" fillId="5" borderId="0" xfId="0" applyNumberFormat="1" applyFont="1" applyFill="1" applyAlignment="1">
      <alignment horizontal="center" vertical="center"/>
    </xf>
    <xf numFmtId="166" fontId="5" fillId="0" borderId="0" xfId="0" applyNumberFormat="1" applyFont="1"/>
    <xf numFmtId="9" fontId="1" fillId="2" borderId="4" xfId="0" applyNumberFormat="1" applyFont="1" applyFill="1" applyBorder="1" applyAlignment="1">
      <alignment horizontal="right"/>
    </xf>
    <xf numFmtId="0" fontId="0" fillId="0" borderId="0" xfId="0"/>
    <xf numFmtId="0" fontId="1" fillId="2" borderId="4" xfId="0" applyFont="1" applyFill="1" applyBorder="1" applyAlignment="1">
      <alignment horizontal="right"/>
    </xf>
    <xf numFmtId="9" fontId="1" fillId="2" borderId="4" xfId="0" applyNumberFormat="1" applyFont="1" applyFill="1" applyBorder="1"/>
    <xf numFmtId="165" fontId="5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9" fontId="5" fillId="0" borderId="1" xfId="0" applyNumberFormat="1" applyFont="1" applyBorder="1"/>
    <xf numFmtId="1" fontId="5" fillId="0" borderId="1" xfId="0" applyNumberFormat="1" applyFont="1" applyBorder="1"/>
    <xf numFmtId="0" fontId="8" fillId="3" borderId="3" xfId="0" applyFont="1" applyFill="1" applyBorder="1"/>
    <xf numFmtId="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6" fontId="5" fillId="0" borderId="1" xfId="0" applyNumberFormat="1" applyFont="1" applyBorder="1"/>
    <xf numFmtId="165" fontId="1" fillId="2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" fontId="5" fillId="0" borderId="0" xfId="0" applyNumberFormat="1" applyFont="1"/>
    <xf numFmtId="9" fontId="5" fillId="0" borderId="0" xfId="0" applyNumberFormat="1" applyFont="1"/>
    <xf numFmtId="0" fontId="10" fillId="0" borderId="5" xfId="0" applyFont="1" applyBorder="1"/>
    <xf numFmtId="9" fontId="11" fillId="2" borderId="2" xfId="0" applyNumberFormat="1" applyFont="1" applyFill="1" applyBorder="1" applyAlignment="1">
      <alignment horizontal="right"/>
    </xf>
    <xf numFmtId="3" fontId="5" fillId="0" borderId="0" xfId="0" applyNumberFormat="1" applyFont="1"/>
    <xf numFmtId="0" fontId="12" fillId="0" borderId="0" xfId="0" applyFont="1"/>
    <xf numFmtId="0" fontId="5" fillId="0" borderId="0" xfId="0" applyFont="1" applyAlignment="1">
      <alignment horizontal="left"/>
    </xf>
    <xf numFmtId="0" fontId="13" fillId="6" borderId="6" xfId="0" applyFont="1" applyFill="1" applyBorder="1" applyAlignment="1">
      <alignment horizontal="center" vertical="center"/>
    </xf>
    <xf numFmtId="0" fontId="14" fillId="0" borderId="5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4" xfId="0" applyFont="1" applyBorder="1"/>
    <xf numFmtId="0" fontId="15" fillId="6" borderId="1" xfId="0" applyFont="1" applyFill="1" applyBorder="1"/>
    <xf numFmtId="0" fontId="15" fillId="6" borderId="12" xfId="0" applyFont="1" applyFill="1" applyBorder="1" applyAlignment="1">
      <alignment horizontal="center"/>
    </xf>
    <xf numFmtId="0" fontId="14" fillId="0" borderId="13" xfId="0" applyFont="1" applyBorder="1"/>
    <xf numFmtId="0" fontId="14" fillId="0" borderId="2" xfId="0" applyFont="1" applyBorder="1"/>
    <xf numFmtId="0" fontId="15" fillId="6" borderId="0" xfId="0" applyFont="1" applyFill="1"/>
    <xf numFmtId="0" fontId="1" fillId="0" borderId="0" xfId="0" applyFont="1"/>
    <xf numFmtId="1" fontId="4" fillId="0" borderId="0" xfId="0" applyNumberFormat="1" applyFont="1" applyAlignment="1">
      <alignment horizontal="right"/>
    </xf>
    <xf numFmtId="0" fontId="16" fillId="0" borderId="1" xfId="0" applyFont="1" applyBorder="1"/>
    <xf numFmtId="0" fontId="1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7" fillId="0" borderId="11" xfId="0" applyFont="1" applyBorder="1" applyAlignment="1">
      <alignment horizontal="right"/>
    </xf>
    <xf numFmtId="0" fontId="5" fillId="0" borderId="11" xfId="0" applyFont="1" applyBorder="1"/>
    <xf numFmtId="0" fontId="18" fillId="0" borderId="0" xfId="0" applyFont="1" applyAlignment="1">
      <alignment horizontal="center"/>
    </xf>
    <xf numFmtId="1" fontId="12" fillId="0" borderId="0" xfId="0" applyNumberFormat="1" applyFont="1"/>
    <xf numFmtId="0" fontId="18" fillId="0" borderId="5" xfId="0" applyFont="1" applyBorder="1" applyAlignment="1">
      <alignment horizontal="center"/>
    </xf>
    <xf numFmtId="1" fontId="12" fillId="0" borderId="5" xfId="0" applyNumberFormat="1" applyFont="1" applyBorder="1"/>
    <xf numFmtId="9" fontId="17" fillId="0" borderId="0" xfId="0" applyNumberFormat="1" applyFont="1" applyAlignment="1">
      <alignment horizontal="right"/>
    </xf>
    <xf numFmtId="10" fontId="5" fillId="0" borderId="0" xfId="0" applyNumberFormat="1" applyFont="1"/>
    <xf numFmtId="9" fontId="17" fillId="0" borderId="11" xfId="0" applyNumberFormat="1" applyFont="1" applyBorder="1" applyAlignment="1">
      <alignment horizontal="right"/>
    </xf>
    <xf numFmtId="9" fontId="12" fillId="0" borderId="5" xfId="0" applyNumberFormat="1" applyFont="1" applyBorder="1"/>
    <xf numFmtId="9" fontId="18" fillId="0" borderId="5" xfId="0" applyNumberFormat="1" applyFont="1" applyBorder="1" applyAlignment="1">
      <alignment horizontal="right"/>
    </xf>
    <xf numFmtId="2" fontId="15" fillId="6" borderId="0" xfId="0" applyNumberFormat="1" applyFont="1" applyFill="1"/>
    <xf numFmtId="0" fontId="15" fillId="6" borderId="1" xfId="0" applyFont="1" applyFill="1" applyBorder="1" applyAlignment="1">
      <alignment horizontal="right"/>
    </xf>
    <xf numFmtId="2" fontId="5" fillId="0" borderId="0" xfId="0" applyNumberFormat="1" applyFont="1"/>
    <xf numFmtId="0" fontId="3" fillId="0" borderId="3" xfId="0" applyFont="1" applyBorder="1"/>
    <xf numFmtId="166" fontId="17" fillId="0" borderId="4" xfId="0" applyNumberFormat="1" applyFont="1" applyBorder="1" applyAlignment="1">
      <alignment horizontal="right"/>
    </xf>
    <xf numFmtId="2" fontId="17" fillId="0" borderId="4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165" fontId="17" fillId="0" borderId="0" xfId="0" applyNumberFormat="1" applyFont="1" applyAlignment="1">
      <alignment horizontal="right"/>
    </xf>
    <xf numFmtId="1" fontId="17" fillId="0" borderId="4" xfId="0" applyNumberFormat="1" applyFont="1" applyBorder="1" applyAlignment="1">
      <alignment horizontal="right"/>
    </xf>
    <xf numFmtId="0" fontId="3" fillId="0" borderId="11" xfId="0" applyFont="1" applyBorder="1"/>
    <xf numFmtId="165" fontId="17" fillId="0" borderId="11" xfId="0" applyNumberFormat="1" applyFont="1" applyBorder="1" applyAlignment="1">
      <alignment horizontal="right"/>
    </xf>
    <xf numFmtId="10" fontId="18" fillId="0" borderId="5" xfId="0" applyNumberFormat="1" applyFont="1" applyBorder="1" applyAlignment="1">
      <alignment horizontal="right"/>
    </xf>
    <xf numFmtId="10" fontId="5" fillId="0" borderId="5" xfId="0" applyNumberFormat="1" applyFont="1" applyBorder="1"/>
    <xf numFmtId="1" fontId="17" fillId="0" borderId="0" xfId="0" applyNumberFormat="1" applyFont="1" applyAlignment="1">
      <alignment horizontal="right"/>
    </xf>
    <xf numFmtId="1" fontId="17" fillId="0" borderId="11" xfId="0" applyNumberFormat="1" applyFont="1" applyBorder="1" applyAlignment="1">
      <alignment horizontal="right"/>
    </xf>
    <xf numFmtId="1" fontId="5" fillId="0" borderId="5" xfId="0" applyNumberFormat="1" applyFont="1" applyBorder="1"/>
    <xf numFmtId="165" fontId="5" fillId="0" borderId="5" xfId="0" applyNumberFormat="1" applyFont="1" applyBorder="1"/>
    <xf numFmtId="1" fontId="15" fillId="6" borderId="1" xfId="0" applyNumberFormat="1" applyFont="1" applyFill="1" applyBorder="1"/>
    <xf numFmtId="0" fontId="15" fillId="7" borderId="1" xfId="0" applyFont="1" applyFill="1" applyBorder="1" applyAlignment="1">
      <alignment horizontal="center"/>
    </xf>
    <xf numFmtId="10" fontId="15" fillId="7" borderId="1" xfId="0" applyNumberFormat="1" applyFont="1" applyFill="1" applyBorder="1" applyAlignment="1">
      <alignment horizontal="center"/>
    </xf>
    <xf numFmtId="1" fontId="15" fillId="7" borderId="1" xfId="0" applyNumberFormat="1" applyFont="1" applyFill="1" applyBorder="1" applyAlignment="1">
      <alignment horizontal="center"/>
    </xf>
    <xf numFmtId="2" fontId="15" fillId="7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0" fontId="5" fillId="0" borderId="1" xfId="0" applyNumberFormat="1" applyFont="1" applyBorder="1"/>
    <xf numFmtId="2" fontId="5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/>
    <xf numFmtId="10" fontId="12" fillId="0" borderId="1" xfId="0" applyNumberFormat="1" applyFont="1" applyBorder="1"/>
    <xf numFmtId="1" fontId="1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Share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LalPathlab!$K$41</c:f>
              <c:strCache>
                <c:ptCount val="1"/>
                <c:pt idx="0">
                  <c:v>FY_22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BCA-411A-AE3F-452B18437FEB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BCA-411A-AE3F-452B18437FEB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BCA-411A-AE3F-452B18437FEB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BCA-411A-AE3F-452B18437FEB}"/>
              </c:ext>
            </c:extLst>
          </c:dPt>
          <c:cat>
            <c:strRef>
              <c:f>LalPathlab!$J$42:$J$45</c:f>
              <c:strCache>
                <c:ptCount val="4"/>
                <c:pt idx="0">
                  <c:v>Promoter</c:v>
                </c:pt>
                <c:pt idx="1">
                  <c:v>FPI</c:v>
                </c:pt>
                <c:pt idx="2">
                  <c:v>MF &amp; Insurance</c:v>
                </c:pt>
                <c:pt idx="3">
                  <c:v>Retail</c:v>
                </c:pt>
              </c:strCache>
            </c:strRef>
          </c:cat>
          <c:val>
            <c:numRef>
              <c:f>LalPathlab!$K$42:$K$45</c:f>
              <c:numCache>
                <c:formatCode>0%</c:formatCode>
                <c:ptCount val="4"/>
                <c:pt idx="0">
                  <c:v>0.54600000000000004</c:v>
                </c:pt>
                <c:pt idx="1">
                  <c:v>0.26500000000000001</c:v>
                </c:pt>
                <c:pt idx="2">
                  <c:v>7.0999999999999994E-2</c:v>
                </c:pt>
                <c:pt idx="3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CA-411A-AE3F-452B18437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Prov'!$C$97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Prov'!$B$98:$B$104</c:f>
              <c:strCache>
                <c:ptCount val="7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  <c:pt idx="5">
                  <c:v>SASTASUNDR</c:v>
                </c:pt>
                <c:pt idx="6">
                  <c:v>3BBLACKBIO</c:v>
                </c:pt>
              </c:strCache>
            </c:strRef>
          </c:cat>
          <c:val>
            <c:numRef>
              <c:f>'Copy of Healthcare Service Prov'!$C$98:$C$104</c:f>
              <c:numCache>
                <c:formatCode>0.0%</c:formatCode>
                <c:ptCount val="7"/>
                <c:pt idx="0">
                  <c:v>0.11948438274665345</c:v>
                </c:pt>
                <c:pt idx="1">
                  <c:v>0.12456445993031359</c:v>
                </c:pt>
                <c:pt idx="2">
                  <c:v>0.18518518518518517</c:v>
                </c:pt>
                <c:pt idx="3">
                  <c:v>0.12144212523719165</c:v>
                </c:pt>
                <c:pt idx="4">
                  <c:v>0.12731006160164271</c:v>
                </c:pt>
                <c:pt idx="5">
                  <c:v>-9.3396226415094333E-2</c:v>
                </c:pt>
                <c:pt idx="6">
                  <c:v>0.41935483870967744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6C7-41CC-8598-B02DEC4794EF}"/>
            </c:ext>
          </c:extLst>
        </c:ser>
        <c:ser>
          <c:idx val="1"/>
          <c:order val="1"/>
          <c:tx>
            <c:strRef>
              <c:f>'Copy of Healthcare Service Prov'!$D$97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Prov'!$B$98:$B$104</c:f>
              <c:strCache>
                <c:ptCount val="7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  <c:pt idx="5">
                  <c:v>SASTASUNDR</c:v>
                </c:pt>
                <c:pt idx="6">
                  <c:v>3BBLACKBIO</c:v>
                </c:pt>
              </c:strCache>
            </c:strRef>
          </c:cat>
          <c:val>
            <c:numRef>
              <c:f>'Copy of Healthcare Service Prov'!$D$98:$D$104</c:f>
              <c:numCache>
                <c:formatCode>0.0%</c:formatCode>
                <c:ptCount val="7"/>
                <c:pt idx="0">
                  <c:v>0.16418798334324808</c:v>
                </c:pt>
                <c:pt idx="1">
                  <c:v>0.1050228310502283</c:v>
                </c:pt>
                <c:pt idx="2">
                  <c:v>0.21938775510204081</c:v>
                </c:pt>
                <c:pt idx="3">
                  <c:v>0.12514354066985647</c:v>
                </c:pt>
                <c:pt idx="4">
                  <c:v>8.3885209713024281E-2</c:v>
                </c:pt>
                <c:pt idx="5">
                  <c:v>-4.6309696092619389E-2</c:v>
                </c:pt>
                <c:pt idx="6">
                  <c:v>0.40579710144927539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6C7-41CC-8598-B02DEC479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51760"/>
        <c:axId val="2036304631"/>
      </c:barChart>
      <c:catAx>
        <c:axId val="50635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6304631"/>
        <c:crosses val="autoZero"/>
        <c:auto val="1"/>
        <c:lblAlgn val="ctr"/>
        <c:lblOffset val="100"/>
        <c:noMultiLvlLbl val="1"/>
      </c:catAx>
      <c:valAx>
        <c:axId val="20363046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63517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Prov'!$H$97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Prov'!$G$98:$G$102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Prov'!$H$98:$H$102</c:f>
              <c:numCache>
                <c:formatCode>0.0</c:formatCode>
                <c:ptCount val="5"/>
                <c:pt idx="0">
                  <c:v>2.2908704883227178</c:v>
                </c:pt>
                <c:pt idx="1">
                  <c:v>1.208</c:v>
                </c:pt>
                <c:pt idx="2">
                  <c:v>4.0769230769230766</c:v>
                </c:pt>
                <c:pt idx="3">
                  <c:v>3.0461897129535189</c:v>
                </c:pt>
                <c:pt idx="4">
                  <c:v>1.7925311203319503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5B6-46AF-B728-02DF9EE81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959198"/>
        <c:axId val="599742443"/>
      </c:barChart>
      <c:catAx>
        <c:axId val="14809591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9742443"/>
        <c:crosses val="autoZero"/>
        <c:auto val="1"/>
        <c:lblAlgn val="ctr"/>
        <c:lblOffset val="100"/>
        <c:noMultiLvlLbl val="1"/>
      </c:catAx>
      <c:valAx>
        <c:axId val="5997424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09591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Prov'!$L$97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Prov'!$K$98:$K$102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Prov'!$L$98:$L$102</c:f>
              <c:numCache>
                <c:formatCode>0</c:formatCode>
                <c:ptCount val="5"/>
                <c:pt idx="0">
                  <c:v>15.56271690629648</c:v>
                </c:pt>
                <c:pt idx="1">
                  <c:v>38.789198606271775</c:v>
                </c:pt>
                <c:pt idx="2">
                  <c:v>7.9520697167755996</c:v>
                </c:pt>
                <c:pt idx="3">
                  <c:v>38.342314990512335</c:v>
                </c:pt>
                <c:pt idx="4">
                  <c:v>119.16837782340863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37-45F6-9934-A0A5B41EF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946800"/>
        <c:axId val="1730938607"/>
      </c:barChart>
      <c:catAx>
        <c:axId val="203594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0938607"/>
        <c:crosses val="autoZero"/>
        <c:auto val="1"/>
        <c:lblAlgn val="ctr"/>
        <c:lblOffset val="100"/>
        <c:noMultiLvlLbl val="1"/>
      </c:catAx>
      <c:valAx>
        <c:axId val="17309386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59468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Prov'!$C$124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Prov'!$B$125:$B$129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Prov'!$C$125:$C$129</c:f>
              <c:numCache>
                <c:formatCode>0</c:formatCode>
                <c:ptCount val="5"/>
                <c:pt idx="0">
                  <c:v>55.47</c:v>
                </c:pt>
                <c:pt idx="1">
                  <c:v>67.599999999999994</c:v>
                </c:pt>
                <c:pt idx="2">
                  <c:v>56.9</c:v>
                </c:pt>
                <c:pt idx="3">
                  <c:v>54.66</c:v>
                </c:pt>
                <c:pt idx="4">
                  <c:v>36.04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A07-434B-97FA-8E473117DF20}"/>
            </c:ext>
          </c:extLst>
        </c:ser>
        <c:ser>
          <c:idx val="1"/>
          <c:order val="1"/>
          <c:tx>
            <c:strRef>
              <c:f>'Copy of Healthcare Service Prov'!$D$124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Prov'!$B$125:$B$129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Prov'!$D$125:$D$129</c:f>
              <c:numCache>
                <c:formatCode>0</c:formatCode>
                <c:ptCount val="5"/>
                <c:pt idx="0">
                  <c:v>10.223255813953488</c:v>
                </c:pt>
                <c:pt idx="1">
                  <c:v>7.8312678741658717</c:v>
                </c:pt>
                <c:pt idx="2">
                  <c:v>10.45575959933222</c:v>
                </c:pt>
                <c:pt idx="3">
                  <c:v>7.2555693749487338</c:v>
                </c:pt>
                <c:pt idx="4">
                  <c:v>2.6865165562913909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A07-434B-97FA-8E473117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28830"/>
        <c:axId val="1194262132"/>
      </c:barChart>
      <c:catAx>
        <c:axId val="124228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4262132"/>
        <c:crosses val="autoZero"/>
        <c:auto val="1"/>
        <c:lblAlgn val="ctr"/>
        <c:lblOffset val="100"/>
        <c:noMultiLvlLbl val="1"/>
      </c:catAx>
      <c:valAx>
        <c:axId val="11942621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2288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Prov'!$H$124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Prov'!$G$125:$G$129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Prov'!$H$125:$H$129</c:f>
              <c:numCache>
                <c:formatCode>0.0%</c:formatCode>
                <c:ptCount val="5"/>
                <c:pt idx="0">
                  <c:v>1.8030027297543223E-2</c:v>
                </c:pt>
                <c:pt idx="1">
                  <c:v>1.4790018259281801E-2</c:v>
                </c:pt>
                <c:pt idx="2">
                  <c:v>1.7579434775666616E-2</c:v>
                </c:pt>
                <c:pt idx="3">
                  <c:v>1.8296058044730345E-2</c:v>
                </c:pt>
                <c:pt idx="4">
                  <c:v>2.7751045199968447E-2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6E1-48DD-8B04-D2AE5D4B1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712441"/>
        <c:axId val="901469413"/>
      </c:barChart>
      <c:catAx>
        <c:axId val="646712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1469413"/>
        <c:crosses val="autoZero"/>
        <c:auto val="1"/>
        <c:lblAlgn val="ctr"/>
        <c:lblOffset val="100"/>
        <c:noMultiLvlLbl val="1"/>
      </c:catAx>
      <c:valAx>
        <c:axId val="901469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67124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Healthcare Service Prov'!$C$18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381-4E11-A090-06CE045AC71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381-4E11-A090-06CE045AC71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381-4E11-A090-06CE045AC71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6381-4E11-A090-06CE045AC71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6381-4E11-A090-06CE045AC71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6381-4E11-A090-06CE045AC71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6381-4E11-A090-06CE045AC71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6381-4E11-A090-06CE045AC71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6381-4E11-A090-06CE045AC71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Healthcare Service Prov'!$B$19:$B$27</c:f>
              <c:strCache>
                <c:ptCount val="9"/>
                <c:pt idx="0">
                  <c:v>LALPATHLAB</c:v>
                </c:pt>
                <c:pt idx="1">
                  <c:v>VIJAYA</c:v>
                </c:pt>
                <c:pt idx="2">
                  <c:v>METROPOLIS</c:v>
                </c:pt>
                <c:pt idx="3">
                  <c:v>THYROCARE</c:v>
                </c:pt>
                <c:pt idx="4">
                  <c:v>KRSNAA</c:v>
                </c:pt>
                <c:pt idx="5">
                  <c:v>SURAKSHA</c:v>
                </c:pt>
                <c:pt idx="6">
                  <c:v>3BBLACKBIO</c:v>
                </c:pt>
                <c:pt idx="7">
                  <c:v>SASTASUNDR</c:v>
                </c:pt>
                <c:pt idx="8">
                  <c:v>Others_19</c:v>
                </c:pt>
              </c:strCache>
            </c:strRef>
          </c:cat>
          <c:val>
            <c:numRef>
              <c:f>'Copy of Healthcare Service Prov'!$C$19:$C$27</c:f>
              <c:numCache>
                <c:formatCode>0</c:formatCode>
                <c:ptCount val="9"/>
                <c:pt idx="0">
                  <c:v>25410.753084100001</c:v>
                </c:pt>
                <c:pt idx="1">
                  <c:v>10859.575089800001</c:v>
                </c:pt>
                <c:pt idx="2">
                  <c:v>10539.020666300001</c:v>
                </c:pt>
                <c:pt idx="3">
                  <c:v>4862.7577855999998</c:v>
                </c:pt>
                <c:pt idx="4">
                  <c:v>2935.4620027000001</c:v>
                </c:pt>
                <c:pt idx="5">
                  <c:v>1977.2456419</c:v>
                </c:pt>
                <c:pt idx="6">
                  <c:v>1698</c:v>
                </c:pt>
                <c:pt idx="7">
                  <c:v>1013.6409257</c:v>
                </c:pt>
                <c:pt idx="8" formatCode="General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81-4E11-A090-06CE045A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Healthcare Service Prov'!$G$18</c:f>
              <c:strCache>
                <c:ptCount val="1"/>
                <c:pt idx="0">
                  <c:v>SALES_24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FE6-46CF-8F7B-404DAA8D055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FE6-46CF-8F7B-404DAA8D055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FE6-46CF-8F7B-404DAA8D055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FE6-46CF-8F7B-404DAA8D055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FE6-46CF-8F7B-404DAA8D055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FE6-46CF-8F7B-404DAA8D055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FE6-46CF-8F7B-404DAA8D055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FE6-46CF-8F7B-404DAA8D055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Healthcare Service Prov'!$F$19:$F$26</c:f>
              <c:strCache>
                <c:ptCount val="8"/>
                <c:pt idx="0">
                  <c:v>LALPATHLAB</c:v>
                </c:pt>
                <c:pt idx="1">
                  <c:v>VIJAYA</c:v>
                </c:pt>
                <c:pt idx="2">
                  <c:v>METROPOLIS</c:v>
                </c:pt>
                <c:pt idx="3">
                  <c:v>THYROCARE</c:v>
                </c:pt>
                <c:pt idx="4">
                  <c:v>KRSNAA</c:v>
                </c:pt>
                <c:pt idx="5">
                  <c:v>SURAKSHA</c:v>
                </c:pt>
                <c:pt idx="6">
                  <c:v>3BBLACKBIO</c:v>
                </c:pt>
                <c:pt idx="7">
                  <c:v>SASTASUNDR</c:v>
                </c:pt>
              </c:strCache>
            </c:strRef>
          </c:cat>
          <c:val>
            <c:numRef>
              <c:f>'Copy of Healthcare Service Prov'!$G$19:$G$26</c:f>
              <c:numCache>
                <c:formatCode>General</c:formatCode>
                <c:ptCount val="8"/>
                <c:pt idx="0">
                  <c:v>2227</c:v>
                </c:pt>
                <c:pt idx="1">
                  <c:v>548</c:v>
                </c:pt>
                <c:pt idx="2">
                  <c:v>1285</c:v>
                </c:pt>
                <c:pt idx="3">
                  <c:v>571</c:v>
                </c:pt>
                <c:pt idx="4">
                  <c:v>653</c:v>
                </c:pt>
                <c:pt idx="5">
                  <c:v>219</c:v>
                </c:pt>
                <c:pt idx="6">
                  <c:v>89</c:v>
                </c:pt>
                <c:pt idx="7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E6-46CF-8F7B-404DAA8D0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Prov'!$K$18</c:f>
              <c:strCache>
                <c:ptCount val="1"/>
                <c:pt idx="0">
                  <c:v>PROFIT_24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Prov'!$J$19:$J$26</c:f>
              <c:strCache>
                <c:ptCount val="8"/>
                <c:pt idx="0">
                  <c:v>LALPATHLAB</c:v>
                </c:pt>
                <c:pt idx="1">
                  <c:v>VIJAYA</c:v>
                </c:pt>
                <c:pt idx="2">
                  <c:v>METROPOLIS</c:v>
                </c:pt>
                <c:pt idx="3">
                  <c:v>THYROCARE</c:v>
                </c:pt>
                <c:pt idx="4">
                  <c:v>KRSNAA</c:v>
                </c:pt>
                <c:pt idx="5">
                  <c:v>SURAKSHA</c:v>
                </c:pt>
                <c:pt idx="6">
                  <c:v>3BBLACKBIO</c:v>
                </c:pt>
                <c:pt idx="7">
                  <c:v>SASTASUNDR</c:v>
                </c:pt>
              </c:strCache>
            </c:strRef>
          </c:cat>
          <c:val>
            <c:numRef>
              <c:f>'Copy of Healthcare Service Prov'!$K$19:$K$26</c:f>
              <c:numCache>
                <c:formatCode>General</c:formatCode>
                <c:ptCount val="8"/>
                <c:pt idx="0">
                  <c:v>362</c:v>
                </c:pt>
                <c:pt idx="1">
                  <c:v>120</c:v>
                </c:pt>
                <c:pt idx="2">
                  <c:v>148</c:v>
                </c:pt>
                <c:pt idx="3">
                  <c:v>89</c:v>
                </c:pt>
                <c:pt idx="4">
                  <c:v>72</c:v>
                </c:pt>
                <c:pt idx="5">
                  <c:v>27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15D-4A44-AC63-9CFD42CAA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820251"/>
        <c:axId val="21513925"/>
      </c:barChart>
      <c:catAx>
        <c:axId val="259820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513925"/>
        <c:crosses val="autoZero"/>
        <c:auto val="1"/>
        <c:lblAlgn val="ctr"/>
        <c:lblOffset val="100"/>
        <c:noMultiLvlLbl val="1"/>
      </c:catAx>
      <c:valAx>
        <c:axId val="215139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8202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Prov'!$C$45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Prov'!$B$46:$B$53</c:f>
              <c:strCache>
                <c:ptCount val="8"/>
                <c:pt idx="0">
                  <c:v>LALPATHLAB</c:v>
                </c:pt>
                <c:pt idx="1">
                  <c:v>VIJAYA</c:v>
                </c:pt>
                <c:pt idx="2">
                  <c:v>METROPOLIS</c:v>
                </c:pt>
                <c:pt idx="3">
                  <c:v>THYROCARE</c:v>
                </c:pt>
                <c:pt idx="4">
                  <c:v>KRSNAA</c:v>
                </c:pt>
                <c:pt idx="5">
                  <c:v>SURAKSHA</c:v>
                </c:pt>
                <c:pt idx="6">
                  <c:v>3BBLACKBIO</c:v>
                </c:pt>
                <c:pt idx="7">
                  <c:v>SASTASUNDR</c:v>
                </c:pt>
              </c:strCache>
            </c:strRef>
          </c:cat>
          <c:val>
            <c:numRef>
              <c:f>'Copy of Healthcare Service Prov'!$C$46:$C$53</c:f>
              <c:numCache>
                <c:formatCode>0%</c:formatCode>
                <c:ptCount val="8"/>
                <c:pt idx="0">
                  <c:v>0.13100000000000001</c:v>
                </c:pt>
                <c:pt idx="1">
                  <c:v>0.13400000000000001</c:v>
                </c:pt>
                <c:pt idx="2">
                  <c:v>9.7000000000000003E-2</c:v>
                </c:pt>
                <c:pt idx="3">
                  <c:v>7.1999999999999995E-2</c:v>
                </c:pt>
                <c:pt idx="4">
                  <c:v>0.32</c:v>
                </c:pt>
                <c:pt idx="5">
                  <c:v>7.6999999999999999E-2</c:v>
                </c:pt>
                <c:pt idx="6">
                  <c:v>0.26</c:v>
                </c:pt>
                <c:pt idx="7">
                  <c:v>0.45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898-43F3-9439-83EE0046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43910"/>
        <c:axId val="728916405"/>
      </c:barChart>
      <c:catAx>
        <c:axId val="4313439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8916405"/>
        <c:crosses val="autoZero"/>
        <c:auto val="1"/>
        <c:lblAlgn val="ctr"/>
        <c:lblOffset val="100"/>
        <c:noMultiLvlLbl val="1"/>
      </c:catAx>
      <c:valAx>
        <c:axId val="7289164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134391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Prov'!$G$45</c:f>
              <c:strCache>
                <c:ptCount val="1"/>
                <c:pt idx="0">
                  <c:v>H1_FY25_SALES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Prov'!$F$46:$F$53</c:f>
              <c:strCache>
                <c:ptCount val="8"/>
                <c:pt idx="0">
                  <c:v>LALPATHLAB</c:v>
                </c:pt>
                <c:pt idx="1">
                  <c:v>VIJAYA</c:v>
                </c:pt>
                <c:pt idx="2">
                  <c:v>METROPOLIS</c:v>
                </c:pt>
                <c:pt idx="3">
                  <c:v>THYROCARE</c:v>
                </c:pt>
                <c:pt idx="4">
                  <c:v>KRSNAA</c:v>
                </c:pt>
                <c:pt idx="5">
                  <c:v>SURAKSHA</c:v>
                </c:pt>
                <c:pt idx="6">
                  <c:v>3BBLACKBIO</c:v>
                </c:pt>
                <c:pt idx="7">
                  <c:v>SASTASUNDR</c:v>
                </c:pt>
              </c:strCache>
            </c:strRef>
          </c:cat>
          <c:val>
            <c:numRef>
              <c:f>'Copy of Healthcare Service Prov'!$G$46:$G$53</c:f>
              <c:numCache>
                <c:formatCode>0%</c:formatCode>
                <c:ptCount val="8"/>
                <c:pt idx="0">
                  <c:v>0.11</c:v>
                </c:pt>
                <c:pt idx="1">
                  <c:v>0.32</c:v>
                </c:pt>
                <c:pt idx="2">
                  <c:v>0.13400000000000001</c:v>
                </c:pt>
                <c:pt idx="3">
                  <c:v>0.19600000000000001</c:v>
                </c:pt>
                <c:pt idx="4">
                  <c:v>0.217</c:v>
                </c:pt>
                <c:pt idx="5">
                  <c:v>9.8000000000000004E-2</c:v>
                </c:pt>
                <c:pt idx="6">
                  <c:v>0.52</c:v>
                </c:pt>
                <c:pt idx="7">
                  <c:v>-0.24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64-45EF-A304-1988E309E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731308"/>
        <c:axId val="932965823"/>
      </c:barChart>
      <c:catAx>
        <c:axId val="17817313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2965823"/>
        <c:crosses val="autoZero"/>
        <c:auto val="1"/>
        <c:lblAlgn val="ctr"/>
        <c:lblOffset val="100"/>
        <c:noMultiLvlLbl val="1"/>
      </c:catAx>
      <c:valAx>
        <c:axId val="9329658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17313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Prov'!$C$72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Prov'!$B$73:$B$77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Prov'!$C$73:$C$77</c:f>
              <c:numCache>
                <c:formatCode>0.00</c:formatCode>
                <c:ptCount val="5"/>
                <c:pt idx="0">
                  <c:v>6.9213732004429679E-2</c:v>
                </c:pt>
                <c:pt idx="1">
                  <c:v>4.1944709246901808E-2</c:v>
                </c:pt>
                <c:pt idx="2">
                  <c:v>0.42237061769616024</c:v>
                </c:pt>
                <c:pt idx="3">
                  <c:v>4.9032072840620132E-2</c:v>
                </c:pt>
                <c:pt idx="4">
                  <c:v>9.2715231788079472E-2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BF9-43F4-B2CB-22EE6D51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050227"/>
        <c:axId val="966174450"/>
      </c:barChart>
      <c:catAx>
        <c:axId val="1446050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6174450"/>
        <c:crosses val="autoZero"/>
        <c:auto val="1"/>
        <c:lblAlgn val="ctr"/>
        <c:lblOffset val="100"/>
        <c:noMultiLvlLbl val="1"/>
      </c:catAx>
      <c:valAx>
        <c:axId val="9661744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60502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Prov'!$G$72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Prov'!$F$73:$F$77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Prov'!$G$73:$G$77</c:f>
              <c:numCache>
                <c:formatCode>0.0</c:formatCode>
                <c:ptCount val="5"/>
                <c:pt idx="0">
                  <c:v>8.973684210526315</c:v>
                </c:pt>
                <c:pt idx="1">
                  <c:v>7.3703703703703702</c:v>
                </c:pt>
                <c:pt idx="2">
                  <c:v>5.7142857142857144</c:v>
                </c:pt>
                <c:pt idx="3">
                  <c:v>34.617021276595743</c:v>
                </c:pt>
                <c:pt idx="4">
                  <c:v>8.625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4F4-4F07-B82E-DB69F65C7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449956"/>
        <c:axId val="1423472768"/>
      </c:barChart>
      <c:catAx>
        <c:axId val="19234499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3472768"/>
        <c:crosses val="autoZero"/>
        <c:auto val="1"/>
        <c:lblAlgn val="ctr"/>
        <c:lblOffset val="100"/>
        <c:noMultiLvlLbl val="1"/>
      </c:catAx>
      <c:valAx>
        <c:axId val="14234727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34499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Healthcare Service Prov'!$K$72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Healthcare Service Prov'!$J$73:$J$77</c:f>
              <c:strCache>
                <c:ptCount val="5"/>
                <c:pt idx="0">
                  <c:v>LALPATHLAB</c:v>
                </c:pt>
                <c:pt idx="1">
                  <c:v>METROPOLIS</c:v>
                </c:pt>
                <c:pt idx="2">
                  <c:v>VIJAYA*</c:v>
                </c:pt>
                <c:pt idx="3">
                  <c:v>THYROCARE</c:v>
                </c:pt>
                <c:pt idx="4">
                  <c:v>KRSNAA</c:v>
                </c:pt>
              </c:strCache>
            </c:strRef>
          </c:cat>
          <c:val>
            <c:numRef>
              <c:f>'Copy of Healthcare Service Prov'!$K$73:$K$77</c:f>
              <c:numCache>
                <c:formatCode>0.00</c:formatCode>
                <c:ptCount val="5"/>
                <c:pt idx="0">
                  <c:v>0.26134969325153373</c:v>
                </c:pt>
                <c:pt idx="1">
                  <c:v>0.30417495029821073</c:v>
                </c:pt>
                <c:pt idx="2">
                  <c:v>0.35205183585313177</c:v>
                </c:pt>
                <c:pt idx="3">
                  <c:v>0.17724274072449339</c:v>
                </c:pt>
                <c:pt idx="4">
                  <c:v>0.29897864438254412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4C5-4A37-83FC-B9EEFD44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724714"/>
        <c:axId val="1107768029"/>
      </c:barChart>
      <c:catAx>
        <c:axId val="11527247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7768029"/>
        <c:crosses val="autoZero"/>
        <c:auto val="1"/>
        <c:lblAlgn val="ctr"/>
        <c:lblOffset val="100"/>
        <c:noMultiLvlLbl val="1"/>
      </c:catAx>
      <c:valAx>
        <c:axId val="11077680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27247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314325</xdr:colOff>
      <xdr:row>39</xdr:row>
      <xdr:rowOff>200025</xdr:rowOff>
    </xdr:from>
    <xdr:ext cx="3514725" cy="2171700"/>
    <xdr:graphicFrame macro="">
      <xdr:nvGraphicFramePr>
        <xdr:cNvPr id="2" name="Chart 14" title="Chart">
          <a:extLst>
            <a:ext uri="{FF2B5EF4-FFF2-40B4-BE49-F238E27FC236}">
              <a16:creationId xmlns:a16="http://schemas.microsoft.com/office/drawing/2014/main" id="{1CFEE2B6-F88C-4E0B-9211-EBB218CDE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171450</xdr:colOff>
      <xdr:row>39</xdr:row>
      <xdr:rowOff>200025</xdr:rowOff>
    </xdr:from>
    <xdr:ext cx="8191500" cy="34956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1907FAE1-DF61-47DA-813B-034EACDBE9B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7698105"/>
          <a:ext cx="8191500" cy="3495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27</xdr:row>
      <xdr:rowOff>219075</xdr:rowOff>
    </xdr:from>
    <xdr:ext cx="4619625" cy="28575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F894ED0-6CD3-446D-B5D3-CCF98C5D9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923925</xdr:colOff>
      <xdr:row>27</xdr:row>
      <xdr:rowOff>200025</xdr:rowOff>
    </xdr:from>
    <xdr:ext cx="4686300" cy="28575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6CA0FC78-36A5-43D8-809E-AF34F0317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809625</xdr:colOff>
      <xdr:row>27</xdr:row>
      <xdr:rowOff>200025</xdr:rowOff>
    </xdr:from>
    <xdr:ext cx="4686300" cy="28860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7691CA82-05C2-4782-B627-6073027BB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114300</xdr:colOff>
      <xdr:row>54</xdr:row>
      <xdr:rowOff>95250</xdr:rowOff>
    </xdr:from>
    <xdr:ext cx="4619625" cy="28575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DF56A958-F98F-4339-8AE2-E033D209E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895350</xdr:colOff>
      <xdr:row>54</xdr:row>
      <xdr:rowOff>95250</xdr:rowOff>
    </xdr:from>
    <xdr:ext cx="4619625" cy="28575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5C1568D4-1E2A-4EC4-A7E5-7DC6B6FA0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114300</xdr:colOff>
      <xdr:row>79</xdr:row>
      <xdr:rowOff>66675</xdr:rowOff>
    </xdr:from>
    <xdr:ext cx="4686300" cy="2886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D12181EE-F2CF-455A-800F-E51825A86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0</xdr:colOff>
      <xdr:row>79</xdr:row>
      <xdr:rowOff>66675</xdr:rowOff>
    </xdr:from>
    <xdr:ext cx="4686300" cy="288607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A5B1377-A93A-42D0-82C3-D8BD2FD14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847725</xdr:colOff>
      <xdr:row>79</xdr:row>
      <xdr:rowOff>66675</xdr:rowOff>
    </xdr:from>
    <xdr:ext cx="4686300" cy="28860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167C2BA-8B4D-412A-AEFF-B5A51FE01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0</xdr:colOff>
      <xdr:row>106</xdr:row>
      <xdr:rowOff>28575</xdr:rowOff>
    </xdr:from>
    <xdr:ext cx="4800600" cy="29622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1D16140B-5AD3-448F-86B4-095D1708B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0</xdr:colOff>
      <xdr:row>106</xdr:row>
      <xdr:rowOff>28575</xdr:rowOff>
    </xdr:from>
    <xdr:ext cx="4800600" cy="29622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1B90DBF0-E899-41C8-B8F2-5EA49A129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10</xdr:col>
      <xdr:colOff>0</xdr:colOff>
      <xdr:row>106</xdr:row>
      <xdr:rowOff>28575</xdr:rowOff>
    </xdr:from>
    <xdr:ext cx="4800600" cy="29622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A1E9AA34-E51E-49FE-93DE-C576D355B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114300</xdr:colOff>
      <xdr:row>131</xdr:row>
      <xdr:rowOff>85725</xdr:rowOff>
    </xdr:from>
    <xdr:ext cx="4743450" cy="29622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AC2ED032-3709-49A7-AB0F-B61ED85B8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5</xdr:col>
      <xdr:colOff>57150</xdr:colOff>
      <xdr:row>131</xdr:row>
      <xdr:rowOff>85725</xdr:rowOff>
    </xdr:from>
    <xdr:ext cx="4800600" cy="29622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F4385B94-3279-4A47-B12C-FBB6A1C66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952500</xdr:colOff>
      <xdr:row>6</xdr:row>
      <xdr:rowOff>180975</xdr:rowOff>
    </xdr:from>
    <xdr:ext cx="4476750" cy="1666875"/>
    <xdr:pic>
      <xdr:nvPicPr>
        <xdr:cNvPr id="15" name="image1.png" title="Image">
          <a:extLst>
            <a:ext uri="{FF2B5EF4-FFF2-40B4-BE49-F238E27FC236}">
              <a16:creationId xmlns:a16="http://schemas.microsoft.com/office/drawing/2014/main" id="{EEBF4396-D6ED-4CB4-BE19-6EC19712BE1E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68680" y="1369695"/>
          <a:ext cx="4476750" cy="1666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HealthCare%20Services%20(6).xlsx" TargetMode="External"/><Relationship Id="rId1" Type="http://schemas.openxmlformats.org/officeDocument/2006/relationships/externalLinkPath" Target="/Users/profi/Downloads/HealthCare%20Services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y of Healthcare Service Prov"/>
      <sheetName val="LalPathlab"/>
      <sheetName val="DashBoard"/>
      <sheetName val="Industry"/>
      <sheetName val="HealthCare"/>
      <sheetName val="Metropolis"/>
      <sheetName val="Thyrocare"/>
      <sheetName val="AsterDm"/>
    </sheetNames>
    <sheetDataSet>
      <sheetData sheetId="0">
        <row r="18">
          <cell r="C18" t="str">
            <v>MARKETCAP</v>
          </cell>
          <cell r="G18" t="str">
            <v>SALES_24</v>
          </cell>
          <cell r="K18" t="str">
            <v>PROFIT_24</v>
          </cell>
        </row>
        <row r="19">
          <cell r="B19" t="str">
            <v>LALPATHLAB</v>
          </cell>
          <cell r="C19">
            <v>25410.753084100001</v>
          </cell>
          <cell r="F19" t="str">
            <v>LALPATHLAB</v>
          </cell>
          <cell r="G19">
            <v>2227</v>
          </cell>
          <cell r="J19" t="str">
            <v>LALPATHLAB</v>
          </cell>
          <cell r="K19">
            <v>362</v>
          </cell>
        </row>
        <row r="20">
          <cell r="B20" t="str">
            <v>VIJAYA</v>
          </cell>
          <cell r="C20">
            <v>10859.575089800001</v>
          </cell>
          <cell r="F20" t="str">
            <v>VIJAYA</v>
          </cell>
          <cell r="G20">
            <v>548</v>
          </cell>
          <cell r="J20" t="str">
            <v>VIJAYA</v>
          </cell>
          <cell r="K20">
            <v>120</v>
          </cell>
        </row>
        <row r="21">
          <cell r="B21" t="str">
            <v>METROPOLIS</v>
          </cell>
          <cell r="C21">
            <v>10539.020666300001</v>
          </cell>
          <cell r="F21" t="str">
            <v>METROPOLIS</v>
          </cell>
          <cell r="G21">
            <v>1285</v>
          </cell>
          <cell r="J21" t="str">
            <v>METROPOLIS</v>
          </cell>
          <cell r="K21">
            <v>148</v>
          </cell>
        </row>
        <row r="22">
          <cell r="B22" t="str">
            <v>THYROCARE</v>
          </cell>
          <cell r="C22">
            <v>4862.7577855999998</v>
          </cell>
          <cell r="F22" t="str">
            <v>THYROCARE</v>
          </cell>
          <cell r="G22">
            <v>571</v>
          </cell>
          <cell r="J22" t="str">
            <v>THYROCARE</v>
          </cell>
          <cell r="K22">
            <v>89</v>
          </cell>
        </row>
        <row r="23">
          <cell r="B23" t="str">
            <v>KRSNAA</v>
          </cell>
          <cell r="C23">
            <v>2935.4620027000001</v>
          </cell>
          <cell r="F23" t="str">
            <v>KRSNAA</v>
          </cell>
          <cell r="G23">
            <v>653</v>
          </cell>
          <cell r="J23" t="str">
            <v>KRSNAA</v>
          </cell>
          <cell r="K23">
            <v>72</v>
          </cell>
        </row>
        <row r="24">
          <cell r="B24" t="str">
            <v>SURAKSHA</v>
          </cell>
          <cell r="C24">
            <v>1977.2456419</v>
          </cell>
          <cell r="F24" t="str">
            <v>SURAKSHA</v>
          </cell>
          <cell r="G24">
            <v>219</v>
          </cell>
          <cell r="J24" t="str">
            <v>SURAKSHA</v>
          </cell>
          <cell r="K24">
            <v>27</v>
          </cell>
        </row>
        <row r="25">
          <cell r="B25" t="str">
            <v>3BBLACKBIO</v>
          </cell>
          <cell r="C25">
            <v>1698</v>
          </cell>
          <cell r="F25" t="str">
            <v>3BBLACKBIO</v>
          </cell>
          <cell r="G25">
            <v>89</v>
          </cell>
          <cell r="J25" t="str">
            <v>3BBLACKBIO</v>
          </cell>
          <cell r="K25">
            <v>43</v>
          </cell>
        </row>
        <row r="26">
          <cell r="B26" t="str">
            <v>SASTASUNDR</v>
          </cell>
          <cell r="C26">
            <v>1013.6409257</v>
          </cell>
          <cell r="F26" t="str">
            <v>SASTASUNDR</v>
          </cell>
          <cell r="G26">
            <v>1225</v>
          </cell>
          <cell r="J26" t="str">
            <v>SASTASUNDR</v>
          </cell>
          <cell r="K26">
            <v>71</v>
          </cell>
        </row>
        <row r="27">
          <cell r="B27" t="str">
            <v>Others_19</v>
          </cell>
          <cell r="C27">
            <v>862</v>
          </cell>
        </row>
        <row r="45">
          <cell r="C45" t="str">
            <v>SALES_5Y_GR</v>
          </cell>
          <cell r="G45" t="str">
            <v>H1_FY25_SALES</v>
          </cell>
        </row>
        <row r="46">
          <cell r="B46" t="str">
            <v>LALPATHLAB</v>
          </cell>
          <cell r="C46">
            <v>0.13100000000000001</v>
          </cell>
          <cell r="F46" t="str">
            <v>LALPATHLAB</v>
          </cell>
          <cell r="G46">
            <v>0.11</v>
          </cell>
        </row>
        <row r="47">
          <cell r="B47" t="str">
            <v>VIJAYA</v>
          </cell>
          <cell r="C47">
            <v>0.13400000000000001</v>
          </cell>
          <cell r="F47" t="str">
            <v>VIJAYA</v>
          </cell>
          <cell r="G47">
            <v>0.32</v>
          </cell>
        </row>
        <row r="48">
          <cell r="B48" t="str">
            <v>METROPOLIS</v>
          </cell>
          <cell r="C48">
            <v>9.7000000000000003E-2</v>
          </cell>
          <cell r="F48" t="str">
            <v>METROPOLIS</v>
          </cell>
          <cell r="G48">
            <v>0.13400000000000001</v>
          </cell>
        </row>
        <row r="49">
          <cell r="B49" t="str">
            <v>THYROCARE</v>
          </cell>
          <cell r="C49">
            <v>7.1999999999999995E-2</v>
          </cell>
          <cell r="F49" t="str">
            <v>THYROCARE</v>
          </cell>
          <cell r="G49">
            <v>0.19600000000000001</v>
          </cell>
        </row>
        <row r="50">
          <cell r="B50" t="str">
            <v>KRSNAA</v>
          </cell>
          <cell r="C50">
            <v>0.32</v>
          </cell>
          <cell r="F50" t="str">
            <v>KRSNAA</v>
          </cell>
          <cell r="G50">
            <v>0.217</v>
          </cell>
        </row>
        <row r="51">
          <cell r="B51" t="str">
            <v>SURAKSHA</v>
          </cell>
          <cell r="C51">
            <v>7.6999999999999999E-2</v>
          </cell>
          <cell r="F51" t="str">
            <v>SURAKSHA</v>
          </cell>
          <cell r="G51">
            <v>9.8000000000000004E-2</v>
          </cell>
        </row>
        <row r="52">
          <cell r="B52" t="str">
            <v>3BBLACKBIO</v>
          </cell>
          <cell r="C52">
            <v>0.26</v>
          </cell>
          <cell r="F52" t="str">
            <v>3BBLACKBIO</v>
          </cell>
          <cell r="G52">
            <v>0.52</v>
          </cell>
        </row>
        <row r="53">
          <cell r="B53" t="str">
            <v>SASTASUNDR</v>
          </cell>
          <cell r="C53">
            <v>0.45</v>
          </cell>
          <cell r="F53" t="str">
            <v>SASTASUNDR</v>
          </cell>
          <cell r="G53">
            <v>-0.24</v>
          </cell>
        </row>
        <row r="72">
          <cell r="C72" t="str">
            <v>DEBT2EQUITY</v>
          </cell>
          <cell r="G72" t="str">
            <v>ICR</v>
          </cell>
          <cell r="K72" t="str">
            <v>DEBTRATIO</v>
          </cell>
        </row>
        <row r="73">
          <cell r="B73" t="str">
            <v>LALPATHLAB</v>
          </cell>
          <cell r="C73">
            <v>6.9213732004429679E-2</v>
          </cell>
          <cell r="F73" t="str">
            <v>LALPATHLAB</v>
          </cell>
          <cell r="G73">
            <v>8.973684210526315</v>
          </cell>
          <cell r="J73" t="str">
            <v>LALPATHLAB</v>
          </cell>
          <cell r="K73">
            <v>0.26134969325153373</v>
          </cell>
        </row>
        <row r="74">
          <cell r="B74" t="str">
            <v>METROPOLIS</v>
          </cell>
          <cell r="C74">
            <v>4.1944709246901808E-2</v>
          </cell>
          <cell r="F74" t="str">
            <v>METROPOLIS</v>
          </cell>
          <cell r="G74">
            <v>7.3703703703703702</v>
          </cell>
          <cell r="J74" t="str">
            <v>METROPOLIS</v>
          </cell>
          <cell r="K74">
            <v>0.30417495029821073</v>
          </cell>
        </row>
        <row r="75">
          <cell r="B75" t="str">
            <v>VIJAYA*</v>
          </cell>
          <cell r="C75">
            <v>0.42237061769616024</v>
          </cell>
          <cell r="F75" t="str">
            <v>VIJAYA*</v>
          </cell>
          <cell r="G75">
            <v>5.7142857142857144</v>
          </cell>
          <cell r="J75" t="str">
            <v>VIJAYA*</v>
          </cell>
          <cell r="K75">
            <v>0.35205183585313177</v>
          </cell>
        </row>
        <row r="76">
          <cell r="B76" t="str">
            <v>THYROCARE</v>
          </cell>
          <cell r="C76">
            <v>4.9032072840620132E-2</v>
          </cell>
          <cell r="F76" t="str">
            <v>THYROCARE</v>
          </cell>
          <cell r="G76">
            <v>34.617021276595743</v>
          </cell>
          <cell r="J76" t="str">
            <v>THYROCARE</v>
          </cell>
          <cell r="K76">
            <v>0.17724274072449339</v>
          </cell>
        </row>
        <row r="77">
          <cell r="B77" t="str">
            <v>KRSNAA</v>
          </cell>
          <cell r="C77">
            <v>9.2715231788079472E-2</v>
          </cell>
          <cell r="F77" t="str">
            <v>KRSNAA</v>
          </cell>
          <cell r="G77">
            <v>8.625</v>
          </cell>
          <cell r="J77" t="str">
            <v>KRSNAA</v>
          </cell>
          <cell r="K77">
            <v>0.29897864438254412</v>
          </cell>
        </row>
        <row r="97">
          <cell r="C97" t="str">
            <v>MARGIN_23</v>
          </cell>
          <cell r="D97" t="str">
            <v>CY_MARGIN</v>
          </cell>
          <cell r="H97" t="str">
            <v>CUR. RATIO</v>
          </cell>
          <cell r="L97" t="str">
            <v>TR.DAYS</v>
          </cell>
        </row>
        <row r="98">
          <cell r="B98" t="str">
            <v>LALPATHLAB</v>
          </cell>
          <cell r="C98">
            <v>0.11948438274665345</v>
          </cell>
          <cell r="D98">
            <v>0.16418798334324808</v>
          </cell>
          <cell r="G98" t="str">
            <v>LALPATHLAB</v>
          </cell>
          <cell r="H98">
            <v>2.2908704883227178</v>
          </cell>
          <cell r="K98" t="str">
            <v>LALPATHLAB</v>
          </cell>
          <cell r="L98">
            <v>15.56271690629648</v>
          </cell>
        </row>
        <row r="99">
          <cell r="B99" t="str">
            <v>METROPOLIS</v>
          </cell>
          <cell r="C99">
            <v>0.12456445993031359</v>
          </cell>
          <cell r="D99">
            <v>0.1050228310502283</v>
          </cell>
          <cell r="G99" t="str">
            <v>METROPOLIS</v>
          </cell>
          <cell r="H99">
            <v>1.208</v>
          </cell>
          <cell r="K99" t="str">
            <v>METROPOLIS</v>
          </cell>
          <cell r="L99">
            <v>38.789198606271775</v>
          </cell>
        </row>
        <row r="100">
          <cell r="B100" t="str">
            <v>VIJAYA*</v>
          </cell>
          <cell r="C100">
            <v>0.18518518518518517</v>
          </cell>
          <cell r="D100">
            <v>0.21938775510204081</v>
          </cell>
          <cell r="G100" t="str">
            <v>VIJAYA*</v>
          </cell>
          <cell r="H100">
            <v>4.0769230769230766</v>
          </cell>
          <cell r="K100" t="str">
            <v>VIJAYA*</v>
          </cell>
          <cell r="L100">
            <v>7.9520697167755996</v>
          </cell>
        </row>
        <row r="101">
          <cell r="B101" t="str">
            <v>THYROCARE</v>
          </cell>
          <cell r="C101">
            <v>0.12144212523719165</v>
          </cell>
          <cell r="D101">
            <v>0.12514354066985647</v>
          </cell>
          <cell r="G101" t="str">
            <v>THYROCARE</v>
          </cell>
          <cell r="H101">
            <v>3.0461897129535189</v>
          </cell>
          <cell r="K101" t="str">
            <v>THYROCARE</v>
          </cell>
          <cell r="L101">
            <v>38.342314990512335</v>
          </cell>
        </row>
        <row r="102">
          <cell r="B102" t="str">
            <v>KRSNAA</v>
          </cell>
          <cell r="C102">
            <v>0.12731006160164271</v>
          </cell>
          <cell r="D102">
            <v>8.3885209713024281E-2</v>
          </cell>
          <cell r="G102" t="str">
            <v>KRSNAA</v>
          </cell>
          <cell r="H102">
            <v>1.7925311203319503</v>
          </cell>
          <cell r="K102" t="str">
            <v>KRSNAA</v>
          </cell>
          <cell r="L102">
            <v>119.16837782340863</v>
          </cell>
        </row>
        <row r="103">
          <cell r="B103" t="str">
            <v>SASTASUNDR</v>
          </cell>
          <cell r="C103">
            <v>-9.3396226415094333E-2</v>
          </cell>
          <cell r="D103">
            <v>-4.6309696092619389E-2</v>
          </cell>
        </row>
        <row r="104">
          <cell r="B104" t="str">
            <v>3BBLACKBIO</v>
          </cell>
          <cell r="C104">
            <v>0.41935483870967744</v>
          </cell>
          <cell r="D104">
            <v>0.40579710144927539</v>
          </cell>
        </row>
        <row r="124">
          <cell r="C124" t="str">
            <v>TRAIL_PE</v>
          </cell>
          <cell r="D124" t="str">
            <v>PBV</v>
          </cell>
          <cell r="H124" t="str">
            <v>YIELD</v>
          </cell>
        </row>
        <row r="125">
          <cell r="B125" t="str">
            <v>LALPATHLAB</v>
          </cell>
          <cell r="C125">
            <v>55.47</v>
          </cell>
          <cell r="D125">
            <v>10.223255813953488</v>
          </cell>
          <cell r="G125" t="str">
            <v>LALPATHLAB</v>
          </cell>
          <cell r="H125">
            <v>1.8030027297543223E-2</v>
          </cell>
        </row>
        <row r="126">
          <cell r="B126" t="str">
            <v>METROPOLIS</v>
          </cell>
          <cell r="C126">
            <v>67.599999999999994</v>
          </cell>
          <cell r="D126">
            <v>7.8312678741658717</v>
          </cell>
          <cell r="G126" t="str">
            <v>METROPOLIS</v>
          </cell>
          <cell r="H126">
            <v>1.4790018259281801E-2</v>
          </cell>
        </row>
        <row r="127">
          <cell r="B127" t="str">
            <v>VIJAYA*</v>
          </cell>
          <cell r="C127">
            <v>56.9</v>
          </cell>
          <cell r="D127">
            <v>10.45575959933222</v>
          </cell>
          <cell r="G127" t="str">
            <v>VIJAYA*</v>
          </cell>
          <cell r="H127">
            <v>1.7579434775666616E-2</v>
          </cell>
        </row>
        <row r="128">
          <cell r="B128" t="str">
            <v>THYROCARE</v>
          </cell>
          <cell r="C128">
            <v>54.66</v>
          </cell>
          <cell r="D128">
            <v>7.2555693749487338</v>
          </cell>
          <cell r="G128" t="str">
            <v>THYROCARE</v>
          </cell>
          <cell r="H128">
            <v>1.8296058044730345E-2</v>
          </cell>
        </row>
        <row r="129">
          <cell r="B129" t="str">
            <v>KRSNAA</v>
          </cell>
          <cell r="C129">
            <v>36.04</v>
          </cell>
          <cell r="D129">
            <v>2.6865165562913909</v>
          </cell>
          <cell r="G129" t="str">
            <v>KRSNAA</v>
          </cell>
          <cell r="H129">
            <v>2.7751045199968447E-2</v>
          </cell>
        </row>
      </sheetData>
      <sheetData sheetId="1">
        <row r="41">
          <cell r="K41" t="str">
            <v>FY_22</v>
          </cell>
        </row>
        <row r="42">
          <cell r="J42" t="str">
            <v>Promoter</v>
          </cell>
          <cell r="K42">
            <v>0.54600000000000004</v>
          </cell>
        </row>
        <row r="43">
          <cell r="J43" t="str">
            <v>FPI</v>
          </cell>
          <cell r="K43">
            <v>0.26500000000000001</v>
          </cell>
        </row>
        <row r="44">
          <cell r="J44" t="str">
            <v>MF &amp; Insurance</v>
          </cell>
          <cell r="K44">
            <v>7.0999999999999994E-2</v>
          </cell>
        </row>
        <row r="45">
          <cell r="J45" t="str">
            <v>Retail</v>
          </cell>
          <cell r="K45">
            <v>0.11799999999999999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98B7-6766-45C5-8466-F7DD985897FC}">
  <sheetPr>
    <outlinePr summaryBelow="0" summaryRight="0"/>
  </sheetPr>
  <dimension ref="A1:AE939"/>
  <sheetViews>
    <sheetView showGridLines="0" tabSelected="1" workbookViewId="0"/>
  </sheetViews>
  <sheetFormatPr defaultColWidth="12.6640625" defaultRowHeight="15.75" customHeight="1" x14ac:dyDescent="0.3"/>
  <sheetData>
    <row r="1" spans="1:22" ht="15.75" customHeight="1" x14ac:dyDescent="0.3">
      <c r="A1" s="1"/>
      <c r="B1" s="2" t="s">
        <v>0</v>
      </c>
      <c r="C1" s="1"/>
      <c r="D1" s="1"/>
      <c r="E1" s="2" t="s">
        <v>1</v>
      </c>
      <c r="F1" s="1"/>
      <c r="G1" s="1"/>
      <c r="H1" s="2" t="s">
        <v>2</v>
      </c>
      <c r="I1" s="1"/>
      <c r="J1" s="1"/>
      <c r="K1" s="1"/>
      <c r="L1" s="1"/>
      <c r="M1" s="1"/>
      <c r="N1" s="1"/>
      <c r="O1" s="1"/>
      <c r="P1" s="1"/>
      <c r="Q1" s="1"/>
      <c r="R1" s="2" t="s">
        <v>3</v>
      </c>
      <c r="S1" s="1"/>
      <c r="T1" s="1"/>
      <c r="U1" s="1"/>
    </row>
    <row r="2" spans="1:22" ht="15.75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</row>
    <row r="3" spans="1:22" ht="15.75" customHeight="1" x14ac:dyDescent="0.3">
      <c r="A3" s="1"/>
      <c r="B3" s="3" t="s">
        <v>26</v>
      </c>
      <c r="C3" s="4">
        <f ca="1">IFERROR(__xludf.DUMMYFUNCTION("GOOGLEFINANCE(""nse:""&amp;B2,""price"")"),3049.25)</f>
        <v>3049.25</v>
      </c>
      <c r="D3" s="4">
        <f ca="1">IFERROR(__xludf.DUMMYFUNCTION("GOOGLEFINANCE(""nse:""&amp;B2,""MARKETCAP"")/10000000"),25410.7530841)</f>
        <v>25410.753084100001</v>
      </c>
      <c r="E3" s="5">
        <f t="shared" ref="E3:E4" si="0">D26</f>
        <v>2346</v>
      </c>
      <c r="F3" s="5">
        <f t="shared" ref="F3:F4" si="1">F26</f>
        <v>406</v>
      </c>
      <c r="G3" s="6">
        <f t="shared" ref="G3:G4" si="2">H26</f>
        <v>48.239999999999995</v>
      </c>
      <c r="H3" s="7">
        <v>83.5</v>
      </c>
      <c r="I3" s="7">
        <v>1918</v>
      </c>
      <c r="J3" s="7">
        <v>41</v>
      </c>
      <c r="K3" s="5">
        <v>157</v>
      </c>
      <c r="L3" s="5">
        <v>10</v>
      </c>
      <c r="M3" s="5">
        <v>1326</v>
      </c>
      <c r="N3" s="7">
        <v>462</v>
      </c>
      <c r="O3" s="7">
        <v>2598</v>
      </c>
      <c r="P3" s="7">
        <v>562</v>
      </c>
      <c r="Q3" s="7">
        <v>90</v>
      </c>
      <c r="R3" s="8">
        <v>306</v>
      </c>
      <c r="S3" s="8">
        <v>-391</v>
      </c>
      <c r="T3" s="8">
        <v>-170</v>
      </c>
      <c r="U3" s="8">
        <v>9.8000000000000007</v>
      </c>
      <c r="V3" s="9">
        <v>-11</v>
      </c>
    </row>
    <row r="4" spans="1:22" ht="15.75" customHeight="1" x14ac:dyDescent="0.3">
      <c r="A4" s="1"/>
      <c r="B4" s="3" t="s">
        <v>27</v>
      </c>
      <c r="C4" s="3">
        <v>2262</v>
      </c>
      <c r="D4" s="10">
        <f ca="1">C4*D3/C3</f>
        <v>18850.249561772307</v>
      </c>
      <c r="E4" s="5">
        <f t="shared" si="0"/>
        <v>2226</v>
      </c>
      <c r="F4" s="5">
        <f t="shared" si="1"/>
        <v>362</v>
      </c>
      <c r="G4" s="6">
        <f t="shared" si="2"/>
        <v>43.05</v>
      </c>
      <c r="H4" s="3">
        <v>83.4</v>
      </c>
      <c r="I4" s="3">
        <v>1765</v>
      </c>
      <c r="J4" s="3">
        <v>83</v>
      </c>
      <c r="K4" s="3">
        <v>163</v>
      </c>
      <c r="L4" s="3">
        <v>10</v>
      </c>
      <c r="M4" s="3">
        <v>1126</v>
      </c>
      <c r="N4" s="3">
        <v>465</v>
      </c>
      <c r="O4" s="3">
        <v>2456</v>
      </c>
      <c r="P4" s="3">
        <v>571</v>
      </c>
      <c r="Q4" s="3">
        <v>77</v>
      </c>
      <c r="R4" s="8">
        <v>305</v>
      </c>
      <c r="S4" s="8">
        <v>-205</v>
      </c>
      <c r="T4" s="8">
        <v>-244</v>
      </c>
      <c r="U4" s="8">
        <v>-11.4</v>
      </c>
      <c r="V4" s="9">
        <v>-25</v>
      </c>
    </row>
    <row r="5" spans="1:22" ht="15.75" customHeight="1" x14ac:dyDescent="0.3">
      <c r="A5" s="1"/>
      <c r="B5" s="3" t="s">
        <v>28</v>
      </c>
      <c r="C5" s="11">
        <f t="shared" ref="C5:V5" ca="1" si="3">(C3/C4)-1</f>
        <v>0.34803271441202477</v>
      </c>
      <c r="D5" s="11">
        <f t="shared" ca="1" si="3"/>
        <v>0.34803271441202455</v>
      </c>
      <c r="E5" s="11">
        <f t="shared" si="3"/>
        <v>5.3908355795148299E-2</v>
      </c>
      <c r="F5" s="11">
        <f t="shared" si="3"/>
        <v>0.12154696132596676</v>
      </c>
      <c r="G5" s="11">
        <f t="shared" si="3"/>
        <v>0.12055749128919846</v>
      </c>
      <c r="H5" s="11">
        <f t="shared" si="3"/>
        <v>1.1990407673860837E-3</v>
      </c>
      <c r="I5" s="11">
        <f t="shared" si="3"/>
        <v>8.6685552407931965E-2</v>
      </c>
      <c r="J5" s="11">
        <f t="shared" si="3"/>
        <v>-0.50602409638554224</v>
      </c>
      <c r="K5" s="11">
        <f t="shared" si="3"/>
        <v>-3.6809815950920255E-2</v>
      </c>
      <c r="L5" s="11">
        <f t="shared" si="3"/>
        <v>0</v>
      </c>
      <c r="M5" s="11">
        <f t="shared" si="3"/>
        <v>0.17761989342806395</v>
      </c>
      <c r="N5" s="11">
        <f t="shared" si="3"/>
        <v>-6.4516129032258229E-3</v>
      </c>
      <c r="O5" s="11">
        <f t="shared" si="3"/>
        <v>5.7817589576547146E-2</v>
      </c>
      <c r="P5" s="11">
        <f t="shared" si="3"/>
        <v>-1.5761821366024553E-2</v>
      </c>
      <c r="Q5" s="12">
        <f t="shared" si="3"/>
        <v>0.16883116883116878</v>
      </c>
      <c r="R5" s="12">
        <f t="shared" si="3"/>
        <v>3.2786885245901232E-3</v>
      </c>
      <c r="S5" s="12">
        <f t="shared" si="3"/>
        <v>0.90731707317073162</v>
      </c>
      <c r="T5" s="12">
        <f t="shared" si="3"/>
        <v>-0.30327868852459017</v>
      </c>
      <c r="U5" s="12">
        <f t="shared" si="3"/>
        <v>-1.8596491228070176</v>
      </c>
      <c r="V5" s="12">
        <f t="shared" si="3"/>
        <v>-0.56000000000000005</v>
      </c>
    </row>
    <row r="6" spans="1:22" ht="15.75" customHeight="1" x14ac:dyDescent="0.3">
      <c r="A6" s="1"/>
      <c r="B6" s="13"/>
      <c r="C6" s="13"/>
      <c r="D6" s="14"/>
      <c r="E6" s="13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"/>
      <c r="S6" s="1"/>
      <c r="T6" s="1"/>
      <c r="U6" s="1"/>
    </row>
    <row r="7" spans="1:22" ht="15.75" customHeight="1" x14ac:dyDescent="0.3">
      <c r="A7" s="1"/>
      <c r="B7" s="16" t="s">
        <v>28</v>
      </c>
      <c r="C7" s="13"/>
      <c r="D7" s="16" t="s">
        <v>29</v>
      </c>
      <c r="E7" s="17"/>
      <c r="F7" s="13"/>
      <c r="G7" s="16" t="s">
        <v>30</v>
      </c>
      <c r="H7" s="13"/>
      <c r="I7" s="13"/>
      <c r="J7" s="16" t="s">
        <v>31</v>
      </c>
      <c r="K7" s="13"/>
      <c r="L7" s="13"/>
      <c r="M7" s="16" t="s">
        <v>32</v>
      </c>
      <c r="N7" s="13"/>
      <c r="O7" s="13"/>
      <c r="P7" s="13"/>
      <c r="Q7" s="16" t="s">
        <v>3</v>
      </c>
      <c r="R7" s="1"/>
      <c r="S7" s="1"/>
      <c r="T7" s="1"/>
      <c r="U7" s="1"/>
    </row>
    <row r="8" spans="1:22" ht="15.75" customHeight="1" x14ac:dyDescent="0.3">
      <c r="A8" s="1"/>
      <c r="B8" s="18" t="s">
        <v>33</v>
      </c>
      <c r="C8" s="18" t="s">
        <v>34</v>
      </c>
      <c r="D8" s="19" t="s">
        <v>35</v>
      </c>
      <c r="E8" s="20" t="s">
        <v>36</v>
      </c>
      <c r="F8" s="18" t="s">
        <v>37</v>
      </c>
      <c r="G8" s="18" t="s">
        <v>38</v>
      </c>
      <c r="H8" s="21" t="s">
        <v>39</v>
      </c>
      <c r="I8" s="18" t="s">
        <v>40</v>
      </c>
      <c r="J8" s="20" t="s">
        <v>41</v>
      </c>
      <c r="K8" s="19" t="s">
        <v>42</v>
      </c>
      <c r="L8" s="21" t="s">
        <v>43</v>
      </c>
      <c r="M8" s="19" t="s">
        <v>44</v>
      </c>
      <c r="N8" s="19" t="s">
        <v>45</v>
      </c>
      <c r="O8" s="2" t="s">
        <v>46</v>
      </c>
      <c r="P8" s="2" t="s">
        <v>47</v>
      </c>
      <c r="Q8" s="2" t="s">
        <v>48</v>
      </c>
      <c r="R8" s="2" t="s">
        <v>49</v>
      </c>
      <c r="S8" s="2" t="s">
        <v>50</v>
      </c>
      <c r="T8" s="1"/>
      <c r="U8" s="1"/>
    </row>
    <row r="9" spans="1:22" ht="15.75" customHeight="1" x14ac:dyDescent="0.3">
      <c r="A9" s="1"/>
      <c r="B9" s="22">
        <f>M16</f>
        <v>0.11</v>
      </c>
      <c r="C9" s="22">
        <f>M17</f>
        <v>0.23</v>
      </c>
      <c r="D9" s="22">
        <f>M18</f>
        <v>0.189</v>
      </c>
      <c r="E9" s="23">
        <f>M3/N3</f>
        <v>2.8701298701298703</v>
      </c>
      <c r="F9" s="24">
        <f>365/(E3/Q3)</f>
        <v>14.002557544757034</v>
      </c>
      <c r="G9" s="22">
        <f>(J3+K3)/(I3+H3)</f>
        <v>9.8925805645765683E-2</v>
      </c>
      <c r="H9" s="22">
        <f>P3/O3</f>
        <v>0.21632024634334104</v>
      </c>
      <c r="I9" s="24">
        <f>S27</f>
        <v>25.166666666666668</v>
      </c>
      <c r="J9" s="22">
        <f>F3/(H3+I3)</f>
        <v>0.20284786410192357</v>
      </c>
      <c r="K9" s="22">
        <f>528/(O3-N3)</f>
        <v>0.24719101123595505</v>
      </c>
      <c r="L9" s="22">
        <f>F3/O3</f>
        <v>0.15627405696689761</v>
      </c>
      <c r="M9" s="24">
        <f ca="1">C3/G3</f>
        <v>63.20999170812604</v>
      </c>
      <c r="N9" s="25">
        <f ca="1">G3/C3</f>
        <v>1.5820283676313846E-2</v>
      </c>
      <c r="O9" s="24">
        <f>(I3)/(H3/L3)</f>
        <v>229.70059880239521</v>
      </c>
      <c r="P9" s="24">
        <f ca="1">C3/O9</f>
        <v>13.274889207507821</v>
      </c>
      <c r="Q9" s="26">
        <f>R3/N3</f>
        <v>0.66233766233766234</v>
      </c>
      <c r="R9" s="27">
        <f>R3-J3</f>
        <v>265</v>
      </c>
      <c r="S9" s="28">
        <f>R3-V3</f>
        <v>317</v>
      </c>
      <c r="T9" s="1"/>
      <c r="U9" s="1"/>
    </row>
    <row r="10" spans="1:22" ht="15.75" customHeight="1" x14ac:dyDescent="0.3">
      <c r="A10" s="1"/>
      <c r="B10" s="29"/>
      <c r="C10" s="1"/>
      <c r="D10" s="1"/>
      <c r="E10" s="1"/>
      <c r="F10" s="1"/>
      <c r="R10" s="1"/>
      <c r="S10" s="1"/>
      <c r="T10" s="1"/>
      <c r="U10" s="1"/>
    </row>
    <row r="11" spans="1:22" ht="15.75" customHeight="1" x14ac:dyDescent="0.3">
      <c r="A11" s="30" t="s">
        <v>51</v>
      </c>
      <c r="B11" s="30" t="s">
        <v>52</v>
      </c>
      <c r="C11" s="31" t="s">
        <v>53</v>
      </c>
      <c r="D11" s="31" t="s">
        <v>54</v>
      </c>
      <c r="E11" s="30" t="s">
        <v>55</v>
      </c>
      <c r="F11" s="30" t="s">
        <v>56</v>
      </c>
      <c r="G11" s="31" t="s">
        <v>57</v>
      </c>
      <c r="I11" s="32" t="s">
        <v>58</v>
      </c>
      <c r="J11" s="32" t="s">
        <v>59</v>
      </c>
      <c r="K11" s="32" t="s">
        <v>60</v>
      </c>
      <c r="L11" s="32" t="s">
        <v>61</v>
      </c>
      <c r="M11" s="32" t="s">
        <v>62</v>
      </c>
      <c r="N11" s="32" t="s">
        <v>63</v>
      </c>
      <c r="O11" s="33"/>
      <c r="R11" s="1"/>
      <c r="S11" s="1"/>
      <c r="T11" s="1"/>
      <c r="U11" s="1"/>
    </row>
    <row r="12" spans="1:22" ht="15.75" customHeight="1" x14ac:dyDescent="0.3">
      <c r="A12" s="1"/>
      <c r="B12" s="34" t="s">
        <v>64</v>
      </c>
      <c r="C12" s="35">
        <f>FV(5%,5,0,-C13,0)</f>
        <v>480.5239148993453</v>
      </c>
      <c r="D12" s="35">
        <f t="shared" ref="D12:F12" si="4">FV(12%,5,0,-D13,0)</f>
        <v>8837.3590018919349</v>
      </c>
      <c r="E12" s="35">
        <f t="shared" si="4"/>
        <v>1451.2140850090409</v>
      </c>
      <c r="F12" s="35">
        <f t="shared" si="4"/>
        <v>172.58222751281548</v>
      </c>
      <c r="G12" s="36">
        <f t="shared" ref="G12:G13" si="5">F12*40</f>
        <v>6903.2891005126194</v>
      </c>
      <c r="I12" s="8" t="s">
        <v>65</v>
      </c>
      <c r="J12" s="37">
        <v>9.77</v>
      </c>
      <c r="K12" s="37">
        <v>10.130000000000001</v>
      </c>
      <c r="L12" s="37">
        <v>12.79</v>
      </c>
      <c r="M12" s="37">
        <v>15.52</v>
      </c>
      <c r="N12" s="37">
        <f>SUM(J12:M12)</f>
        <v>48.209999999999994</v>
      </c>
      <c r="O12" s="33"/>
      <c r="T12" s="1"/>
      <c r="U12" s="1"/>
    </row>
    <row r="13" spans="1:22" ht="15.75" customHeight="1" x14ac:dyDescent="0.3">
      <c r="A13" s="1"/>
      <c r="B13" s="34" t="s">
        <v>66</v>
      </c>
      <c r="C13" s="35">
        <f t="shared" ref="C13:D13" si="6">FV(C17,5,0,-C14,0)</f>
        <v>376.50306093750004</v>
      </c>
      <c r="D13" s="35">
        <f t="shared" si="6"/>
        <v>5014.554831299999</v>
      </c>
      <c r="E13" s="35">
        <f t="shared" ref="E13:E14" si="7">D13*G17</f>
        <v>823.45784523122404</v>
      </c>
      <c r="F13" s="35">
        <f>(E13*F14)/E14</f>
        <v>97.927790710508816</v>
      </c>
      <c r="G13" s="36">
        <f t="shared" si="5"/>
        <v>3917.1116284203526</v>
      </c>
      <c r="U13" s="1"/>
    </row>
    <row r="14" spans="1:22" ht="15.75" customHeight="1" x14ac:dyDescent="0.3">
      <c r="A14" s="1"/>
      <c r="B14" s="34" t="s">
        <v>67</v>
      </c>
      <c r="C14" s="35">
        <f>C18+C27</f>
        <v>295</v>
      </c>
      <c r="D14" s="35">
        <f>FV(D18,1,0,-D27,0)</f>
        <v>2493.1200000000003</v>
      </c>
      <c r="E14" s="35">
        <f t="shared" si="7"/>
        <v>423.83040000000011</v>
      </c>
      <c r="F14" s="35">
        <f>FV(F18,1,0,-H27,0)</f>
        <v>50.40303513812156</v>
      </c>
      <c r="G14" s="36">
        <f>F14*45</f>
        <v>2268.13658121547</v>
      </c>
    </row>
    <row r="15" spans="1:22" ht="15.75" customHeight="1" x14ac:dyDescent="0.3">
      <c r="A15" s="1"/>
      <c r="B15" s="38"/>
      <c r="C15" s="39"/>
      <c r="D15" s="39"/>
      <c r="E15" s="39"/>
      <c r="F15" s="39"/>
      <c r="I15" s="32" t="s">
        <v>68</v>
      </c>
      <c r="J15" s="32" t="s">
        <v>69</v>
      </c>
      <c r="K15" s="32" t="s">
        <v>70</v>
      </c>
      <c r="L15" s="32" t="s">
        <v>61</v>
      </c>
      <c r="M15" s="32" t="s">
        <v>71</v>
      </c>
      <c r="N15" s="32" t="s">
        <v>72</v>
      </c>
      <c r="P15" s="40" t="s">
        <v>73</v>
      </c>
      <c r="Q15" s="40" t="s">
        <v>73</v>
      </c>
      <c r="R15" s="40" t="s">
        <v>74</v>
      </c>
      <c r="S15" s="40" t="s">
        <v>75</v>
      </c>
    </row>
    <row r="16" spans="1:22" ht="15.75" customHeight="1" x14ac:dyDescent="0.3">
      <c r="A16" s="30" t="s">
        <v>76</v>
      </c>
      <c r="B16" s="30" t="s">
        <v>52</v>
      </c>
      <c r="C16" s="30" t="s">
        <v>53</v>
      </c>
      <c r="D16" s="30" t="s">
        <v>54</v>
      </c>
      <c r="E16" s="30" t="s">
        <v>55</v>
      </c>
      <c r="F16" s="30" t="s">
        <v>56</v>
      </c>
      <c r="G16" s="30" t="s">
        <v>77</v>
      </c>
      <c r="I16" s="8" t="s">
        <v>78</v>
      </c>
      <c r="J16" s="41">
        <v>0.1</v>
      </c>
      <c r="K16" s="41">
        <v>0.1</v>
      </c>
      <c r="L16" s="41">
        <v>0.11</v>
      </c>
      <c r="M16" s="41">
        <v>0.11</v>
      </c>
      <c r="N16" s="41">
        <v>0.12</v>
      </c>
      <c r="O16" s="42"/>
      <c r="P16" s="43">
        <v>43.05</v>
      </c>
      <c r="Q16" s="43">
        <v>48.21</v>
      </c>
      <c r="R16" s="43">
        <v>50</v>
      </c>
      <c r="S16" s="44">
        <f ca="1">R18/17</f>
        <v>3.5873529411764706</v>
      </c>
      <c r="T16" s="45"/>
    </row>
    <row r="17" spans="1:31" ht="15.75" customHeight="1" x14ac:dyDescent="0.3">
      <c r="A17" s="1"/>
      <c r="B17" s="34" t="s">
        <v>79</v>
      </c>
      <c r="C17" s="46">
        <v>0.05</v>
      </c>
      <c r="D17" s="46">
        <v>0.15</v>
      </c>
      <c r="E17" s="46">
        <v>0.15</v>
      </c>
      <c r="F17" s="46">
        <v>0.15</v>
      </c>
      <c r="G17" s="46">
        <f>AVERAGE(I21:I23)</f>
        <v>0.16421354894582868</v>
      </c>
      <c r="I17" s="8" t="s">
        <v>80</v>
      </c>
      <c r="J17" s="41">
        <v>0.51</v>
      </c>
      <c r="K17" s="41">
        <v>0.5</v>
      </c>
      <c r="L17" s="41">
        <v>0.28999999999999998</v>
      </c>
      <c r="M17" s="41">
        <v>0.23</v>
      </c>
      <c r="N17" s="41">
        <v>0.17</v>
      </c>
      <c r="P17" s="40" t="s">
        <v>81</v>
      </c>
      <c r="Q17" s="40" t="s">
        <v>44</v>
      </c>
      <c r="R17" s="40" t="s">
        <v>82</v>
      </c>
      <c r="S17" s="47"/>
      <c r="T17" s="45"/>
    </row>
    <row r="18" spans="1:31" ht="15.75" customHeight="1" x14ac:dyDescent="0.3">
      <c r="A18" s="1"/>
      <c r="B18" s="34" t="s">
        <v>83</v>
      </c>
      <c r="C18" s="48">
        <v>15</v>
      </c>
      <c r="D18" s="46">
        <v>0.12</v>
      </c>
      <c r="E18" s="49">
        <f>(E14/F27)-1</f>
        <v>0.1708022099447517</v>
      </c>
      <c r="F18" s="49">
        <f>E18</f>
        <v>0.1708022099447517</v>
      </c>
      <c r="G18" s="49">
        <f>N18</f>
        <v>0.17</v>
      </c>
      <c r="I18" s="8" t="s">
        <v>77</v>
      </c>
      <c r="J18" s="50">
        <v>0.16500000000000001</v>
      </c>
      <c r="K18" s="50">
        <v>0.16300000000000001</v>
      </c>
      <c r="L18" s="50">
        <v>0.17899999999999999</v>
      </c>
      <c r="M18" s="50">
        <v>0.189</v>
      </c>
      <c r="N18" s="50">
        <v>0.17</v>
      </c>
      <c r="O18" s="42"/>
      <c r="P18" s="51">
        <f>C4/P16</f>
        <v>52.543554006968641</v>
      </c>
      <c r="Q18" s="51">
        <f ca="1">C3/Q16</f>
        <v>63.249325866002906</v>
      </c>
      <c r="R18" s="51">
        <f ca="1">C3/R16</f>
        <v>60.984999999999999</v>
      </c>
      <c r="S18" s="47"/>
      <c r="T18" s="45"/>
    </row>
    <row r="19" spans="1:31" ht="15.75" customHeight="1" x14ac:dyDescent="0.3">
      <c r="A19" s="1"/>
    </row>
    <row r="20" spans="1:31" ht="15.75" customHeight="1" x14ac:dyDescent="0.3">
      <c r="A20" s="30" t="s">
        <v>28</v>
      </c>
      <c r="B20" s="30" t="s">
        <v>52</v>
      </c>
      <c r="C20" s="30" t="s">
        <v>53</v>
      </c>
      <c r="D20" s="30" t="s">
        <v>54</v>
      </c>
      <c r="E20" s="30" t="s">
        <v>84</v>
      </c>
      <c r="F20" s="30" t="s">
        <v>55</v>
      </c>
      <c r="G20" s="30" t="s">
        <v>85</v>
      </c>
      <c r="H20" s="30" t="s">
        <v>56</v>
      </c>
      <c r="I20" s="30" t="s">
        <v>86</v>
      </c>
      <c r="J20" s="30" t="s">
        <v>40</v>
      </c>
      <c r="K20" s="30" t="s">
        <v>87</v>
      </c>
      <c r="L20" s="30" t="s">
        <v>88</v>
      </c>
      <c r="M20" s="30" t="s">
        <v>89</v>
      </c>
      <c r="N20" s="30" t="s">
        <v>90</v>
      </c>
      <c r="O20" s="30" t="s">
        <v>91</v>
      </c>
      <c r="P20" s="30" t="s">
        <v>92</v>
      </c>
      <c r="R20" s="52" t="s">
        <v>93</v>
      </c>
      <c r="S20" s="53" t="s">
        <v>71</v>
      </c>
      <c r="T20" s="53" t="s">
        <v>94</v>
      </c>
      <c r="U20" s="53" t="s">
        <v>95</v>
      </c>
      <c r="W20" s="40" t="s">
        <v>93</v>
      </c>
      <c r="X20" s="53" t="s">
        <v>62</v>
      </c>
      <c r="Y20" s="53" t="s">
        <v>96</v>
      </c>
      <c r="Z20" s="53" t="s">
        <v>95</v>
      </c>
      <c r="AB20" s="52" t="s">
        <v>93</v>
      </c>
      <c r="AC20" s="53" t="s">
        <v>61</v>
      </c>
      <c r="AD20" s="53" t="s">
        <v>97</v>
      </c>
      <c r="AE20" s="53" t="s">
        <v>95</v>
      </c>
    </row>
    <row r="21" spans="1:31" ht="15.75" customHeight="1" x14ac:dyDescent="0.3">
      <c r="A21" s="1"/>
      <c r="B21" s="30" t="s">
        <v>98</v>
      </c>
      <c r="C21" s="54">
        <f t="shared" ref="C21:H21" si="8">(C27/C35)^(1/8)-1</f>
        <v>6.2805267133956733E-2</v>
      </c>
      <c r="D21" s="54">
        <f t="shared" si="8"/>
        <v>0.13897142052584344</v>
      </c>
      <c r="E21" s="54">
        <f t="shared" si="8"/>
        <v>0.66407220163457259</v>
      </c>
      <c r="F21" s="54">
        <f t="shared" si="8"/>
        <v>0.14101736299079404</v>
      </c>
      <c r="G21" s="54">
        <f t="shared" si="8"/>
        <v>0</v>
      </c>
      <c r="H21" s="54">
        <f t="shared" si="8"/>
        <v>0.13804704544322144</v>
      </c>
      <c r="I21" s="54">
        <f t="shared" ref="I21:J21" si="9">MEDIAN(I27:I35)</f>
        <v>0.16262353998203055</v>
      </c>
      <c r="J21" s="55">
        <f t="shared" si="9"/>
        <v>65</v>
      </c>
      <c r="K21" s="54">
        <f t="shared" ref="K21:L21" si="10">(K27/K35)^(1/8)-1</f>
        <v>0.14044103516453266</v>
      </c>
      <c r="L21" s="54">
        <f t="shared" si="10"/>
        <v>0.12754697964875383</v>
      </c>
      <c r="M21" s="55">
        <f t="shared" ref="M21:N21" si="11">MEDIAN(M27:M35)</f>
        <v>67.372262773722625</v>
      </c>
      <c r="N21" s="55">
        <f t="shared" si="11"/>
        <v>42.299651567944252</v>
      </c>
      <c r="O21" s="55">
        <f>SUM(O27:O35)</f>
        <v>64.7</v>
      </c>
      <c r="P21" s="54">
        <f>MEDIAN(P27:P35)</f>
        <v>0.22727272727272729</v>
      </c>
      <c r="Q21" s="1"/>
      <c r="R21" s="56" t="s">
        <v>99</v>
      </c>
      <c r="S21" s="48">
        <v>1262</v>
      </c>
      <c r="T21" s="48">
        <v>1142</v>
      </c>
      <c r="U21" s="46">
        <f t="shared" ref="U21:U25" si="12">(S21/T21)^(1/1)-1</f>
        <v>0.10507880910683021</v>
      </c>
      <c r="W21" s="56" t="s">
        <v>99</v>
      </c>
      <c r="X21" s="48">
        <v>660</v>
      </c>
      <c r="Y21" s="48">
        <v>601</v>
      </c>
      <c r="Z21" s="46">
        <f t="shared" ref="Z21:Z25" si="13">(X21/Y21)^(1/1)-1</f>
        <v>9.8169717138103074E-2</v>
      </c>
      <c r="AB21" s="56" t="s">
        <v>99</v>
      </c>
      <c r="AC21" s="48">
        <v>602</v>
      </c>
      <c r="AD21" s="48">
        <v>541</v>
      </c>
      <c r="AE21" s="46">
        <f t="shared" ref="AE21:AE25" si="14">(AC21/AD21)^(1/1)-1</f>
        <v>0.11275415896487995</v>
      </c>
    </row>
    <row r="22" spans="1:31" ht="15.75" customHeight="1" x14ac:dyDescent="0.3">
      <c r="A22" s="1"/>
      <c r="B22" s="30" t="s">
        <v>100</v>
      </c>
      <c r="C22" s="54">
        <f t="shared" ref="C22:H22" si="15">(C27/C32)^(1/5)-1</f>
        <v>6.9610375725068785E-2</v>
      </c>
      <c r="D22" s="54">
        <f t="shared" si="15"/>
        <v>0.13097213933234109</v>
      </c>
      <c r="E22" s="54">
        <f t="shared" si="15"/>
        <v>1.0561342561231264</v>
      </c>
      <c r="F22" s="54">
        <f t="shared" si="15"/>
        <v>0.12487043569549638</v>
      </c>
      <c r="G22" s="54">
        <f t="shared" si="15"/>
        <v>0</v>
      </c>
      <c r="H22" s="54">
        <f t="shared" si="15"/>
        <v>0.12209998861465321</v>
      </c>
      <c r="I22" s="54">
        <f t="shared" ref="I22:J22" si="16">MEDIAN(I27:I32)</f>
        <v>0.16739356687342496</v>
      </c>
      <c r="J22" s="55">
        <f t="shared" si="16"/>
        <v>21.260416666666664</v>
      </c>
      <c r="K22" s="54">
        <f t="shared" ref="K22:L22" si="17">(K27/K32)^(1/5)-1</f>
        <v>0.19721273352675306</v>
      </c>
      <c r="L22" s="54">
        <f t="shared" si="17"/>
        <v>0.17940078061126141</v>
      </c>
      <c r="M22" s="55">
        <f t="shared" ref="M22:N22" si="18">MEDIAN(M27:M32)</f>
        <v>72.439672463348558</v>
      </c>
      <c r="N22" s="55">
        <f t="shared" si="18"/>
        <v>39.634245047428223</v>
      </c>
      <c r="O22" s="55">
        <f>SUM(O27:O32)</f>
        <v>61.5</v>
      </c>
      <c r="P22" s="54">
        <f>MEDIAN(P27:P32)</f>
        <v>0.34218517537244991</v>
      </c>
      <c r="Q22" s="1"/>
      <c r="R22" s="56" t="s">
        <v>101</v>
      </c>
      <c r="S22" s="48">
        <v>972</v>
      </c>
      <c r="T22" s="48">
        <v>905</v>
      </c>
      <c r="U22" s="46">
        <f t="shared" si="12"/>
        <v>7.4033149171270685E-2</v>
      </c>
      <c r="V22" s="42"/>
      <c r="W22" s="56" t="s">
        <v>101</v>
      </c>
      <c r="X22" s="48">
        <v>499</v>
      </c>
      <c r="Y22" s="48">
        <v>467</v>
      </c>
      <c r="Z22" s="46">
        <f t="shared" si="13"/>
        <v>6.85224839400429E-2</v>
      </c>
      <c r="AB22" s="56" t="s">
        <v>101</v>
      </c>
      <c r="AC22" s="48">
        <v>473</v>
      </c>
      <c r="AD22" s="48">
        <v>438</v>
      </c>
      <c r="AE22" s="46">
        <f t="shared" si="14"/>
        <v>7.9908675799086781E-2</v>
      </c>
    </row>
    <row r="23" spans="1:31" ht="15.75" customHeight="1" x14ac:dyDescent="0.3">
      <c r="A23" s="1"/>
      <c r="B23" s="30" t="s">
        <v>102</v>
      </c>
      <c r="C23" s="57">
        <f t="shared" ref="C23:H23" si="19">(C27/C28)-1</f>
        <v>1.0830324909747224E-2</v>
      </c>
      <c r="D23" s="57">
        <f t="shared" si="19"/>
        <v>0.10361923648983629</v>
      </c>
      <c r="E23" s="57">
        <f t="shared" si="19"/>
        <v>-0.21600000000000008</v>
      </c>
      <c r="F23" s="57">
        <f t="shared" si="19"/>
        <v>0.50207468879668049</v>
      </c>
      <c r="G23" s="57">
        <f t="shared" si="19"/>
        <v>0</v>
      </c>
      <c r="H23" s="57">
        <f t="shared" si="19"/>
        <v>0.49375433726578755</v>
      </c>
      <c r="I23" s="57">
        <f t="shared" ref="I23:J23" si="20">I27</f>
        <v>0.16262353998203055</v>
      </c>
      <c r="J23" s="58">
        <f t="shared" si="20"/>
        <v>16</v>
      </c>
      <c r="K23" s="57">
        <f t="shared" ref="K23:L23" si="21">(K27/K28)-1</f>
        <v>-3.8568450312717162E-2</v>
      </c>
      <c r="L23" s="57">
        <f t="shared" si="21"/>
        <v>3.3484676503972688E-2</v>
      </c>
      <c r="M23" s="58">
        <f t="shared" ref="M23:P23" si="22">M27</f>
        <v>64.274099883855982</v>
      </c>
      <c r="N23" s="58">
        <f t="shared" si="22"/>
        <v>42.299651567944252</v>
      </c>
      <c r="O23" s="59">
        <f t="shared" si="22"/>
        <v>6</v>
      </c>
      <c r="P23" s="57">
        <f t="shared" si="22"/>
        <v>0.13937282229965159</v>
      </c>
      <c r="R23" s="56" t="s">
        <v>103</v>
      </c>
      <c r="S23" s="48">
        <v>12</v>
      </c>
      <c r="T23" s="48">
        <v>16</v>
      </c>
      <c r="U23" s="46">
        <f t="shared" si="12"/>
        <v>-0.25</v>
      </c>
      <c r="W23" s="56" t="s">
        <v>103</v>
      </c>
      <c r="X23" s="48">
        <v>6</v>
      </c>
      <c r="Y23" s="48">
        <v>8</v>
      </c>
      <c r="Z23" s="46">
        <f t="shared" si="13"/>
        <v>-0.25</v>
      </c>
      <c r="AB23" s="56" t="s">
        <v>103</v>
      </c>
      <c r="AC23" s="48">
        <v>6</v>
      </c>
      <c r="AD23" s="48">
        <v>8</v>
      </c>
      <c r="AE23" s="46">
        <f t="shared" si="14"/>
        <v>-0.25</v>
      </c>
    </row>
    <row r="24" spans="1:31" ht="15.75" customHeight="1" x14ac:dyDescent="0.3">
      <c r="A24" s="1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R24" s="56" t="s">
        <v>80</v>
      </c>
      <c r="S24" s="48">
        <v>238</v>
      </c>
      <c r="T24" s="48">
        <v>194</v>
      </c>
      <c r="U24" s="46">
        <f t="shared" si="12"/>
        <v>0.22680412371134029</v>
      </c>
      <c r="W24" s="56" t="s">
        <v>80</v>
      </c>
      <c r="X24" s="48">
        <v>131</v>
      </c>
      <c r="Y24" s="48">
        <v>111</v>
      </c>
      <c r="Z24" s="46">
        <f t="shared" si="13"/>
        <v>0.18018018018018012</v>
      </c>
      <c r="AB24" s="56" t="s">
        <v>80</v>
      </c>
      <c r="AC24" s="48">
        <v>108</v>
      </c>
      <c r="AD24" s="48">
        <v>84</v>
      </c>
      <c r="AE24" s="46">
        <f t="shared" si="14"/>
        <v>0.28571428571428581</v>
      </c>
    </row>
    <row r="25" spans="1:31" ht="15.75" customHeight="1" x14ac:dyDescent="0.3">
      <c r="A25" s="30" t="s">
        <v>104</v>
      </c>
      <c r="B25" s="30" t="s">
        <v>52</v>
      </c>
      <c r="C25" s="30" t="s">
        <v>105</v>
      </c>
      <c r="D25" s="30" t="s">
        <v>54</v>
      </c>
      <c r="E25" s="30" t="s">
        <v>84</v>
      </c>
      <c r="F25" s="30" t="s">
        <v>55</v>
      </c>
      <c r="G25" s="30" t="s">
        <v>85</v>
      </c>
      <c r="H25" s="30" t="s">
        <v>56</v>
      </c>
      <c r="I25" s="30" t="s">
        <v>86</v>
      </c>
      <c r="J25" s="30" t="s">
        <v>40</v>
      </c>
      <c r="K25" s="30" t="s">
        <v>87</v>
      </c>
      <c r="L25" s="30" t="s">
        <v>88</v>
      </c>
      <c r="M25" s="30" t="s">
        <v>89</v>
      </c>
      <c r="N25" s="30" t="s">
        <v>90</v>
      </c>
      <c r="O25" s="30" t="s">
        <v>91</v>
      </c>
      <c r="P25" s="30" t="s">
        <v>92</v>
      </c>
      <c r="R25" s="56" t="s">
        <v>56</v>
      </c>
      <c r="S25" s="60">
        <v>28.3</v>
      </c>
      <c r="T25" s="60">
        <v>23.11</v>
      </c>
      <c r="U25" s="46">
        <f t="shared" si="12"/>
        <v>0.22457810471657291</v>
      </c>
      <c r="V25" s="42"/>
      <c r="W25" s="56" t="s">
        <v>56</v>
      </c>
      <c r="X25" s="60">
        <v>15.52</v>
      </c>
      <c r="Y25" s="60">
        <v>13.16</v>
      </c>
      <c r="Z25" s="46">
        <f t="shared" si="13"/>
        <v>0.17933130699088151</v>
      </c>
      <c r="AA25" s="33"/>
      <c r="AB25" s="56" t="s">
        <v>56</v>
      </c>
      <c r="AC25" s="60">
        <v>12.79</v>
      </c>
      <c r="AD25" s="60">
        <v>9.9499999999999993</v>
      </c>
      <c r="AE25" s="46">
        <f t="shared" si="14"/>
        <v>0.28542713567839195</v>
      </c>
    </row>
    <row r="26" spans="1:31" ht="15.75" customHeight="1" x14ac:dyDescent="0.3">
      <c r="B26" s="61" t="s">
        <v>106</v>
      </c>
      <c r="C26" s="9">
        <v>280</v>
      </c>
      <c r="D26" s="9">
        <f>D27+S21-T21</f>
        <v>2346</v>
      </c>
      <c r="E26" s="9">
        <f>E27+S23-T23</f>
        <v>25.4</v>
      </c>
      <c r="F26" s="9">
        <f>F27+S24-T24</f>
        <v>406</v>
      </c>
      <c r="G26" s="9">
        <v>83</v>
      </c>
      <c r="H26" s="62">
        <f>H27+S25-T25</f>
        <v>48.239999999999995</v>
      </c>
      <c r="I26" s="57">
        <f t="shared" ref="I26:I39" si="23">F26/D26</f>
        <v>0.17306052855924978</v>
      </c>
      <c r="J26" s="59">
        <v>25</v>
      </c>
      <c r="K26" s="9">
        <v>3654</v>
      </c>
      <c r="L26" s="9">
        <v>2166</v>
      </c>
      <c r="M26" s="59">
        <f t="shared" ref="M26:M35" si="24">K26/H26</f>
        <v>75.746268656716424</v>
      </c>
      <c r="N26" s="59">
        <f t="shared" ref="N26:N35" si="25">L26/H26</f>
        <v>44.900497512437816</v>
      </c>
      <c r="O26" s="9">
        <v>6</v>
      </c>
      <c r="P26" s="57">
        <f t="shared" ref="P26:P35" si="26">O26/H26</f>
        <v>0.12437810945273634</v>
      </c>
      <c r="R26" s="56" t="s">
        <v>77</v>
      </c>
      <c r="S26" s="63">
        <f t="shared" ref="S26:T26" si="27">S24/S21</f>
        <v>0.18858954041204437</v>
      </c>
      <c r="T26" s="63">
        <f t="shared" si="27"/>
        <v>0.16987740805604204</v>
      </c>
      <c r="U26" s="63">
        <f t="shared" ref="U26:U27" si="28">S26-T26</f>
        <v>1.8712132356002331E-2</v>
      </c>
      <c r="W26" s="56" t="s">
        <v>77</v>
      </c>
      <c r="X26" s="63">
        <f t="shared" ref="X26:Y26" si="29">X24/X21</f>
        <v>0.19848484848484849</v>
      </c>
      <c r="Y26" s="63">
        <f t="shared" si="29"/>
        <v>0.18469217970049917</v>
      </c>
      <c r="Z26" s="63">
        <f t="shared" ref="Z26:Z27" si="30">X26-Y26</f>
        <v>1.3792668784349316E-2</v>
      </c>
      <c r="AA26" s="33"/>
      <c r="AB26" s="56" t="s">
        <v>77</v>
      </c>
      <c r="AC26" s="63">
        <f t="shared" ref="AC26:AD26" si="31">AC24/AC21</f>
        <v>0.17940199335548174</v>
      </c>
      <c r="AD26" s="63">
        <f t="shared" si="31"/>
        <v>0.15526802218114602</v>
      </c>
      <c r="AE26" s="63">
        <f t="shared" ref="AE26:AE27" si="32">AC26-AD26</f>
        <v>2.4133971174335717E-2</v>
      </c>
    </row>
    <row r="27" spans="1:31" ht="14.4" x14ac:dyDescent="0.3">
      <c r="B27" s="61" t="s">
        <v>107</v>
      </c>
      <c r="C27" s="9">
        <v>280</v>
      </c>
      <c r="D27" s="9">
        <v>2226</v>
      </c>
      <c r="E27" s="9">
        <v>29.4</v>
      </c>
      <c r="F27" s="9">
        <v>362</v>
      </c>
      <c r="G27" s="9">
        <v>83</v>
      </c>
      <c r="H27" s="62">
        <v>43.05</v>
      </c>
      <c r="I27" s="57">
        <f t="shared" si="23"/>
        <v>0.16262353998203055</v>
      </c>
      <c r="J27" s="59">
        <v>16</v>
      </c>
      <c r="K27" s="9">
        <v>2767</v>
      </c>
      <c r="L27" s="9">
        <v>1821</v>
      </c>
      <c r="M27" s="59">
        <f t="shared" si="24"/>
        <v>64.274099883855982</v>
      </c>
      <c r="N27" s="59">
        <f t="shared" si="25"/>
        <v>42.299651567944252</v>
      </c>
      <c r="O27" s="9">
        <v>6</v>
      </c>
      <c r="P27" s="57">
        <f t="shared" si="26"/>
        <v>0.13937282229965159</v>
      </c>
      <c r="R27" s="56" t="s">
        <v>40</v>
      </c>
      <c r="S27" s="64">
        <f t="shared" ref="S27:T27" si="33">(S21-S22+S23)/S23</f>
        <v>25.166666666666668</v>
      </c>
      <c r="T27" s="64">
        <f t="shared" si="33"/>
        <v>15.8125</v>
      </c>
      <c r="U27" s="65">
        <f t="shared" si="28"/>
        <v>9.3541666666666679</v>
      </c>
      <c r="W27" s="56" t="s">
        <v>40</v>
      </c>
      <c r="X27" s="64">
        <f t="shared" ref="X27:Y27" si="34">(X21-X22+X23)/X23</f>
        <v>27.833333333333332</v>
      </c>
      <c r="Y27" s="64">
        <f t="shared" si="34"/>
        <v>17.75</v>
      </c>
      <c r="Z27" s="65">
        <f t="shared" si="30"/>
        <v>10.083333333333332</v>
      </c>
      <c r="AA27" s="33"/>
      <c r="AB27" s="56" t="s">
        <v>40</v>
      </c>
      <c r="AC27" s="64">
        <f t="shared" ref="AC27:AD27" si="35">(AC21-AC22+AC23)/AC23</f>
        <v>22.5</v>
      </c>
      <c r="AD27" s="64">
        <f t="shared" si="35"/>
        <v>13.875</v>
      </c>
      <c r="AE27" s="65">
        <f t="shared" si="32"/>
        <v>8.625</v>
      </c>
    </row>
    <row r="28" spans="1:31" ht="14.4" x14ac:dyDescent="0.3">
      <c r="B28" s="61" t="s">
        <v>108</v>
      </c>
      <c r="C28" s="9">
        <v>277</v>
      </c>
      <c r="D28" s="9">
        <v>2017</v>
      </c>
      <c r="E28" s="9">
        <v>37.5</v>
      </c>
      <c r="F28" s="9">
        <v>241</v>
      </c>
      <c r="G28" s="9">
        <v>83</v>
      </c>
      <c r="H28" s="62">
        <v>28.82</v>
      </c>
      <c r="I28" s="57">
        <f t="shared" si="23"/>
        <v>0.11948438274665345</v>
      </c>
      <c r="J28" s="59">
        <v>9</v>
      </c>
      <c r="K28" s="9">
        <v>2878</v>
      </c>
      <c r="L28" s="9">
        <v>1762</v>
      </c>
      <c r="M28" s="59">
        <f t="shared" si="24"/>
        <v>99.861207494795281</v>
      </c>
      <c r="N28" s="59">
        <f t="shared" si="25"/>
        <v>61.138098542678698</v>
      </c>
      <c r="O28" s="9">
        <v>12</v>
      </c>
      <c r="P28" s="57">
        <f t="shared" si="26"/>
        <v>0.41637751561415681</v>
      </c>
      <c r="R28" s="33"/>
      <c r="S28" s="66"/>
      <c r="T28" s="66"/>
      <c r="U28" s="67"/>
      <c r="V28" s="42"/>
      <c r="AB28" s="33"/>
      <c r="AD28" s="67"/>
    </row>
    <row r="29" spans="1:31" ht="14.4" x14ac:dyDescent="0.3">
      <c r="A29" s="1"/>
      <c r="B29" s="61" t="s">
        <v>109</v>
      </c>
      <c r="C29" s="33">
        <v>277</v>
      </c>
      <c r="D29" s="33">
        <v>2087</v>
      </c>
      <c r="E29" s="33">
        <v>30</v>
      </c>
      <c r="F29" s="33">
        <v>350</v>
      </c>
      <c r="G29" s="33">
        <v>83</v>
      </c>
      <c r="H29" s="33">
        <v>41.7</v>
      </c>
      <c r="I29" s="57">
        <f t="shared" si="23"/>
        <v>0.16770483948251078</v>
      </c>
      <c r="J29" s="59">
        <f>(2140-1665+30)/30</f>
        <v>16.833333333333332</v>
      </c>
      <c r="K29" s="33">
        <v>4246</v>
      </c>
      <c r="L29" s="33">
        <v>2263</v>
      </c>
      <c r="M29" s="59">
        <f t="shared" si="24"/>
        <v>101.82254196642685</v>
      </c>
      <c r="N29" s="59">
        <f t="shared" si="25"/>
        <v>54.268585131894483</v>
      </c>
      <c r="O29" s="33">
        <v>12</v>
      </c>
      <c r="P29" s="57">
        <f t="shared" si="26"/>
        <v>0.28776978417266186</v>
      </c>
      <c r="R29" s="33"/>
      <c r="S29" s="42"/>
      <c r="T29" s="42"/>
      <c r="U29" s="67"/>
      <c r="W29" s="33"/>
      <c r="X29" s="42"/>
      <c r="Y29" s="42"/>
      <c r="Z29" s="67"/>
      <c r="AB29" s="33"/>
      <c r="AD29" s="67"/>
    </row>
    <row r="30" spans="1:31" ht="14.4" x14ac:dyDescent="0.3">
      <c r="A30" s="1"/>
      <c r="B30" s="61" t="s">
        <v>110</v>
      </c>
      <c r="C30" s="37">
        <v>231</v>
      </c>
      <c r="D30" s="37">
        <v>1581</v>
      </c>
      <c r="E30" s="37">
        <v>16</v>
      </c>
      <c r="F30" s="37">
        <v>297</v>
      </c>
      <c r="G30" s="37">
        <v>83</v>
      </c>
      <c r="H30" s="37">
        <v>35.299999999999997</v>
      </c>
      <c r="I30" s="57">
        <f t="shared" si="23"/>
        <v>0.18785578747628084</v>
      </c>
      <c r="J30" s="59">
        <f>(1633-1238+16)/16</f>
        <v>25.6875</v>
      </c>
      <c r="K30" s="37">
        <v>2736</v>
      </c>
      <c r="L30" s="37">
        <v>1305</v>
      </c>
      <c r="M30" s="59">
        <f t="shared" si="24"/>
        <v>77.507082152974505</v>
      </c>
      <c r="N30" s="59">
        <f t="shared" si="25"/>
        <v>36.968838526912187</v>
      </c>
      <c r="O30" s="37">
        <v>14</v>
      </c>
      <c r="P30" s="57">
        <f t="shared" si="26"/>
        <v>0.39660056657223797</v>
      </c>
      <c r="AB30" s="33"/>
      <c r="AD30" s="67"/>
    </row>
    <row r="31" spans="1:31" ht="14.4" x14ac:dyDescent="0.3">
      <c r="B31" s="61" t="s">
        <v>111</v>
      </c>
      <c r="C31" s="37">
        <v>216</v>
      </c>
      <c r="D31" s="37">
        <v>1330</v>
      </c>
      <c r="E31" s="37">
        <v>15</v>
      </c>
      <c r="F31" s="37">
        <v>228</v>
      </c>
      <c r="G31" s="37">
        <v>83</v>
      </c>
      <c r="H31" s="37">
        <v>27.4</v>
      </c>
      <c r="I31" s="57">
        <f t="shared" si="23"/>
        <v>0.17142857142857143</v>
      </c>
      <c r="J31" s="37">
        <v>65</v>
      </c>
      <c r="K31" s="37">
        <v>1846</v>
      </c>
      <c r="L31" s="37">
        <v>950</v>
      </c>
      <c r="M31" s="59">
        <f t="shared" si="24"/>
        <v>67.372262773722625</v>
      </c>
      <c r="N31" s="59">
        <f t="shared" si="25"/>
        <v>34.67153284671533</v>
      </c>
      <c r="O31" s="37">
        <v>12</v>
      </c>
      <c r="P31" s="57">
        <f t="shared" si="26"/>
        <v>0.43795620437956206</v>
      </c>
      <c r="R31" s="40" t="s">
        <v>112</v>
      </c>
      <c r="S31" s="53" t="s">
        <v>71</v>
      </c>
      <c r="T31" s="53" t="s">
        <v>94</v>
      </c>
      <c r="U31" s="40" t="s">
        <v>113</v>
      </c>
      <c r="V31" s="40" t="s">
        <v>95</v>
      </c>
      <c r="AA31" s="33"/>
      <c r="AB31" s="33"/>
      <c r="AD31" s="67"/>
    </row>
    <row r="32" spans="1:31" ht="14.4" x14ac:dyDescent="0.3">
      <c r="A32" s="1"/>
      <c r="B32" s="61" t="s">
        <v>114</v>
      </c>
      <c r="C32" s="37">
        <v>200</v>
      </c>
      <c r="D32" s="37">
        <v>1203</v>
      </c>
      <c r="E32" s="37">
        <v>0.8</v>
      </c>
      <c r="F32" s="37">
        <v>201</v>
      </c>
      <c r="G32" s="37">
        <v>83</v>
      </c>
      <c r="H32" s="37">
        <v>24.2</v>
      </c>
      <c r="I32" s="57">
        <f t="shared" si="23"/>
        <v>0.16708229426433915</v>
      </c>
      <c r="J32" s="37">
        <v>1137</v>
      </c>
      <c r="K32" s="37">
        <v>1125</v>
      </c>
      <c r="L32" s="37">
        <v>798</v>
      </c>
      <c r="M32" s="59">
        <f t="shared" si="24"/>
        <v>46.487603305785129</v>
      </c>
      <c r="N32" s="59">
        <f t="shared" si="25"/>
        <v>32.97520661157025</v>
      </c>
      <c r="O32" s="37">
        <v>5.5</v>
      </c>
      <c r="P32" s="57">
        <f t="shared" si="26"/>
        <v>0.22727272727272729</v>
      </c>
      <c r="R32" s="32" t="s">
        <v>115</v>
      </c>
      <c r="S32" s="37">
        <v>247</v>
      </c>
      <c r="T32" s="37">
        <v>235</v>
      </c>
      <c r="U32" s="54">
        <f t="shared" ref="U32:U37" si="36">S32/$S$39</f>
        <v>0.25411522633744854</v>
      </c>
      <c r="V32" s="57">
        <f t="shared" ref="V32:V37" si="37">(S32/T32)^(1/1)-1</f>
        <v>5.1063829787234116E-2</v>
      </c>
      <c r="AA32" s="33"/>
      <c r="AB32" s="66"/>
      <c r="AD32" s="67"/>
    </row>
    <row r="33" spans="1:30" ht="14.4" x14ac:dyDescent="0.3">
      <c r="B33" s="61" t="s">
        <v>116</v>
      </c>
      <c r="C33" s="37">
        <v>193</v>
      </c>
      <c r="D33" s="37">
        <v>1056</v>
      </c>
      <c r="E33" s="37">
        <v>0.8</v>
      </c>
      <c r="F33" s="37">
        <v>168</v>
      </c>
      <c r="G33" s="37">
        <v>83</v>
      </c>
      <c r="H33" s="37">
        <v>20.5</v>
      </c>
      <c r="I33" s="57">
        <f t="shared" si="23"/>
        <v>0.15909090909090909</v>
      </c>
      <c r="J33" s="37">
        <v>358</v>
      </c>
      <c r="K33" s="37">
        <v>993</v>
      </c>
      <c r="L33" s="37">
        <v>723</v>
      </c>
      <c r="M33" s="59">
        <f t="shared" si="24"/>
        <v>48.439024390243901</v>
      </c>
      <c r="N33" s="59">
        <f t="shared" si="25"/>
        <v>35.268292682926827</v>
      </c>
      <c r="O33" s="37">
        <v>3.2</v>
      </c>
      <c r="P33" s="57">
        <f t="shared" si="26"/>
        <v>0.15609756097560976</v>
      </c>
      <c r="R33" s="32" t="s">
        <v>117</v>
      </c>
      <c r="S33" s="59">
        <v>225</v>
      </c>
      <c r="T33" s="59">
        <v>214</v>
      </c>
      <c r="U33" s="54">
        <f t="shared" si="36"/>
        <v>0.23148148148148148</v>
      </c>
      <c r="V33" s="57">
        <f t="shared" si="37"/>
        <v>5.1401869158878455E-2</v>
      </c>
      <c r="AA33" s="66"/>
      <c r="AB33" s="66"/>
      <c r="AD33" s="67"/>
    </row>
    <row r="34" spans="1:30" ht="14.4" x14ac:dyDescent="0.3">
      <c r="A34" s="1" t="s">
        <v>118</v>
      </c>
      <c r="B34" s="61" t="s">
        <v>119</v>
      </c>
      <c r="C34" s="37">
        <v>182</v>
      </c>
      <c r="D34" s="37">
        <v>908</v>
      </c>
      <c r="E34" s="37">
        <v>0.2</v>
      </c>
      <c r="F34" s="37">
        <v>147</v>
      </c>
      <c r="G34" s="37">
        <v>83</v>
      </c>
      <c r="H34" s="37">
        <v>17.8</v>
      </c>
      <c r="I34" s="57">
        <f t="shared" si="23"/>
        <v>0.16189427312775331</v>
      </c>
      <c r="J34" s="37">
        <v>1214</v>
      </c>
      <c r="K34" s="37">
        <v>1280</v>
      </c>
      <c r="L34" s="37">
        <v>770</v>
      </c>
      <c r="M34" s="59">
        <f t="shared" si="24"/>
        <v>71.910112359550553</v>
      </c>
      <c r="N34" s="59">
        <f t="shared" si="25"/>
        <v>43.258426966292134</v>
      </c>
      <c r="O34" s="37">
        <v>0</v>
      </c>
      <c r="P34" s="57">
        <f t="shared" si="26"/>
        <v>0</v>
      </c>
      <c r="R34" s="32" t="s">
        <v>120</v>
      </c>
      <c r="S34" s="37">
        <v>241</v>
      </c>
      <c r="T34" s="37">
        <v>210</v>
      </c>
      <c r="U34" s="54">
        <f t="shared" si="36"/>
        <v>0.24794238683127573</v>
      </c>
      <c r="V34" s="57">
        <f t="shared" si="37"/>
        <v>0.14761904761904754</v>
      </c>
      <c r="AA34" s="66"/>
    </row>
    <row r="35" spans="1:30" ht="14.4" x14ac:dyDescent="0.3">
      <c r="B35" s="61" t="s">
        <v>121</v>
      </c>
      <c r="C35" s="37">
        <v>172</v>
      </c>
      <c r="D35" s="37">
        <v>786</v>
      </c>
      <c r="E35" s="37">
        <v>0.5</v>
      </c>
      <c r="F35" s="37">
        <v>126</v>
      </c>
      <c r="G35" s="37">
        <v>83</v>
      </c>
      <c r="H35" s="37">
        <v>15.3</v>
      </c>
      <c r="I35" s="57">
        <f t="shared" si="23"/>
        <v>0.16030534351145037</v>
      </c>
      <c r="J35" s="37">
        <v>457</v>
      </c>
      <c r="K35" s="37">
        <v>967</v>
      </c>
      <c r="L35" s="37">
        <v>697</v>
      </c>
      <c r="M35" s="59">
        <f t="shared" si="24"/>
        <v>63.202614379084963</v>
      </c>
      <c r="N35" s="59">
        <f t="shared" si="25"/>
        <v>45.55555555555555</v>
      </c>
      <c r="O35" s="37">
        <v>0</v>
      </c>
      <c r="P35" s="57">
        <f t="shared" si="26"/>
        <v>0</v>
      </c>
      <c r="R35" s="32" t="s">
        <v>122</v>
      </c>
      <c r="S35" s="59">
        <v>177</v>
      </c>
      <c r="T35" s="59">
        <v>159</v>
      </c>
      <c r="U35" s="54">
        <f t="shared" si="36"/>
        <v>0.18209876543209877</v>
      </c>
      <c r="V35" s="57">
        <f t="shared" si="37"/>
        <v>0.1132075471698113</v>
      </c>
    </row>
    <row r="36" spans="1:30" ht="14.4" x14ac:dyDescent="0.3">
      <c r="B36" s="61" t="s">
        <v>123</v>
      </c>
      <c r="C36" s="37">
        <v>164</v>
      </c>
      <c r="D36" s="37">
        <v>640</v>
      </c>
      <c r="E36" s="8"/>
      <c r="F36" s="37">
        <v>88</v>
      </c>
      <c r="G36" s="8"/>
      <c r="H36" s="8"/>
      <c r="I36" s="57">
        <f t="shared" si="23"/>
        <v>0.13750000000000001</v>
      </c>
      <c r="J36" s="8"/>
      <c r="K36" s="8"/>
      <c r="L36" s="8"/>
      <c r="M36" s="8"/>
      <c r="N36" s="8"/>
      <c r="O36" s="8"/>
      <c r="P36" s="8"/>
      <c r="R36" s="32" t="s">
        <v>124</v>
      </c>
      <c r="S36" s="37">
        <v>70</v>
      </c>
      <c r="T36" s="37">
        <v>71</v>
      </c>
      <c r="U36" s="54">
        <f t="shared" si="36"/>
        <v>7.2016460905349799E-2</v>
      </c>
      <c r="V36" s="57">
        <f t="shared" si="37"/>
        <v>-1.4084507042253502E-2</v>
      </c>
    </row>
    <row r="37" spans="1:30" ht="14.4" x14ac:dyDescent="0.3">
      <c r="B37" s="61" t="s">
        <v>125</v>
      </c>
      <c r="C37" s="37">
        <v>146</v>
      </c>
      <c r="D37" s="37">
        <v>544</v>
      </c>
      <c r="E37" s="8"/>
      <c r="F37" s="37">
        <v>74</v>
      </c>
      <c r="G37" s="8"/>
      <c r="H37" s="8"/>
      <c r="I37" s="57">
        <f t="shared" si="23"/>
        <v>0.13602941176470587</v>
      </c>
      <c r="J37" s="8"/>
      <c r="K37" s="8"/>
      <c r="L37" s="8"/>
      <c r="M37" s="8"/>
      <c r="N37" s="8"/>
      <c r="O37" s="8"/>
      <c r="P37" s="8"/>
      <c r="R37" s="32" t="s">
        <v>103</v>
      </c>
      <c r="S37" s="48">
        <v>12</v>
      </c>
      <c r="T37" s="48">
        <v>16</v>
      </c>
      <c r="U37" s="54">
        <f t="shared" si="36"/>
        <v>1.2345679012345678E-2</v>
      </c>
      <c r="V37" s="57">
        <f t="shared" si="37"/>
        <v>-0.25</v>
      </c>
    </row>
    <row r="38" spans="1:30" ht="14.4" x14ac:dyDescent="0.3">
      <c r="B38" s="61" t="s">
        <v>126</v>
      </c>
      <c r="C38" s="37">
        <v>131</v>
      </c>
      <c r="D38" s="37">
        <v>424</v>
      </c>
      <c r="E38" s="8"/>
      <c r="F38" s="37">
        <v>49</v>
      </c>
      <c r="G38" s="8"/>
      <c r="H38" s="41"/>
      <c r="I38" s="57">
        <f t="shared" si="23"/>
        <v>0.11556603773584906</v>
      </c>
      <c r="J38" s="8"/>
      <c r="K38" s="8"/>
      <c r="L38" s="8"/>
      <c r="M38" s="8"/>
      <c r="N38" s="8"/>
      <c r="O38" s="8"/>
      <c r="P38" s="8"/>
    </row>
    <row r="39" spans="1:30" ht="14.4" x14ac:dyDescent="0.3">
      <c r="B39" s="61" t="s">
        <v>127</v>
      </c>
      <c r="C39" s="37">
        <v>125</v>
      </c>
      <c r="D39" s="37">
        <v>320</v>
      </c>
      <c r="E39" s="8"/>
      <c r="F39" s="37">
        <v>41</v>
      </c>
      <c r="G39" s="8"/>
      <c r="H39" s="8"/>
      <c r="I39" s="57">
        <f t="shared" si="23"/>
        <v>0.12812499999999999</v>
      </c>
      <c r="J39" s="8"/>
      <c r="K39" s="8"/>
      <c r="L39" s="8"/>
      <c r="M39" s="8"/>
      <c r="N39" s="8"/>
      <c r="O39" s="8"/>
      <c r="P39" s="8"/>
      <c r="R39" s="68" t="s">
        <v>128</v>
      </c>
      <c r="S39" s="68">
        <f t="shared" ref="S39:T39" si="38">SUM(S32:S37)</f>
        <v>972</v>
      </c>
      <c r="T39" s="68">
        <f t="shared" si="38"/>
        <v>905</v>
      </c>
      <c r="U39" s="67">
        <f>S39/$S$39</f>
        <v>1</v>
      </c>
      <c r="V39" s="69">
        <f>(S39/T39)^(1/1)-1</f>
        <v>7.4033149171270685E-2</v>
      </c>
    </row>
    <row r="40" spans="1:30" ht="13.8" x14ac:dyDescent="0.3">
      <c r="B40" s="33"/>
      <c r="C40" s="33"/>
      <c r="D40" s="33"/>
      <c r="E40" s="33"/>
    </row>
    <row r="41" spans="1:30" ht="14.4" x14ac:dyDescent="0.3">
      <c r="B41" s="33"/>
      <c r="C41" s="33"/>
      <c r="D41" s="70"/>
      <c r="E41" s="67"/>
      <c r="J41" s="30" t="s">
        <v>129</v>
      </c>
      <c r="K41" s="30" t="s">
        <v>130</v>
      </c>
      <c r="L41" s="30" t="s">
        <v>131</v>
      </c>
      <c r="N41" s="71"/>
    </row>
    <row r="42" spans="1:30" ht="13.8" x14ac:dyDescent="0.3">
      <c r="B42" s="33"/>
      <c r="C42" s="33"/>
      <c r="D42" s="70"/>
      <c r="E42" s="67"/>
      <c r="J42" s="9" t="s">
        <v>132</v>
      </c>
      <c r="K42" s="54">
        <v>0.54600000000000004</v>
      </c>
      <c r="N42" s="67"/>
    </row>
    <row r="43" spans="1:30" ht="13.8" x14ac:dyDescent="0.3">
      <c r="B43" s="33"/>
      <c r="C43" s="33"/>
      <c r="D43" s="70"/>
      <c r="E43" s="67"/>
      <c r="J43" s="9" t="s">
        <v>133</v>
      </c>
      <c r="K43" s="54">
        <v>0.26500000000000001</v>
      </c>
      <c r="N43" s="67"/>
    </row>
    <row r="44" spans="1:30" ht="13.8" x14ac:dyDescent="0.3">
      <c r="B44" s="33"/>
      <c r="C44" s="33"/>
      <c r="D44" s="70"/>
      <c r="E44" s="67"/>
      <c r="J44" s="9" t="s">
        <v>134</v>
      </c>
      <c r="K44" s="54">
        <v>7.0999999999999994E-2</v>
      </c>
      <c r="N44" s="67"/>
    </row>
    <row r="45" spans="1:30" ht="13.8" x14ac:dyDescent="0.3">
      <c r="B45" s="33"/>
      <c r="C45" s="33"/>
      <c r="D45" s="70"/>
      <c r="E45" s="67"/>
      <c r="F45" s="67"/>
      <c r="G45" s="66"/>
      <c r="J45" s="9" t="s">
        <v>135</v>
      </c>
      <c r="K45" s="54">
        <v>0.11799999999999999</v>
      </c>
      <c r="N45" s="67"/>
    </row>
    <row r="46" spans="1:30" ht="13.8" x14ac:dyDescent="0.3">
      <c r="B46" s="33"/>
      <c r="C46" s="33"/>
      <c r="D46" s="70"/>
      <c r="E46" s="67"/>
      <c r="F46" s="67"/>
      <c r="G46" s="66"/>
    </row>
    <row r="47" spans="1:30" ht="13.8" x14ac:dyDescent="0.3">
      <c r="B47" s="33"/>
      <c r="E47" s="67"/>
      <c r="F47" s="67"/>
      <c r="G47" s="66"/>
    </row>
    <row r="48" spans="1:30" ht="13.8" x14ac:dyDescent="0.3">
      <c r="C48" s="33"/>
      <c r="D48" s="70"/>
      <c r="F48" s="67"/>
      <c r="G48" s="66"/>
    </row>
    <row r="49" spans="2:12" ht="13.8" x14ac:dyDescent="0.3">
      <c r="C49" s="33"/>
      <c r="D49" s="70"/>
      <c r="F49" s="67"/>
      <c r="G49" s="66"/>
      <c r="L49" s="67"/>
    </row>
    <row r="50" spans="2:12" ht="13.8" x14ac:dyDescent="0.3">
      <c r="C50" s="33"/>
      <c r="D50" s="70"/>
      <c r="F50" s="67"/>
      <c r="G50" s="66"/>
    </row>
    <row r="51" spans="2:12" ht="13.8" x14ac:dyDescent="0.3">
      <c r="C51" s="33"/>
      <c r="D51" s="70"/>
      <c r="F51" s="67"/>
      <c r="G51" s="66"/>
    </row>
    <row r="52" spans="2:12" ht="13.8" x14ac:dyDescent="0.3">
      <c r="C52" s="33"/>
      <c r="D52" s="70"/>
      <c r="F52" s="67"/>
      <c r="G52" s="66"/>
    </row>
    <row r="53" spans="2:12" ht="13.8" x14ac:dyDescent="0.3">
      <c r="C53" s="33"/>
      <c r="D53" s="70"/>
      <c r="F53" s="67"/>
      <c r="G53" s="66"/>
    </row>
    <row r="54" spans="2:12" ht="13.8" x14ac:dyDescent="0.3">
      <c r="C54" s="33"/>
      <c r="D54" s="70"/>
      <c r="F54" s="67"/>
      <c r="G54" s="66"/>
    </row>
    <row r="55" spans="2:12" ht="13.8" x14ac:dyDescent="0.3">
      <c r="C55" s="33"/>
      <c r="D55" s="70"/>
      <c r="F55" s="67"/>
      <c r="G55" s="66"/>
    </row>
    <row r="56" spans="2:12" ht="13.8" x14ac:dyDescent="0.3">
      <c r="C56" s="33"/>
      <c r="D56" s="70"/>
      <c r="F56" s="67"/>
      <c r="G56" s="66"/>
    </row>
    <row r="57" spans="2:12" ht="13.8" x14ac:dyDescent="0.3">
      <c r="C57" s="33"/>
      <c r="D57" s="70"/>
      <c r="F57" s="67"/>
      <c r="G57" s="66"/>
    </row>
    <row r="61" spans="2:12" ht="13.8" x14ac:dyDescent="0.3">
      <c r="B61" s="72"/>
    </row>
    <row r="62" spans="2:12" ht="13.8" x14ac:dyDescent="0.3">
      <c r="B62" s="72"/>
    </row>
    <row r="63" spans="2:12" ht="13.8" x14ac:dyDescent="0.3">
      <c r="B63" s="72"/>
    </row>
    <row r="64" spans="2:12" ht="13.8" x14ac:dyDescent="0.3">
      <c r="B64" s="72"/>
    </row>
    <row r="65" spans="2:2" ht="13.8" x14ac:dyDescent="0.3">
      <c r="B65" s="72"/>
    </row>
    <row r="66" spans="2:2" ht="13.8" x14ac:dyDescent="0.3">
      <c r="B66" s="72"/>
    </row>
    <row r="67" spans="2:2" ht="13.8" x14ac:dyDescent="0.3">
      <c r="B67" s="72"/>
    </row>
    <row r="68" spans="2:2" ht="13.8" x14ac:dyDescent="0.3">
      <c r="B68" s="72"/>
    </row>
    <row r="69" spans="2:2" ht="13.8" x14ac:dyDescent="0.3">
      <c r="B69" s="72"/>
    </row>
    <row r="70" spans="2:2" ht="13.8" x14ac:dyDescent="0.3">
      <c r="B70" s="72"/>
    </row>
    <row r="71" spans="2:2" ht="13.8" x14ac:dyDescent="0.3">
      <c r="B71" s="72"/>
    </row>
    <row r="72" spans="2:2" ht="13.8" x14ac:dyDescent="0.3">
      <c r="B72" s="72"/>
    </row>
    <row r="73" spans="2:2" ht="13.8" x14ac:dyDescent="0.3">
      <c r="B73" s="72"/>
    </row>
    <row r="74" spans="2:2" ht="13.8" x14ac:dyDescent="0.3">
      <c r="B74" s="72"/>
    </row>
    <row r="75" spans="2:2" ht="13.8" x14ac:dyDescent="0.3">
      <c r="B75" s="72"/>
    </row>
    <row r="76" spans="2:2" ht="13.8" x14ac:dyDescent="0.3">
      <c r="B76" s="72"/>
    </row>
    <row r="77" spans="2:2" ht="13.8" x14ac:dyDescent="0.3">
      <c r="B77" s="72"/>
    </row>
    <row r="78" spans="2:2" ht="13.8" x14ac:dyDescent="0.3">
      <c r="B78" s="72"/>
    </row>
    <row r="79" spans="2:2" ht="13.8" x14ac:dyDescent="0.3">
      <c r="B79" s="72"/>
    </row>
    <row r="80" spans="2:2" ht="13.8" x14ac:dyDescent="0.3">
      <c r="B80" s="72"/>
    </row>
    <row r="81" spans="2:5" ht="13.8" x14ac:dyDescent="0.3">
      <c r="B81" s="72"/>
    </row>
    <row r="82" spans="2:5" ht="13.8" x14ac:dyDescent="0.3">
      <c r="B82" s="72"/>
    </row>
    <row r="83" spans="2:5" ht="13.8" x14ac:dyDescent="0.3">
      <c r="B83" s="72"/>
    </row>
    <row r="84" spans="2:5" ht="13.8" x14ac:dyDescent="0.3">
      <c r="B84" s="72"/>
    </row>
    <row r="85" spans="2:5" ht="13.8" x14ac:dyDescent="0.3">
      <c r="B85" s="72"/>
    </row>
    <row r="86" spans="2:5" ht="13.8" x14ac:dyDescent="0.3">
      <c r="B86" s="72"/>
    </row>
    <row r="87" spans="2:5" ht="13.8" x14ac:dyDescent="0.3">
      <c r="B87" s="72"/>
    </row>
    <row r="88" spans="2:5" ht="13.8" x14ac:dyDescent="0.3">
      <c r="B88" s="72"/>
      <c r="D88" s="33"/>
      <c r="E88" s="66"/>
    </row>
    <row r="89" spans="2:5" ht="13.8" x14ac:dyDescent="0.3">
      <c r="B89" s="72"/>
      <c r="D89" s="33"/>
      <c r="E89" s="66"/>
    </row>
    <row r="90" spans="2:5" ht="13.8" x14ac:dyDescent="0.3">
      <c r="B90" s="72"/>
      <c r="D90" s="33"/>
      <c r="E90" s="66"/>
    </row>
    <row r="91" spans="2:5" ht="13.8" x14ac:dyDescent="0.3">
      <c r="B91" s="72"/>
    </row>
    <row r="92" spans="2:5" ht="13.8" x14ac:dyDescent="0.3">
      <c r="B92" s="72"/>
    </row>
    <row r="93" spans="2:5" ht="13.8" x14ac:dyDescent="0.3">
      <c r="B93" s="72"/>
    </row>
    <row r="94" spans="2:5" ht="13.8" x14ac:dyDescent="0.3">
      <c r="B94" s="72"/>
    </row>
    <row r="95" spans="2:5" ht="13.8" x14ac:dyDescent="0.3">
      <c r="B95" s="72"/>
    </row>
    <row r="96" spans="2:5" ht="13.8" x14ac:dyDescent="0.3">
      <c r="B96" s="72"/>
    </row>
    <row r="97" spans="2:2" ht="13.8" x14ac:dyDescent="0.3">
      <c r="B97" s="72"/>
    </row>
    <row r="98" spans="2:2" ht="13.8" x14ac:dyDescent="0.3">
      <c r="B98" s="72"/>
    </row>
    <row r="99" spans="2:2" ht="13.8" x14ac:dyDescent="0.3">
      <c r="B99" s="72"/>
    </row>
    <row r="100" spans="2:2" ht="13.8" x14ac:dyDescent="0.3">
      <c r="B100" s="72"/>
    </row>
    <row r="101" spans="2:2" ht="13.8" x14ac:dyDescent="0.3">
      <c r="B101" s="72"/>
    </row>
    <row r="102" spans="2:2" ht="13.8" x14ac:dyDescent="0.3">
      <c r="B102" s="72"/>
    </row>
    <row r="103" spans="2:2" ht="13.8" x14ac:dyDescent="0.3">
      <c r="B103" s="72"/>
    </row>
    <row r="104" spans="2:2" ht="13.8" x14ac:dyDescent="0.3">
      <c r="B104" s="72"/>
    </row>
    <row r="105" spans="2:2" ht="13.8" x14ac:dyDescent="0.3">
      <c r="B105" s="72"/>
    </row>
    <row r="106" spans="2:2" ht="13.8" x14ac:dyDescent="0.3">
      <c r="B106" s="72"/>
    </row>
    <row r="107" spans="2:2" ht="13.8" x14ac:dyDescent="0.3">
      <c r="B107" s="72"/>
    </row>
    <row r="108" spans="2:2" ht="13.8" x14ac:dyDescent="0.3">
      <c r="B108" s="72"/>
    </row>
    <row r="109" spans="2:2" ht="13.8" x14ac:dyDescent="0.3">
      <c r="B109" s="72"/>
    </row>
    <row r="110" spans="2:2" ht="13.8" x14ac:dyDescent="0.3">
      <c r="B110" s="72"/>
    </row>
    <row r="111" spans="2:2" ht="13.8" x14ac:dyDescent="0.3">
      <c r="B111" s="72"/>
    </row>
    <row r="112" spans="2:2" ht="13.8" x14ac:dyDescent="0.3">
      <c r="B112" s="72"/>
    </row>
    <row r="113" spans="2:2" ht="13.8" x14ac:dyDescent="0.3">
      <c r="B113" s="72"/>
    </row>
    <row r="114" spans="2:2" ht="13.8" x14ac:dyDescent="0.3">
      <c r="B114" s="72"/>
    </row>
    <row r="115" spans="2:2" ht="13.8" x14ac:dyDescent="0.3">
      <c r="B115" s="72"/>
    </row>
    <row r="116" spans="2:2" ht="13.8" x14ac:dyDescent="0.3">
      <c r="B116" s="72"/>
    </row>
    <row r="117" spans="2:2" ht="13.8" x14ac:dyDescent="0.3">
      <c r="B117" s="72"/>
    </row>
    <row r="118" spans="2:2" ht="13.8" x14ac:dyDescent="0.3">
      <c r="B118" s="72"/>
    </row>
    <row r="119" spans="2:2" ht="13.8" x14ac:dyDescent="0.3">
      <c r="B119" s="72"/>
    </row>
    <row r="120" spans="2:2" ht="13.8" x14ac:dyDescent="0.3">
      <c r="B120" s="72"/>
    </row>
    <row r="121" spans="2:2" ht="13.8" x14ac:dyDescent="0.3">
      <c r="B121" s="72"/>
    </row>
    <row r="122" spans="2:2" ht="13.8" x14ac:dyDescent="0.3">
      <c r="B122" s="72"/>
    </row>
    <row r="123" spans="2:2" ht="13.8" x14ac:dyDescent="0.3">
      <c r="B123" s="72"/>
    </row>
    <row r="124" spans="2:2" ht="13.8" x14ac:dyDescent="0.3">
      <c r="B124" s="72"/>
    </row>
    <row r="125" spans="2:2" ht="13.8" x14ac:dyDescent="0.3">
      <c r="B125" s="72"/>
    </row>
    <row r="126" spans="2:2" ht="13.8" x14ac:dyDescent="0.3">
      <c r="B126" s="72"/>
    </row>
    <row r="127" spans="2:2" ht="13.8" x14ac:dyDescent="0.3">
      <c r="B127" s="72"/>
    </row>
    <row r="128" spans="2:2" ht="13.8" x14ac:dyDescent="0.3">
      <c r="B128" s="72"/>
    </row>
    <row r="129" spans="2:2" ht="13.8" x14ac:dyDescent="0.3">
      <c r="B129" s="72"/>
    </row>
    <row r="130" spans="2:2" ht="13.8" x14ac:dyDescent="0.3">
      <c r="B130" s="72"/>
    </row>
    <row r="131" spans="2:2" ht="13.8" x14ac:dyDescent="0.3">
      <c r="B131" s="72"/>
    </row>
    <row r="132" spans="2:2" ht="13.8" x14ac:dyDescent="0.3">
      <c r="B132" s="72"/>
    </row>
    <row r="133" spans="2:2" ht="13.8" x14ac:dyDescent="0.3">
      <c r="B133" s="72"/>
    </row>
    <row r="134" spans="2:2" ht="13.8" x14ac:dyDescent="0.3">
      <c r="B134" s="72"/>
    </row>
    <row r="135" spans="2:2" ht="13.8" x14ac:dyDescent="0.3">
      <c r="B135" s="72"/>
    </row>
    <row r="136" spans="2:2" ht="13.8" x14ac:dyDescent="0.3">
      <c r="B136" s="72"/>
    </row>
    <row r="137" spans="2:2" ht="13.8" x14ac:dyDescent="0.3">
      <c r="B137" s="72"/>
    </row>
    <row r="138" spans="2:2" ht="13.8" x14ac:dyDescent="0.3">
      <c r="B138" s="72"/>
    </row>
    <row r="139" spans="2:2" ht="13.8" x14ac:dyDescent="0.3">
      <c r="B139" s="72"/>
    </row>
    <row r="140" spans="2:2" ht="13.8" x14ac:dyDescent="0.3">
      <c r="B140" s="72"/>
    </row>
    <row r="141" spans="2:2" ht="13.8" x14ac:dyDescent="0.3">
      <c r="B141" s="72"/>
    </row>
    <row r="142" spans="2:2" ht="13.8" x14ac:dyDescent="0.3">
      <c r="B142" s="72"/>
    </row>
    <row r="143" spans="2:2" ht="13.8" x14ac:dyDescent="0.3">
      <c r="B143" s="72"/>
    </row>
    <row r="144" spans="2:2" ht="13.8" x14ac:dyDescent="0.3">
      <c r="B144" s="72"/>
    </row>
    <row r="145" spans="2:2" ht="13.8" x14ac:dyDescent="0.3">
      <c r="B145" s="72"/>
    </row>
    <row r="146" spans="2:2" ht="13.8" x14ac:dyDescent="0.3">
      <c r="B146" s="72"/>
    </row>
    <row r="147" spans="2:2" ht="13.8" x14ac:dyDescent="0.3">
      <c r="B147" s="72"/>
    </row>
    <row r="148" spans="2:2" ht="13.8" x14ac:dyDescent="0.3">
      <c r="B148" s="72"/>
    </row>
    <row r="149" spans="2:2" ht="13.8" x14ac:dyDescent="0.3">
      <c r="B149" s="72"/>
    </row>
    <row r="150" spans="2:2" ht="13.8" x14ac:dyDescent="0.3">
      <c r="B150" s="72"/>
    </row>
    <row r="151" spans="2:2" ht="13.8" x14ac:dyDescent="0.3">
      <c r="B151" s="72"/>
    </row>
    <row r="152" spans="2:2" ht="13.8" x14ac:dyDescent="0.3">
      <c r="B152" s="72"/>
    </row>
    <row r="153" spans="2:2" ht="13.8" x14ac:dyDescent="0.3">
      <c r="B153" s="72"/>
    </row>
    <row r="154" spans="2:2" ht="13.8" x14ac:dyDescent="0.3">
      <c r="B154" s="72"/>
    </row>
    <row r="155" spans="2:2" ht="13.8" x14ac:dyDescent="0.3">
      <c r="B155" s="72"/>
    </row>
    <row r="156" spans="2:2" ht="13.8" x14ac:dyDescent="0.3">
      <c r="B156" s="72"/>
    </row>
    <row r="157" spans="2:2" ht="13.8" x14ac:dyDescent="0.3">
      <c r="B157" s="72"/>
    </row>
    <row r="158" spans="2:2" ht="13.8" x14ac:dyDescent="0.3">
      <c r="B158" s="72"/>
    </row>
    <row r="159" spans="2:2" ht="13.8" x14ac:dyDescent="0.3">
      <c r="B159" s="72"/>
    </row>
    <row r="160" spans="2:2" ht="13.8" x14ac:dyDescent="0.3">
      <c r="B160" s="72"/>
    </row>
    <row r="161" spans="2:2" ht="13.8" x14ac:dyDescent="0.3">
      <c r="B161" s="72"/>
    </row>
    <row r="162" spans="2:2" ht="13.8" x14ac:dyDescent="0.3">
      <c r="B162" s="72"/>
    </row>
    <row r="163" spans="2:2" ht="13.8" x14ac:dyDescent="0.3">
      <c r="B163" s="72"/>
    </row>
    <row r="164" spans="2:2" ht="13.8" x14ac:dyDescent="0.3">
      <c r="B164" s="72"/>
    </row>
    <row r="165" spans="2:2" ht="13.8" x14ac:dyDescent="0.3">
      <c r="B165" s="72"/>
    </row>
    <row r="166" spans="2:2" ht="13.8" x14ac:dyDescent="0.3">
      <c r="B166" s="72"/>
    </row>
    <row r="167" spans="2:2" ht="13.8" x14ac:dyDescent="0.3">
      <c r="B167" s="72"/>
    </row>
    <row r="168" spans="2:2" ht="13.8" x14ac:dyDescent="0.3">
      <c r="B168" s="72"/>
    </row>
    <row r="169" spans="2:2" ht="13.8" x14ac:dyDescent="0.3">
      <c r="B169" s="72"/>
    </row>
    <row r="170" spans="2:2" ht="13.8" x14ac:dyDescent="0.3">
      <c r="B170" s="72"/>
    </row>
    <row r="171" spans="2:2" ht="13.8" x14ac:dyDescent="0.3">
      <c r="B171" s="72"/>
    </row>
    <row r="172" spans="2:2" ht="13.8" x14ac:dyDescent="0.3">
      <c r="B172" s="72"/>
    </row>
    <row r="173" spans="2:2" ht="13.8" x14ac:dyDescent="0.3">
      <c r="B173" s="72"/>
    </row>
    <row r="174" spans="2:2" ht="13.8" x14ac:dyDescent="0.3">
      <c r="B174" s="72"/>
    </row>
    <row r="175" spans="2:2" ht="13.8" x14ac:dyDescent="0.3">
      <c r="B175" s="72"/>
    </row>
    <row r="176" spans="2:2" ht="13.8" x14ac:dyDescent="0.3">
      <c r="B176" s="72"/>
    </row>
    <row r="177" spans="2:2" ht="13.8" x14ac:dyDescent="0.3">
      <c r="B177" s="72"/>
    </row>
    <row r="178" spans="2:2" ht="13.8" x14ac:dyDescent="0.3">
      <c r="B178" s="72"/>
    </row>
    <row r="179" spans="2:2" ht="13.8" x14ac:dyDescent="0.3">
      <c r="B179" s="72"/>
    </row>
    <row r="180" spans="2:2" ht="13.8" x14ac:dyDescent="0.3">
      <c r="B180" s="72"/>
    </row>
    <row r="181" spans="2:2" ht="13.8" x14ac:dyDescent="0.3">
      <c r="B181" s="72"/>
    </row>
    <row r="182" spans="2:2" ht="13.8" x14ac:dyDescent="0.3">
      <c r="B182" s="72"/>
    </row>
    <row r="183" spans="2:2" ht="13.8" x14ac:dyDescent="0.3">
      <c r="B183" s="72"/>
    </row>
    <row r="184" spans="2:2" ht="13.8" x14ac:dyDescent="0.3">
      <c r="B184" s="72"/>
    </row>
    <row r="185" spans="2:2" ht="13.8" x14ac:dyDescent="0.3">
      <c r="B185" s="72"/>
    </row>
    <row r="186" spans="2:2" ht="13.8" x14ac:dyDescent="0.3">
      <c r="B186" s="72"/>
    </row>
    <row r="187" spans="2:2" ht="13.8" x14ac:dyDescent="0.3">
      <c r="B187" s="72"/>
    </row>
    <row r="188" spans="2:2" ht="13.8" x14ac:dyDescent="0.3">
      <c r="B188" s="72"/>
    </row>
    <row r="189" spans="2:2" ht="13.8" x14ac:dyDescent="0.3">
      <c r="B189" s="72"/>
    </row>
    <row r="190" spans="2:2" ht="13.8" x14ac:dyDescent="0.3">
      <c r="B190" s="72"/>
    </row>
    <row r="191" spans="2:2" ht="13.8" x14ac:dyDescent="0.3">
      <c r="B191" s="72"/>
    </row>
    <row r="192" spans="2:2" ht="13.8" x14ac:dyDescent="0.3">
      <c r="B192" s="72"/>
    </row>
    <row r="193" spans="2:2" ht="13.8" x14ac:dyDescent="0.3">
      <c r="B193" s="72"/>
    </row>
    <row r="194" spans="2:2" ht="13.8" x14ac:dyDescent="0.3">
      <c r="B194" s="72"/>
    </row>
    <row r="195" spans="2:2" ht="13.8" x14ac:dyDescent="0.3">
      <c r="B195" s="72"/>
    </row>
    <row r="196" spans="2:2" ht="13.8" x14ac:dyDescent="0.3">
      <c r="B196" s="72"/>
    </row>
    <row r="197" spans="2:2" ht="13.8" x14ac:dyDescent="0.3">
      <c r="B197" s="72"/>
    </row>
    <row r="198" spans="2:2" ht="13.8" x14ac:dyDescent="0.3">
      <c r="B198" s="72"/>
    </row>
    <row r="199" spans="2:2" ht="13.8" x14ac:dyDescent="0.3">
      <c r="B199" s="72"/>
    </row>
    <row r="200" spans="2:2" ht="13.8" x14ac:dyDescent="0.3">
      <c r="B200" s="72"/>
    </row>
    <row r="201" spans="2:2" ht="13.8" x14ac:dyDescent="0.3">
      <c r="B201" s="72"/>
    </row>
    <row r="202" spans="2:2" ht="13.8" x14ac:dyDescent="0.3">
      <c r="B202" s="72"/>
    </row>
    <row r="203" spans="2:2" ht="13.8" x14ac:dyDescent="0.3">
      <c r="B203" s="72"/>
    </row>
    <row r="204" spans="2:2" ht="13.8" x14ac:dyDescent="0.3">
      <c r="B204" s="72"/>
    </row>
    <row r="205" spans="2:2" ht="13.8" x14ac:dyDescent="0.3">
      <c r="B205" s="72"/>
    </row>
    <row r="206" spans="2:2" ht="13.8" x14ac:dyDescent="0.3">
      <c r="B206" s="72"/>
    </row>
    <row r="207" spans="2:2" ht="13.8" x14ac:dyDescent="0.3">
      <c r="B207" s="72"/>
    </row>
    <row r="208" spans="2:2" ht="13.8" x14ac:dyDescent="0.3">
      <c r="B208" s="72"/>
    </row>
    <row r="209" spans="2:2" ht="13.8" x14ac:dyDescent="0.3">
      <c r="B209" s="72"/>
    </row>
    <row r="210" spans="2:2" ht="13.8" x14ac:dyDescent="0.3">
      <c r="B210" s="72"/>
    </row>
    <row r="211" spans="2:2" ht="13.8" x14ac:dyDescent="0.3">
      <c r="B211" s="72"/>
    </row>
    <row r="212" spans="2:2" ht="13.8" x14ac:dyDescent="0.3">
      <c r="B212" s="72"/>
    </row>
    <row r="213" spans="2:2" ht="13.8" x14ac:dyDescent="0.3">
      <c r="B213" s="72"/>
    </row>
    <row r="214" spans="2:2" ht="13.8" x14ac:dyDescent="0.3">
      <c r="B214" s="72"/>
    </row>
    <row r="215" spans="2:2" ht="13.8" x14ac:dyDescent="0.3">
      <c r="B215" s="72"/>
    </row>
    <row r="216" spans="2:2" ht="13.8" x14ac:dyDescent="0.3">
      <c r="B216" s="72"/>
    </row>
    <row r="217" spans="2:2" ht="13.8" x14ac:dyDescent="0.3">
      <c r="B217" s="72"/>
    </row>
    <row r="218" spans="2:2" ht="13.8" x14ac:dyDescent="0.3">
      <c r="B218" s="72"/>
    </row>
    <row r="219" spans="2:2" ht="13.8" x14ac:dyDescent="0.3">
      <c r="B219" s="72"/>
    </row>
    <row r="220" spans="2:2" ht="13.8" x14ac:dyDescent="0.3">
      <c r="B220" s="72"/>
    </row>
    <row r="221" spans="2:2" ht="13.8" x14ac:dyDescent="0.3">
      <c r="B221" s="72"/>
    </row>
    <row r="222" spans="2:2" ht="13.8" x14ac:dyDescent="0.3">
      <c r="B222" s="72"/>
    </row>
    <row r="223" spans="2:2" ht="13.8" x14ac:dyDescent="0.3">
      <c r="B223" s="72"/>
    </row>
    <row r="224" spans="2:2" ht="13.8" x14ac:dyDescent="0.3">
      <c r="B224" s="72"/>
    </row>
    <row r="225" spans="2:2" ht="13.8" x14ac:dyDescent="0.3">
      <c r="B225" s="72"/>
    </row>
    <row r="226" spans="2:2" ht="13.8" x14ac:dyDescent="0.3">
      <c r="B226" s="72"/>
    </row>
    <row r="227" spans="2:2" ht="13.8" x14ac:dyDescent="0.3">
      <c r="B227" s="72"/>
    </row>
    <row r="228" spans="2:2" ht="13.8" x14ac:dyDescent="0.3">
      <c r="B228" s="72"/>
    </row>
    <row r="229" spans="2:2" ht="13.8" x14ac:dyDescent="0.3">
      <c r="B229" s="72"/>
    </row>
    <row r="230" spans="2:2" ht="13.8" x14ac:dyDescent="0.3">
      <c r="B230" s="72"/>
    </row>
    <row r="231" spans="2:2" ht="13.8" x14ac:dyDescent="0.3">
      <c r="B231" s="72"/>
    </row>
    <row r="232" spans="2:2" ht="13.8" x14ac:dyDescent="0.3">
      <c r="B232" s="72"/>
    </row>
    <row r="233" spans="2:2" ht="13.8" x14ac:dyDescent="0.3">
      <c r="B233" s="72"/>
    </row>
    <row r="234" spans="2:2" ht="13.8" x14ac:dyDescent="0.3">
      <c r="B234" s="72"/>
    </row>
    <row r="235" spans="2:2" ht="13.8" x14ac:dyDescent="0.3">
      <c r="B235" s="72"/>
    </row>
    <row r="236" spans="2:2" ht="13.8" x14ac:dyDescent="0.3">
      <c r="B236" s="72"/>
    </row>
    <row r="237" spans="2:2" ht="13.8" x14ac:dyDescent="0.3">
      <c r="B237" s="72"/>
    </row>
    <row r="238" spans="2:2" ht="13.8" x14ac:dyDescent="0.3">
      <c r="B238" s="72"/>
    </row>
    <row r="239" spans="2:2" ht="13.8" x14ac:dyDescent="0.3">
      <c r="B239" s="72"/>
    </row>
    <row r="240" spans="2:2" ht="13.8" x14ac:dyDescent="0.3">
      <c r="B240" s="72"/>
    </row>
    <row r="241" spans="2:2" ht="13.8" x14ac:dyDescent="0.3">
      <c r="B241" s="72"/>
    </row>
    <row r="242" spans="2:2" ht="13.8" x14ac:dyDescent="0.3">
      <c r="B242" s="72"/>
    </row>
    <row r="243" spans="2:2" ht="13.8" x14ac:dyDescent="0.3">
      <c r="B243" s="72"/>
    </row>
    <row r="244" spans="2:2" ht="13.8" x14ac:dyDescent="0.3">
      <c r="B244" s="72"/>
    </row>
    <row r="245" spans="2:2" ht="13.8" x14ac:dyDescent="0.3">
      <c r="B245" s="72"/>
    </row>
    <row r="246" spans="2:2" ht="13.8" x14ac:dyDescent="0.3">
      <c r="B246" s="72"/>
    </row>
    <row r="247" spans="2:2" ht="13.8" x14ac:dyDescent="0.3">
      <c r="B247" s="72"/>
    </row>
    <row r="248" spans="2:2" ht="13.8" x14ac:dyDescent="0.3">
      <c r="B248" s="72"/>
    </row>
    <row r="249" spans="2:2" ht="13.8" x14ac:dyDescent="0.3">
      <c r="B249" s="72"/>
    </row>
    <row r="250" spans="2:2" ht="13.8" x14ac:dyDescent="0.3">
      <c r="B250" s="72"/>
    </row>
    <row r="251" spans="2:2" ht="13.8" x14ac:dyDescent="0.3">
      <c r="B251" s="72"/>
    </row>
    <row r="252" spans="2:2" ht="13.8" x14ac:dyDescent="0.3">
      <c r="B252" s="72"/>
    </row>
    <row r="253" spans="2:2" ht="13.8" x14ac:dyDescent="0.3">
      <c r="B253" s="72"/>
    </row>
    <row r="254" spans="2:2" ht="13.8" x14ac:dyDescent="0.3">
      <c r="B254" s="72"/>
    </row>
    <row r="255" spans="2:2" ht="13.8" x14ac:dyDescent="0.3">
      <c r="B255" s="72"/>
    </row>
    <row r="256" spans="2:2" ht="13.8" x14ac:dyDescent="0.3">
      <c r="B256" s="72"/>
    </row>
    <row r="257" spans="2:2" ht="13.8" x14ac:dyDescent="0.3">
      <c r="B257" s="72"/>
    </row>
    <row r="258" spans="2:2" ht="13.8" x14ac:dyDescent="0.3">
      <c r="B258" s="72"/>
    </row>
    <row r="259" spans="2:2" ht="13.8" x14ac:dyDescent="0.3">
      <c r="B259" s="72"/>
    </row>
    <row r="260" spans="2:2" ht="13.8" x14ac:dyDescent="0.3">
      <c r="B260" s="72"/>
    </row>
    <row r="261" spans="2:2" ht="13.8" x14ac:dyDescent="0.3">
      <c r="B261" s="72"/>
    </row>
    <row r="262" spans="2:2" ht="13.8" x14ac:dyDescent="0.3">
      <c r="B262" s="72"/>
    </row>
    <row r="263" spans="2:2" ht="13.8" x14ac:dyDescent="0.3">
      <c r="B263" s="72"/>
    </row>
    <row r="264" spans="2:2" ht="13.8" x14ac:dyDescent="0.3">
      <c r="B264" s="72"/>
    </row>
    <row r="265" spans="2:2" ht="13.8" x14ac:dyDescent="0.3">
      <c r="B265" s="72"/>
    </row>
    <row r="266" spans="2:2" ht="13.8" x14ac:dyDescent="0.3">
      <c r="B266" s="72"/>
    </row>
    <row r="267" spans="2:2" ht="13.8" x14ac:dyDescent="0.3">
      <c r="B267" s="72"/>
    </row>
    <row r="268" spans="2:2" ht="13.8" x14ac:dyDescent="0.3">
      <c r="B268" s="72"/>
    </row>
    <row r="269" spans="2:2" ht="13.8" x14ac:dyDescent="0.3">
      <c r="B269" s="72"/>
    </row>
    <row r="270" spans="2:2" ht="13.8" x14ac:dyDescent="0.3">
      <c r="B270" s="72"/>
    </row>
    <row r="271" spans="2:2" ht="13.8" x14ac:dyDescent="0.3">
      <c r="B271" s="72"/>
    </row>
    <row r="272" spans="2:2" ht="13.8" x14ac:dyDescent="0.3">
      <c r="B272" s="72"/>
    </row>
    <row r="273" spans="2:2" ht="13.8" x14ac:dyDescent="0.3">
      <c r="B273" s="72"/>
    </row>
    <row r="274" spans="2:2" ht="13.8" x14ac:dyDescent="0.3">
      <c r="B274" s="72"/>
    </row>
    <row r="275" spans="2:2" ht="13.8" x14ac:dyDescent="0.3">
      <c r="B275" s="72"/>
    </row>
    <row r="276" spans="2:2" ht="13.8" x14ac:dyDescent="0.3">
      <c r="B276" s="72"/>
    </row>
    <row r="277" spans="2:2" ht="13.8" x14ac:dyDescent="0.3">
      <c r="B277" s="72"/>
    </row>
    <row r="278" spans="2:2" ht="13.8" x14ac:dyDescent="0.3">
      <c r="B278" s="72"/>
    </row>
    <row r="279" spans="2:2" ht="13.8" x14ac:dyDescent="0.3">
      <c r="B279" s="72"/>
    </row>
    <row r="280" spans="2:2" ht="13.8" x14ac:dyDescent="0.3">
      <c r="B280" s="72"/>
    </row>
    <row r="281" spans="2:2" ht="13.8" x14ac:dyDescent="0.3">
      <c r="B281" s="72"/>
    </row>
    <row r="282" spans="2:2" ht="13.8" x14ac:dyDescent="0.3">
      <c r="B282" s="72"/>
    </row>
    <row r="283" spans="2:2" ht="13.8" x14ac:dyDescent="0.3">
      <c r="B283" s="72"/>
    </row>
    <row r="284" spans="2:2" ht="13.8" x14ac:dyDescent="0.3">
      <c r="B284" s="72"/>
    </row>
    <row r="285" spans="2:2" ht="13.8" x14ac:dyDescent="0.3">
      <c r="B285" s="72"/>
    </row>
    <row r="286" spans="2:2" ht="13.8" x14ac:dyDescent="0.3">
      <c r="B286" s="72"/>
    </row>
    <row r="287" spans="2:2" ht="13.8" x14ac:dyDescent="0.3">
      <c r="B287" s="72"/>
    </row>
    <row r="288" spans="2:2" ht="13.8" x14ac:dyDescent="0.3">
      <c r="B288" s="72"/>
    </row>
    <row r="289" spans="2:2" ht="13.8" x14ac:dyDescent="0.3">
      <c r="B289" s="72"/>
    </row>
    <row r="290" spans="2:2" ht="13.8" x14ac:dyDescent="0.3">
      <c r="B290" s="72"/>
    </row>
    <row r="291" spans="2:2" ht="13.8" x14ac:dyDescent="0.3">
      <c r="B291" s="72"/>
    </row>
    <row r="292" spans="2:2" ht="13.8" x14ac:dyDescent="0.3">
      <c r="B292" s="72"/>
    </row>
    <row r="293" spans="2:2" ht="13.8" x14ac:dyDescent="0.3">
      <c r="B293" s="72"/>
    </row>
    <row r="294" spans="2:2" ht="13.8" x14ac:dyDescent="0.3">
      <c r="B294" s="72"/>
    </row>
    <row r="295" spans="2:2" ht="13.8" x14ac:dyDescent="0.3">
      <c r="B295" s="72"/>
    </row>
    <row r="296" spans="2:2" ht="13.8" x14ac:dyDescent="0.3">
      <c r="B296" s="72"/>
    </row>
    <row r="297" spans="2:2" ht="13.8" x14ac:dyDescent="0.3">
      <c r="B297" s="72"/>
    </row>
    <row r="298" spans="2:2" ht="13.8" x14ac:dyDescent="0.3">
      <c r="B298" s="72"/>
    </row>
    <row r="299" spans="2:2" ht="13.8" x14ac:dyDescent="0.3">
      <c r="B299" s="72"/>
    </row>
    <row r="300" spans="2:2" ht="13.8" x14ac:dyDescent="0.3">
      <c r="B300" s="72"/>
    </row>
    <row r="301" spans="2:2" ht="13.8" x14ac:dyDescent="0.3">
      <c r="B301" s="72"/>
    </row>
    <row r="302" spans="2:2" ht="13.8" x14ac:dyDescent="0.3">
      <c r="B302" s="72"/>
    </row>
    <row r="303" spans="2:2" ht="13.8" x14ac:dyDescent="0.3">
      <c r="B303" s="72"/>
    </row>
    <row r="304" spans="2:2" ht="13.8" x14ac:dyDescent="0.3">
      <c r="B304" s="72"/>
    </row>
    <row r="305" spans="2:2" ht="13.8" x14ac:dyDescent="0.3">
      <c r="B305" s="72"/>
    </row>
    <row r="306" spans="2:2" ht="13.8" x14ac:dyDescent="0.3">
      <c r="B306" s="72"/>
    </row>
    <row r="307" spans="2:2" ht="13.8" x14ac:dyDescent="0.3">
      <c r="B307" s="72"/>
    </row>
    <row r="308" spans="2:2" ht="13.8" x14ac:dyDescent="0.3">
      <c r="B308" s="72"/>
    </row>
    <row r="309" spans="2:2" ht="13.8" x14ac:dyDescent="0.3">
      <c r="B309" s="72"/>
    </row>
    <row r="310" spans="2:2" ht="13.8" x14ac:dyDescent="0.3">
      <c r="B310" s="72"/>
    </row>
    <row r="311" spans="2:2" ht="13.8" x14ac:dyDescent="0.3">
      <c r="B311" s="72"/>
    </row>
    <row r="312" spans="2:2" ht="13.8" x14ac:dyDescent="0.3">
      <c r="B312" s="72"/>
    </row>
    <row r="313" spans="2:2" ht="13.8" x14ac:dyDescent="0.3">
      <c r="B313" s="72"/>
    </row>
    <row r="314" spans="2:2" ht="13.8" x14ac:dyDescent="0.3">
      <c r="B314" s="72"/>
    </row>
    <row r="315" spans="2:2" ht="13.8" x14ac:dyDescent="0.3">
      <c r="B315" s="72"/>
    </row>
    <row r="316" spans="2:2" ht="13.8" x14ac:dyDescent="0.3">
      <c r="B316" s="72"/>
    </row>
    <row r="317" spans="2:2" ht="13.8" x14ac:dyDescent="0.3">
      <c r="B317" s="72"/>
    </row>
    <row r="318" spans="2:2" ht="13.8" x14ac:dyDescent="0.3">
      <c r="B318" s="72"/>
    </row>
    <row r="319" spans="2:2" ht="13.8" x14ac:dyDescent="0.3">
      <c r="B319" s="72"/>
    </row>
    <row r="320" spans="2:2" ht="13.8" x14ac:dyDescent="0.3">
      <c r="B320" s="72"/>
    </row>
    <row r="321" spans="2:2" ht="13.8" x14ac:dyDescent="0.3">
      <c r="B321" s="72"/>
    </row>
    <row r="322" spans="2:2" ht="13.8" x14ac:dyDescent="0.3">
      <c r="B322" s="72"/>
    </row>
    <row r="323" spans="2:2" ht="13.8" x14ac:dyDescent="0.3">
      <c r="B323" s="72"/>
    </row>
    <row r="324" spans="2:2" ht="13.8" x14ac:dyDescent="0.3">
      <c r="B324" s="72"/>
    </row>
    <row r="325" spans="2:2" ht="13.8" x14ac:dyDescent="0.3">
      <c r="B325" s="72"/>
    </row>
    <row r="326" spans="2:2" ht="13.8" x14ac:dyDescent="0.3">
      <c r="B326" s="72"/>
    </row>
    <row r="327" spans="2:2" ht="13.8" x14ac:dyDescent="0.3">
      <c r="B327" s="72"/>
    </row>
    <row r="328" spans="2:2" ht="13.8" x14ac:dyDescent="0.3">
      <c r="B328" s="72"/>
    </row>
    <row r="329" spans="2:2" ht="13.8" x14ac:dyDescent="0.3">
      <c r="B329" s="72"/>
    </row>
    <row r="330" spans="2:2" ht="13.8" x14ac:dyDescent="0.3">
      <c r="B330" s="72"/>
    </row>
    <row r="331" spans="2:2" ht="13.8" x14ac:dyDescent="0.3">
      <c r="B331" s="72"/>
    </row>
    <row r="332" spans="2:2" ht="13.8" x14ac:dyDescent="0.3">
      <c r="B332" s="72"/>
    </row>
    <row r="333" spans="2:2" ht="13.8" x14ac:dyDescent="0.3">
      <c r="B333" s="72"/>
    </row>
    <row r="334" spans="2:2" ht="13.8" x14ac:dyDescent="0.3">
      <c r="B334" s="72"/>
    </row>
    <row r="335" spans="2:2" ht="13.8" x14ac:dyDescent="0.3">
      <c r="B335" s="72"/>
    </row>
    <row r="336" spans="2:2" ht="13.8" x14ac:dyDescent="0.3">
      <c r="B336" s="72"/>
    </row>
    <row r="337" spans="2:2" ht="13.8" x14ac:dyDescent="0.3">
      <c r="B337" s="72"/>
    </row>
    <row r="338" spans="2:2" ht="13.8" x14ac:dyDescent="0.3">
      <c r="B338" s="72"/>
    </row>
    <row r="339" spans="2:2" ht="13.8" x14ac:dyDescent="0.3">
      <c r="B339" s="72"/>
    </row>
    <row r="340" spans="2:2" ht="13.8" x14ac:dyDescent="0.3">
      <c r="B340" s="72"/>
    </row>
    <row r="341" spans="2:2" ht="13.8" x14ac:dyDescent="0.3">
      <c r="B341" s="72"/>
    </row>
    <row r="342" spans="2:2" ht="13.8" x14ac:dyDescent="0.3">
      <c r="B342" s="72"/>
    </row>
    <row r="343" spans="2:2" ht="13.8" x14ac:dyDescent="0.3">
      <c r="B343" s="72"/>
    </row>
    <row r="344" spans="2:2" ht="13.8" x14ac:dyDescent="0.3">
      <c r="B344" s="72"/>
    </row>
    <row r="345" spans="2:2" ht="13.8" x14ac:dyDescent="0.3">
      <c r="B345" s="72"/>
    </row>
    <row r="346" spans="2:2" ht="13.8" x14ac:dyDescent="0.3">
      <c r="B346" s="72"/>
    </row>
    <row r="347" spans="2:2" ht="13.8" x14ac:dyDescent="0.3">
      <c r="B347" s="72"/>
    </row>
    <row r="348" spans="2:2" ht="13.8" x14ac:dyDescent="0.3">
      <c r="B348" s="72"/>
    </row>
    <row r="349" spans="2:2" ht="13.8" x14ac:dyDescent="0.3">
      <c r="B349" s="72"/>
    </row>
    <row r="350" spans="2:2" ht="13.8" x14ac:dyDescent="0.3">
      <c r="B350" s="72"/>
    </row>
    <row r="351" spans="2:2" ht="13.8" x14ac:dyDescent="0.3">
      <c r="B351" s="72"/>
    </row>
    <row r="352" spans="2:2" ht="13.8" x14ac:dyDescent="0.3">
      <c r="B352" s="72"/>
    </row>
    <row r="353" spans="2:2" ht="13.8" x14ac:dyDescent="0.3">
      <c r="B353" s="72"/>
    </row>
    <row r="354" spans="2:2" ht="13.8" x14ac:dyDescent="0.3">
      <c r="B354" s="72"/>
    </row>
    <row r="355" spans="2:2" ht="13.8" x14ac:dyDescent="0.3">
      <c r="B355" s="72"/>
    </row>
    <row r="356" spans="2:2" ht="13.8" x14ac:dyDescent="0.3">
      <c r="B356" s="72"/>
    </row>
    <row r="357" spans="2:2" ht="13.8" x14ac:dyDescent="0.3">
      <c r="B357" s="72"/>
    </row>
    <row r="358" spans="2:2" ht="13.8" x14ac:dyDescent="0.3">
      <c r="B358" s="72"/>
    </row>
    <row r="359" spans="2:2" ht="13.8" x14ac:dyDescent="0.3">
      <c r="B359" s="72"/>
    </row>
    <row r="360" spans="2:2" ht="13.8" x14ac:dyDescent="0.3">
      <c r="B360" s="72"/>
    </row>
    <row r="361" spans="2:2" ht="13.8" x14ac:dyDescent="0.3">
      <c r="B361" s="72"/>
    </row>
    <row r="362" spans="2:2" ht="13.8" x14ac:dyDescent="0.3">
      <c r="B362" s="72"/>
    </row>
    <row r="363" spans="2:2" ht="13.8" x14ac:dyDescent="0.3">
      <c r="B363" s="72"/>
    </row>
    <row r="364" spans="2:2" ht="13.8" x14ac:dyDescent="0.3">
      <c r="B364" s="72"/>
    </row>
    <row r="365" spans="2:2" ht="13.8" x14ac:dyDescent="0.3">
      <c r="B365" s="72"/>
    </row>
    <row r="366" spans="2:2" ht="13.8" x14ac:dyDescent="0.3">
      <c r="B366" s="72"/>
    </row>
    <row r="367" spans="2:2" ht="13.8" x14ac:dyDescent="0.3">
      <c r="B367" s="72"/>
    </row>
    <row r="368" spans="2:2" ht="13.8" x14ac:dyDescent="0.3">
      <c r="B368" s="72"/>
    </row>
    <row r="369" spans="2:2" ht="13.8" x14ac:dyDescent="0.3">
      <c r="B369" s="72"/>
    </row>
    <row r="370" spans="2:2" ht="13.8" x14ac:dyDescent="0.3">
      <c r="B370" s="72"/>
    </row>
    <row r="371" spans="2:2" ht="13.8" x14ac:dyDescent="0.3">
      <c r="B371" s="72"/>
    </row>
    <row r="372" spans="2:2" ht="13.8" x14ac:dyDescent="0.3">
      <c r="B372" s="72"/>
    </row>
    <row r="373" spans="2:2" ht="13.8" x14ac:dyDescent="0.3">
      <c r="B373" s="72"/>
    </row>
    <row r="374" spans="2:2" ht="13.8" x14ac:dyDescent="0.3">
      <c r="B374" s="72"/>
    </row>
    <row r="375" spans="2:2" ht="13.8" x14ac:dyDescent="0.3">
      <c r="B375" s="72"/>
    </row>
    <row r="376" spans="2:2" ht="13.8" x14ac:dyDescent="0.3">
      <c r="B376" s="72"/>
    </row>
    <row r="377" spans="2:2" ht="13.8" x14ac:dyDescent="0.3">
      <c r="B377" s="72"/>
    </row>
    <row r="378" spans="2:2" ht="13.8" x14ac:dyDescent="0.3">
      <c r="B378" s="72"/>
    </row>
    <row r="379" spans="2:2" ht="13.8" x14ac:dyDescent="0.3">
      <c r="B379" s="72"/>
    </row>
    <row r="380" spans="2:2" ht="13.8" x14ac:dyDescent="0.3">
      <c r="B380" s="72"/>
    </row>
    <row r="381" spans="2:2" ht="13.8" x14ac:dyDescent="0.3">
      <c r="B381" s="72"/>
    </row>
    <row r="382" spans="2:2" ht="13.8" x14ac:dyDescent="0.3">
      <c r="B382" s="72"/>
    </row>
    <row r="383" spans="2:2" ht="13.8" x14ac:dyDescent="0.3">
      <c r="B383" s="72"/>
    </row>
    <row r="384" spans="2:2" ht="13.8" x14ac:dyDescent="0.3">
      <c r="B384" s="72"/>
    </row>
    <row r="385" spans="2:2" ht="13.8" x14ac:dyDescent="0.3">
      <c r="B385" s="72"/>
    </row>
    <row r="386" spans="2:2" ht="13.8" x14ac:dyDescent="0.3">
      <c r="B386" s="72"/>
    </row>
    <row r="387" spans="2:2" ht="13.8" x14ac:dyDescent="0.3">
      <c r="B387" s="72"/>
    </row>
    <row r="388" spans="2:2" ht="13.8" x14ac:dyDescent="0.3">
      <c r="B388" s="72"/>
    </row>
    <row r="389" spans="2:2" ht="13.8" x14ac:dyDescent="0.3">
      <c r="B389" s="72"/>
    </row>
    <row r="390" spans="2:2" ht="13.8" x14ac:dyDescent="0.3">
      <c r="B390" s="72"/>
    </row>
    <row r="391" spans="2:2" ht="13.8" x14ac:dyDescent="0.3">
      <c r="B391" s="72"/>
    </row>
    <row r="392" spans="2:2" ht="13.8" x14ac:dyDescent="0.3">
      <c r="B392" s="72"/>
    </row>
    <row r="393" spans="2:2" ht="13.8" x14ac:dyDescent="0.3">
      <c r="B393" s="72"/>
    </row>
    <row r="394" spans="2:2" ht="13.8" x14ac:dyDescent="0.3">
      <c r="B394" s="72"/>
    </row>
    <row r="395" spans="2:2" ht="13.8" x14ac:dyDescent="0.3">
      <c r="B395" s="72"/>
    </row>
    <row r="396" spans="2:2" ht="13.8" x14ac:dyDescent="0.3">
      <c r="B396" s="72"/>
    </row>
    <row r="397" spans="2:2" ht="13.8" x14ac:dyDescent="0.3">
      <c r="B397" s="72"/>
    </row>
    <row r="398" spans="2:2" ht="13.8" x14ac:dyDescent="0.3">
      <c r="B398" s="72"/>
    </row>
    <row r="399" spans="2:2" ht="13.8" x14ac:dyDescent="0.3">
      <c r="B399" s="72"/>
    </row>
    <row r="400" spans="2:2" ht="13.8" x14ac:dyDescent="0.3">
      <c r="B400" s="72"/>
    </row>
    <row r="401" spans="2:2" ht="13.8" x14ac:dyDescent="0.3">
      <c r="B401" s="72"/>
    </row>
    <row r="402" spans="2:2" ht="13.8" x14ac:dyDescent="0.3">
      <c r="B402" s="72"/>
    </row>
    <row r="403" spans="2:2" ht="13.8" x14ac:dyDescent="0.3">
      <c r="B403" s="72"/>
    </row>
    <row r="404" spans="2:2" ht="13.8" x14ac:dyDescent="0.3">
      <c r="B404" s="72"/>
    </row>
    <row r="405" spans="2:2" ht="13.8" x14ac:dyDescent="0.3">
      <c r="B405" s="72"/>
    </row>
    <row r="406" spans="2:2" ht="13.8" x14ac:dyDescent="0.3">
      <c r="B406" s="72"/>
    </row>
    <row r="407" spans="2:2" ht="13.8" x14ac:dyDescent="0.3">
      <c r="B407" s="72"/>
    </row>
    <row r="408" spans="2:2" ht="13.8" x14ac:dyDescent="0.3">
      <c r="B408" s="72"/>
    </row>
    <row r="409" spans="2:2" ht="13.8" x14ac:dyDescent="0.3">
      <c r="B409" s="72"/>
    </row>
    <row r="410" spans="2:2" ht="13.8" x14ac:dyDescent="0.3">
      <c r="B410" s="72"/>
    </row>
    <row r="411" spans="2:2" ht="13.8" x14ac:dyDescent="0.3">
      <c r="B411" s="72"/>
    </row>
    <row r="412" spans="2:2" ht="13.8" x14ac:dyDescent="0.3">
      <c r="B412" s="72"/>
    </row>
    <row r="413" spans="2:2" ht="13.8" x14ac:dyDescent="0.3">
      <c r="B413" s="72"/>
    </row>
    <row r="414" spans="2:2" ht="13.8" x14ac:dyDescent="0.3">
      <c r="B414" s="72"/>
    </row>
    <row r="415" spans="2:2" ht="13.8" x14ac:dyDescent="0.3">
      <c r="B415" s="72"/>
    </row>
    <row r="416" spans="2:2" ht="13.8" x14ac:dyDescent="0.3">
      <c r="B416" s="72"/>
    </row>
    <row r="417" spans="2:2" ht="13.8" x14ac:dyDescent="0.3">
      <c r="B417" s="72"/>
    </row>
    <row r="418" spans="2:2" ht="13.8" x14ac:dyDescent="0.3">
      <c r="B418" s="72"/>
    </row>
    <row r="419" spans="2:2" ht="13.8" x14ac:dyDescent="0.3">
      <c r="B419" s="72"/>
    </row>
    <row r="420" spans="2:2" ht="13.8" x14ac:dyDescent="0.3">
      <c r="B420" s="72"/>
    </row>
    <row r="421" spans="2:2" ht="13.8" x14ac:dyDescent="0.3">
      <c r="B421" s="72"/>
    </row>
    <row r="422" spans="2:2" ht="13.8" x14ac:dyDescent="0.3">
      <c r="B422" s="72"/>
    </row>
    <row r="423" spans="2:2" ht="13.8" x14ac:dyDescent="0.3">
      <c r="B423" s="72"/>
    </row>
    <row r="424" spans="2:2" ht="13.8" x14ac:dyDescent="0.3">
      <c r="B424" s="72"/>
    </row>
    <row r="425" spans="2:2" ht="13.8" x14ac:dyDescent="0.3">
      <c r="B425" s="72"/>
    </row>
    <row r="426" spans="2:2" ht="13.8" x14ac:dyDescent="0.3">
      <c r="B426" s="72"/>
    </row>
    <row r="427" spans="2:2" ht="13.8" x14ac:dyDescent="0.3">
      <c r="B427" s="72"/>
    </row>
    <row r="428" spans="2:2" ht="13.8" x14ac:dyDescent="0.3">
      <c r="B428" s="72"/>
    </row>
    <row r="429" spans="2:2" ht="13.8" x14ac:dyDescent="0.3">
      <c r="B429" s="72"/>
    </row>
    <row r="430" spans="2:2" ht="13.8" x14ac:dyDescent="0.3">
      <c r="B430" s="72"/>
    </row>
    <row r="431" spans="2:2" ht="13.8" x14ac:dyDescent="0.3">
      <c r="B431" s="72"/>
    </row>
    <row r="432" spans="2:2" ht="13.8" x14ac:dyDescent="0.3">
      <c r="B432" s="72"/>
    </row>
    <row r="433" spans="2:2" ht="13.8" x14ac:dyDescent="0.3">
      <c r="B433" s="72"/>
    </row>
    <row r="434" spans="2:2" ht="13.8" x14ac:dyDescent="0.3">
      <c r="B434" s="72"/>
    </row>
    <row r="435" spans="2:2" ht="13.8" x14ac:dyDescent="0.3">
      <c r="B435" s="72"/>
    </row>
    <row r="436" spans="2:2" ht="13.8" x14ac:dyDescent="0.3">
      <c r="B436" s="72"/>
    </row>
    <row r="437" spans="2:2" ht="13.8" x14ac:dyDescent="0.3">
      <c r="B437" s="72"/>
    </row>
    <row r="438" spans="2:2" ht="13.8" x14ac:dyDescent="0.3">
      <c r="B438" s="72"/>
    </row>
    <row r="439" spans="2:2" ht="13.8" x14ac:dyDescent="0.3">
      <c r="B439" s="72"/>
    </row>
    <row r="440" spans="2:2" ht="13.8" x14ac:dyDescent="0.3">
      <c r="B440" s="72"/>
    </row>
    <row r="441" spans="2:2" ht="13.8" x14ac:dyDescent="0.3">
      <c r="B441" s="72"/>
    </row>
    <row r="442" spans="2:2" ht="13.8" x14ac:dyDescent="0.3">
      <c r="B442" s="72"/>
    </row>
    <row r="443" spans="2:2" ht="13.8" x14ac:dyDescent="0.3">
      <c r="B443" s="72"/>
    </row>
    <row r="444" spans="2:2" ht="13.8" x14ac:dyDescent="0.3">
      <c r="B444" s="72"/>
    </row>
    <row r="445" spans="2:2" ht="13.8" x14ac:dyDescent="0.3">
      <c r="B445" s="72"/>
    </row>
    <row r="446" spans="2:2" ht="13.8" x14ac:dyDescent="0.3">
      <c r="B446" s="72"/>
    </row>
    <row r="447" spans="2:2" ht="13.8" x14ac:dyDescent="0.3">
      <c r="B447" s="72"/>
    </row>
    <row r="448" spans="2:2" ht="13.8" x14ac:dyDescent="0.3">
      <c r="B448" s="72"/>
    </row>
    <row r="449" spans="2:2" ht="13.8" x14ac:dyDescent="0.3">
      <c r="B449" s="72"/>
    </row>
    <row r="450" spans="2:2" ht="13.8" x14ac:dyDescent="0.3">
      <c r="B450" s="72"/>
    </row>
    <row r="451" spans="2:2" ht="13.8" x14ac:dyDescent="0.3">
      <c r="B451" s="72"/>
    </row>
    <row r="452" spans="2:2" ht="13.8" x14ac:dyDescent="0.3">
      <c r="B452" s="72"/>
    </row>
    <row r="453" spans="2:2" ht="13.8" x14ac:dyDescent="0.3">
      <c r="B453" s="72"/>
    </row>
    <row r="454" spans="2:2" ht="13.8" x14ac:dyDescent="0.3">
      <c r="B454" s="72"/>
    </row>
    <row r="455" spans="2:2" ht="13.8" x14ac:dyDescent="0.3">
      <c r="B455" s="72"/>
    </row>
    <row r="456" spans="2:2" ht="13.8" x14ac:dyDescent="0.3">
      <c r="B456" s="72"/>
    </row>
    <row r="457" spans="2:2" ht="13.8" x14ac:dyDescent="0.3">
      <c r="B457" s="72"/>
    </row>
    <row r="458" spans="2:2" ht="13.8" x14ac:dyDescent="0.3">
      <c r="B458" s="72"/>
    </row>
    <row r="459" spans="2:2" ht="13.8" x14ac:dyDescent="0.3">
      <c r="B459" s="72"/>
    </row>
    <row r="460" spans="2:2" ht="13.8" x14ac:dyDescent="0.3">
      <c r="B460" s="72"/>
    </row>
    <row r="461" spans="2:2" ht="13.8" x14ac:dyDescent="0.3">
      <c r="B461" s="72"/>
    </row>
    <row r="462" spans="2:2" ht="13.8" x14ac:dyDescent="0.3">
      <c r="B462" s="72"/>
    </row>
    <row r="463" spans="2:2" ht="13.8" x14ac:dyDescent="0.3">
      <c r="B463" s="72"/>
    </row>
    <row r="464" spans="2:2" ht="13.8" x14ac:dyDescent="0.3">
      <c r="B464" s="72"/>
    </row>
    <row r="465" spans="2:2" ht="13.8" x14ac:dyDescent="0.3">
      <c r="B465" s="72"/>
    </row>
    <row r="466" spans="2:2" ht="13.8" x14ac:dyDescent="0.3">
      <c r="B466" s="72"/>
    </row>
    <row r="467" spans="2:2" ht="13.8" x14ac:dyDescent="0.3">
      <c r="B467" s="72"/>
    </row>
    <row r="468" spans="2:2" ht="13.8" x14ac:dyDescent="0.3">
      <c r="B468" s="72"/>
    </row>
    <row r="469" spans="2:2" ht="13.8" x14ac:dyDescent="0.3">
      <c r="B469" s="72"/>
    </row>
    <row r="470" spans="2:2" ht="13.8" x14ac:dyDescent="0.3">
      <c r="B470" s="72"/>
    </row>
    <row r="471" spans="2:2" ht="13.8" x14ac:dyDescent="0.3">
      <c r="B471" s="72"/>
    </row>
    <row r="472" spans="2:2" ht="13.8" x14ac:dyDescent="0.3">
      <c r="B472" s="72"/>
    </row>
    <row r="473" spans="2:2" ht="13.8" x14ac:dyDescent="0.3">
      <c r="B473" s="72"/>
    </row>
    <row r="474" spans="2:2" ht="13.8" x14ac:dyDescent="0.3">
      <c r="B474" s="72"/>
    </row>
    <row r="475" spans="2:2" ht="13.8" x14ac:dyDescent="0.3">
      <c r="B475" s="72"/>
    </row>
    <row r="476" spans="2:2" ht="13.8" x14ac:dyDescent="0.3">
      <c r="B476" s="72"/>
    </row>
    <row r="477" spans="2:2" ht="13.8" x14ac:dyDescent="0.3">
      <c r="B477" s="72"/>
    </row>
    <row r="478" spans="2:2" ht="13.8" x14ac:dyDescent="0.3">
      <c r="B478" s="72"/>
    </row>
    <row r="479" spans="2:2" ht="13.8" x14ac:dyDescent="0.3">
      <c r="B479" s="72"/>
    </row>
    <row r="480" spans="2:2" ht="13.8" x14ac:dyDescent="0.3">
      <c r="B480" s="72"/>
    </row>
    <row r="481" spans="2:2" ht="13.8" x14ac:dyDescent="0.3">
      <c r="B481" s="72"/>
    </row>
    <row r="482" spans="2:2" ht="13.8" x14ac:dyDescent="0.3">
      <c r="B482" s="72"/>
    </row>
    <row r="483" spans="2:2" ht="13.8" x14ac:dyDescent="0.3">
      <c r="B483" s="72"/>
    </row>
    <row r="484" spans="2:2" ht="13.8" x14ac:dyDescent="0.3">
      <c r="B484" s="72"/>
    </row>
    <row r="485" spans="2:2" ht="13.8" x14ac:dyDescent="0.3">
      <c r="B485" s="72"/>
    </row>
    <row r="486" spans="2:2" ht="13.8" x14ac:dyDescent="0.3">
      <c r="B486" s="72"/>
    </row>
    <row r="487" spans="2:2" ht="13.8" x14ac:dyDescent="0.3">
      <c r="B487" s="72"/>
    </row>
    <row r="488" spans="2:2" ht="13.8" x14ac:dyDescent="0.3">
      <c r="B488" s="72"/>
    </row>
    <row r="489" spans="2:2" ht="13.8" x14ac:dyDescent="0.3">
      <c r="B489" s="72"/>
    </row>
    <row r="490" spans="2:2" ht="13.8" x14ac:dyDescent="0.3">
      <c r="B490" s="72"/>
    </row>
    <row r="491" spans="2:2" ht="13.8" x14ac:dyDescent="0.3">
      <c r="B491" s="72"/>
    </row>
    <row r="492" spans="2:2" ht="13.8" x14ac:dyDescent="0.3">
      <c r="B492" s="72"/>
    </row>
    <row r="493" spans="2:2" ht="13.8" x14ac:dyDescent="0.3">
      <c r="B493" s="72"/>
    </row>
    <row r="494" spans="2:2" ht="13.8" x14ac:dyDescent="0.3">
      <c r="B494" s="72"/>
    </row>
    <row r="495" spans="2:2" ht="13.8" x14ac:dyDescent="0.3">
      <c r="B495" s="72"/>
    </row>
    <row r="496" spans="2:2" ht="13.8" x14ac:dyDescent="0.3">
      <c r="B496" s="72"/>
    </row>
    <row r="497" spans="2:2" ht="13.8" x14ac:dyDescent="0.3">
      <c r="B497" s="72"/>
    </row>
    <row r="498" spans="2:2" ht="13.8" x14ac:dyDescent="0.3">
      <c r="B498" s="72"/>
    </row>
    <row r="499" spans="2:2" ht="13.8" x14ac:dyDescent="0.3">
      <c r="B499" s="72"/>
    </row>
    <row r="500" spans="2:2" ht="13.8" x14ac:dyDescent="0.3">
      <c r="B500" s="72"/>
    </row>
    <row r="501" spans="2:2" ht="13.8" x14ac:dyDescent="0.3">
      <c r="B501" s="72"/>
    </row>
    <row r="502" spans="2:2" ht="13.8" x14ac:dyDescent="0.3">
      <c r="B502" s="72"/>
    </row>
    <row r="503" spans="2:2" ht="13.8" x14ac:dyDescent="0.3">
      <c r="B503" s="72"/>
    </row>
    <row r="504" spans="2:2" ht="13.8" x14ac:dyDescent="0.3">
      <c r="B504" s="72"/>
    </row>
    <row r="505" spans="2:2" ht="13.8" x14ac:dyDescent="0.3">
      <c r="B505" s="72"/>
    </row>
    <row r="506" spans="2:2" ht="13.8" x14ac:dyDescent="0.3">
      <c r="B506" s="72"/>
    </row>
    <row r="507" spans="2:2" ht="13.8" x14ac:dyDescent="0.3">
      <c r="B507" s="72"/>
    </row>
    <row r="508" spans="2:2" ht="13.8" x14ac:dyDescent="0.3">
      <c r="B508" s="72"/>
    </row>
    <row r="509" spans="2:2" ht="13.8" x14ac:dyDescent="0.3">
      <c r="B509" s="72"/>
    </row>
    <row r="510" spans="2:2" ht="13.8" x14ac:dyDescent="0.3">
      <c r="B510" s="72"/>
    </row>
    <row r="511" spans="2:2" ht="13.8" x14ac:dyDescent="0.3">
      <c r="B511" s="72"/>
    </row>
    <row r="512" spans="2:2" ht="13.8" x14ac:dyDescent="0.3">
      <c r="B512" s="72"/>
    </row>
    <row r="513" spans="2:2" ht="13.8" x14ac:dyDescent="0.3">
      <c r="B513" s="72"/>
    </row>
    <row r="514" spans="2:2" ht="13.8" x14ac:dyDescent="0.3">
      <c r="B514" s="72"/>
    </row>
    <row r="515" spans="2:2" ht="13.8" x14ac:dyDescent="0.3">
      <c r="B515" s="72"/>
    </row>
    <row r="516" spans="2:2" ht="13.8" x14ac:dyDescent="0.3">
      <c r="B516" s="72"/>
    </row>
    <row r="517" spans="2:2" ht="13.8" x14ac:dyDescent="0.3">
      <c r="B517" s="72"/>
    </row>
    <row r="518" spans="2:2" ht="13.8" x14ac:dyDescent="0.3">
      <c r="B518" s="72"/>
    </row>
    <row r="519" spans="2:2" ht="13.8" x14ac:dyDescent="0.3">
      <c r="B519" s="72"/>
    </row>
    <row r="520" spans="2:2" ht="13.8" x14ac:dyDescent="0.3">
      <c r="B520" s="72"/>
    </row>
    <row r="521" spans="2:2" ht="13.8" x14ac:dyDescent="0.3">
      <c r="B521" s="72"/>
    </row>
    <row r="522" spans="2:2" ht="13.8" x14ac:dyDescent="0.3">
      <c r="B522" s="72"/>
    </row>
    <row r="523" spans="2:2" ht="13.8" x14ac:dyDescent="0.3">
      <c r="B523" s="72"/>
    </row>
    <row r="524" spans="2:2" ht="13.8" x14ac:dyDescent="0.3">
      <c r="B524" s="72"/>
    </row>
    <row r="525" spans="2:2" ht="13.8" x14ac:dyDescent="0.3">
      <c r="B525" s="72"/>
    </row>
    <row r="526" spans="2:2" ht="13.8" x14ac:dyDescent="0.3">
      <c r="B526" s="72"/>
    </row>
    <row r="527" spans="2:2" ht="13.8" x14ac:dyDescent="0.3">
      <c r="B527" s="72"/>
    </row>
    <row r="528" spans="2:2" ht="13.8" x14ac:dyDescent="0.3">
      <c r="B528" s="72"/>
    </row>
    <row r="529" spans="2:2" ht="13.8" x14ac:dyDescent="0.3">
      <c r="B529" s="72"/>
    </row>
    <row r="530" spans="2:2" ht="13.8" x14ac:dyDescent="0.3">
      <c r="B530" s="72"/>
    </row>
    <row r="531" spans="2:2" ht="13.8" x14ac:dyDescent="0.3">
      <c r="B531" s="72"/>
    </row>
    <row r="532" spans="2:2" ht="13.8" x14ac:dyDescent="0.3">
      <c r="B532" s="72"/>
    </row>
    <row r="533" spans="2:2" ht="13.8" x14ac:dyDescent="0.3">
      <c r="B533" s="72"/>
    </row>
    <row r="534" spans="2:2" ht="13.8" x14ac:dyDescent="0.3">
      <c r="B534" s="72"/>
    </row>
    <row r="535" spans="2:2" ht="13.8" x14ac:dyDescent="0.3">
      <c r="B535" s="72"/>
    </row>
    <row r="536" spans="2:2" ht="13.8" x14ac:dyDescent="0.3">
      <c r="B536" s="72"/>
    </row>
    <row r="537" spans="2:2" ht="13.8" x14ac:dyDescent="0.3">
      <c r="B537" s="72"/>
    </row>
    <row r="538" spans="2:2" ht="13.8" x14ac:dyDescent="0.3">
      <c r="B538" s="72"/>
    </row>
    <row r="539" spans="2:2" ht="13.8" x14ac:dyDescent="0.3">
      <c r="B539" s="72"/>
    </row>
    <row r="540" spans="2:2" ht="13.8" x14ac:dyDescent="0.3">
      <c r="B540" s="72"/>
    </row>
    <row r="541" spans="2:2" ht="13.8" x14ac:dyDescent="0.3">
      <c r="B541" s="72"/>
    </row>
    <row r="542" spans="2:2" ht="13.8" x14ac:dyDescent="0.3">
      <c r="B542" s="72"/>
    </row>
    <row r="543" spans="2:2" ht="13.8" x14ac:dyDescent="0.3">
      <c r="B543" s="72"/>
    </row>
    <row r="544" spans="2:2" ht="13.8" x14ac:dyDescent="0.3">
      <c r="B544" s="72"/>
    </row>
    <row r="545" spans="2:2" ht="13.8" x14ac:dyDescent="0.3">
      <c r="B545" s="72"/>
    </row>
    <row r="546" spans="2:2" ht="13.8" x14ac:dyDescent="0.3">
      <c r="B546" s="72"/>
    </row>
    <row r="547" spans="2:2" ht="13.8" x14ac:dyDescent="0.3">
      <c r="B547" s="72"/>
    </row>
    <row r="548" spans="2:2" ht="13.8" x14ac:dyDescent="0.3">
      <c r="B548" s="72"/>
    </row>
    <row r="549" spans="2:2" ht="13.8" x14ac:dyDescent="0.3">
      <c r="B549" s="72"/>
    </row>
    <row r="550" spans="2:2" ht="13.8" x14ac:dyDescent="0.3">
      <c r="B550" s="72"/>
    </row>
    <row r="551" spans="2:2" ht="13.8" x14ac:dyDescent="0.3">
      <c r="B551" s="72"/>
    </row>
    <row r="552" spans="2:2" ht="13.8" x14ac:dyDescent="0.3">
      <c r="B552" s="72"/>
    </row>
    <row r="553" spans="2:2" ht="13.8" x14ac:dyDescent="0.3">
      <c r="B553" s="72"/>
    </row>
    <row r="554" spans="2:2" ht="13.8" x14ac:dyDescent="0.3">
      <c r="B554" s="72"/>
    </row>
    <row r="555" spans="2:2" ht="13.8" x14ac:dyDescent="0.3">
      <c r="B555" s="72"/>
    </row>
    <row r="556" spans="2:2" ht="13.8" x14ac:dyDescent="0.3">
      <c r="B556" s="72"/>
    </row>
    <row r="557" spans="2:2" ht="13.8" x14ac:dyDescent="0.3">
      <c r="B557" s="72"/>
    </row>
    <row r="558" spans="2:2" ht="13.8" x14ac:dyDescent="0.3">
      <c r="B558" s="72"/>
    </row>
    <row r="559" spans="2:2" ht="13.8" x14ac:dyDescent="0.3">
      <c r="B559" s="72"/>
    </row>
    <row r="560" spans="2:2" ht="13.8" x14ac:dyDescent="0.3">
      <c r="B560" s="72"/>
    </row>
    <row r="561" spans="2:2" ht="13.8" x14ac:dyDescent="0.3">
      <c r="B561" s="72"/>
    </row>
    <row r="562" spans="2:2" ht="13.8" x14ac:dyDescent="0.3">
      <c r="B562" s="72"/>
    </row>
    <row r="563" spans="2:2" ht="13.8" x14ac:dyDescent="0.3">
      <c r="B563" s="72"/>
    </row>
    <row r="564" spans="2:2" ht="13.8" x14ac:dyDescent="0.3">
      <c r="B564" s="72"/>
    </row>
    <row r="565" spans="2:2" ht="13.8" x14ac:dyDescent="0.3">
      <c r="B565" s="72"/>
    </row>
    <row r="566" spans="2:2" ht="13.8" x14ac:dyDescent="0.3">
      <c r="B566" s="72"/>
    </row>
    <row r="567" spans="2:2" ht="13.8" x14ac:dyDescent="0.3">
      <c r="B567" s="72"/>
    </row>
    <row r="568" spans="2:2" ht="13.8" x14ac:dyDescent="0.3">
      <c r="B568" s="72"/>
    </row>
    <row r="569" spans="2:2" ht="13.8" x14ac:dyDescent="0.3">
      <c r="B569" s="72"/>
    </row>
    <row r="570" spans="2:2" ht="13.8" x14ac:dyDescent="0.3">
      <c r="B570" s="72"/>
    </row>
    <row r="571" spans="2:2" ht="13.8" x14ac:dyDescent="0.3">
      <c r="B571" s="72"/>
    </row>
    <row r="572" spans="2:2" ht="13.8" x14ac:dyDescent="0.3">
      <c r="B572" s="72"/>
    </row>
    <row r="573" spans="2:2" ht="13.8" x14ac:dyDescent="0.3">
      <c r="B573" s="72"/>
    </row>
    <row r="574" spans="2:2" ht="13.8" x14ac:dyDescent="0.3">
      <c r="B574" s="72"/>
    </row>
    <row r="575" spans="2:2" ht="13.8" x14ac:dyDescent="0.3">
      <c r="B575" s="72"/>
    </row>
    <row r="576" spans="2:2" ht="13.8" x14ac:dyDescent="0.3">
      <c r="B576" s="72"/>
    </row>
    <row r="577" spans="2:2" ht="13.8" x14ac:dyDescent="0.3">
      <c r="B577" s="72"/>
    </row>
    <row r="578" spans="2:2" ht="13.8" x14ac:dyDescent="0.3">
      <c r="B578" s="72"/>
    </row>
    <row r="579" spans="2:2" ht="13.8" x14ac:dyDescent="0.3">
      <c r="B579" s="72"/>
    </row>
    <row r="580" spans="2:2" ht="13.8" x14ac:dyDescent="0.3">
      <c r="B580" s="72"/>
    </row>
    <row r="581" spans="2:2" ht="13.8" x14ac:dyDescent="0.3">
      <c r="B581" s="72"/>
    </row>
    <row r="582" spans="2:2" ht="13.8" x14ac:dyDescent="0.3">
      <c r="B582" s="72"/>
    </row>
    <row r="583" spans="2:2" ht="13.8" x14ac:dyDescent="0.3">
      <c r="B583" s="72"/>
    </row>
    <row r="584" spans="2:2" ht="13.8" x14ac:dyDescent="0.3">
      <c r="B584" s="72"/>
    </row>
    <row r="585" spans="2:2" ht="13.8" x14ac:dyDescent="0.3">
      <c r="B585" s="72"/>
    </row>
    <row r="586" spans="2:2" ht="13.8" x14ac:dyDescent="0.3">
      <c r="B586" s="72"/>
    </row>
    <row r="587" spans="2:2" ht="13.8" x14ac:dyDescent="0.3">
      <c r="B587" s="72"/>
    </row>
    <row r="588" spans="2:2" ht="13.8" x14ac:dyDescent="0.3">
      <c r="B588" s="72"/>
    </row>
    <row r="589" spans="2:2" ht="13.8" x14ac:dyDescent="0.3">
      <c r="B589" s="72"/>
    </row>
    <row r="590" spans="2:2" ht="13.8" x14ac:dyDescent="0.3">
      <c r="B590" s="72"/>
    </row>
    <row r="591" spans="2:2" ht="13.8" x14ac:dyDescent="0.3">
      <c r="B591" s="72"/>
    </row>
    <row r="592" spans="2:2" ht="13.8" x14ac:dyDescent="0.3">
      <c r="B592" s="72"/>
    </row>
    <row r="593" spans="2:2" ht="13.8" x14ac:dyDescent="0.3">
      <c r="B593" s="72"/>
    </row>
    <row r="594" spans="2:2" ht="13.8" x14ac:dyDescent="0.3">
      <c r="B594" s="72"/>
    </row>
    <row r="595" spans="2:2" ht="13.8" x14ac:dyDescent="0.3">
      <c r="B595" s="72"/>
    </row>
    <row r="596" spans="2:2" ht="13.8" x14ac:dyDescent="0.3">
      <c r="B596" s="72"/>
    </row>
    <row r="597" spans="2:2" ht="13.8" x14ac:dyDescent="0.3">
      <c r="B597" s="72"/>
    </row>
    <row r="598" spans="2:2" ht="13.8" x14ac:dyDescent="0.3">
      <c r="B598" s="72"/>
    </row>
    <row r="599" spans="2:2" ht="13.8" x14ac:dyDescent="0.3">
      <c r="B599" s="72"/>
    </row>
    <row r="600" spans="2:2" ht="13.8" x14ac:dyDescent="0.3">
      <c r="B600" s="72"/>
    </row>
    <row r="601" spans="2:2" ht="13.8" x14ac:dyDescent="0.3">
      <c r="B601" s="72"/>
    </row>
    <row r="602" spans="2:2" ht="13.8" x14ac:dyDescent="0.3">
      <c r="B602" s="72"/>
    </row>
    <row r="603" spans="2:2" ht="13.8" x14ac:dyDescent="0.3">
      <c r="B603" s="72"/>
    </row>
    <row r="604" spans="2:2" ht="13.8" x14ac:dyDescent="0.3">
      <c r="B604" s="72"/>
    </row>
    <row r="605" spans="2:2" ht="13.8" x14ac:dyDescent="0.3">
      <c r="B605" s="72"/>
    </row>
    <row r="606" spans="2:2" ht="13.8" x14ac:dyDescent="0.3">
      <c r="B606" s="72"/>
    </row>
    <row r="607" spans="2:2" ht="13.8" x14ac:dyDescent="0.3">
      <c r="B607" s="72"/>
    </row>
    <row r="608" spans="2:2" ht="13.8" x14ac:dyDescent="0.3">
      <c r="B608" s="72"/>
    </row>
    <row r="609" spans="2:2" ht="13.8" x14ac:dyDescent="0.3">
      <c r="B609" s="72"/>
    </row>
    <row r="610" spans="2:2" ht="13.8" x14ac:dyDescent="0.3">
      <c r="B610" s="72"/>
    </row>
    <row r="611" spans="2:2" ht="13.8" x14ac:dyDescent="0.3">
      <c r="B611" s="72"/>
    </row>
    <row r="612" spans="2:2" ht="13.8" x14ac:dyDescent="0.3">
      <c r="B612" s="72"/>
    </row>
    <row r="613" spans="2:2" ht="13.8" x14ac:dyDescent="0.3">
      <c r="B613" s="72"/>
    </row>
    <row r="614" spans="2:2" ht="13.8" x14ac:dyDescent="0.3">
      <c r="B614" s="72"/>
    </row>
    <row r="615" spans="2:2" ht="13.8" x14ac:dyDescent="0.3">
      <c r="B615" s="72"/>
    </row>
    <row r="616" spans="2:2" ht="13.8" x14ac:dyDescent="0.3">
      <c r="B616" s="72"/>
    </row>
    <row r="617" spans="2:2" ht="13.8" x14ac:dyDescent="0.3">
      <c r="B617" s="72"/>
    </row>
    <row r="618" spans="2:2" ht="13.8" x14ac:dyDescent="0.3">
      <c r="B618" s="72"/>
    </row>
    <row r="619" spans="2:2" ht="13.8" x14ac:dyDescent="0.3">
      <c r="B619" s="72"/>
    </row>
    <row r="620" spans="2:2" ht="13.8" x14ac:dyDescent="0.3">
      <c r="B620" s="72"/>
    </row>
    <row r="621" spans="2:2" ht="13.8" x14ac:dyDescent="0.3">
      <c r="B621" s="72"/>
    </row>
    <row r="622" spans="2:2" ht="13.8" x14ac:dyDescent="0.3">
      <c r="B622" s="72"/>
    </row>
    <row r="623" spans="2:2" ht="13.8" x14ac:dyDescent="0.3">
      <c r="B623" s="72"/>
    </row>
    <row r="624" spans="2:2" ht="13.8" x14ac:dyDescent="0.3">
      <c r="B624" s="72"/>
    </row>
    <row r="625" spans="2:2" ht="13.8" x14ac:dyDescent="0.3">
      <c r="B625" s="72"/>
    </row>
    <row r="626" spans="2:2" ht="13.8" x14ac:dyDescent="0.3">
      <c r="B626" s="72"/>
    </row>
    <row r="627" spans="2:2" ht="13.8" x14ac:dyDescent="0.3">
      <c r="B627" s="72"/>
    </row>
    <row r="628" spans="2:2" ht="13.8" x14ac:dyDescent="0.3">
      <c r="B628" s="72"/>
    </row>
    <row r="629" spans="2:2" ht="13.8" x14ac:dyDescent="0.3">
      <c r="B629" s="72"/>
    </row>
    <row r="630" spans="2:2" ht="13.8" x14ac:dyDescent="0.3">
      <c r="B630" s="72"/>
    </row>
    <row r="631" spans="2:2" ht="13.8" x14ac:dyDescent="0.3">
      <c r="B631" s="72"/>
    </row>
    <row r="632" spans="2:2" ht="13.8" x14ac:dyDescent="0.3">
      <c r="B632" s="72"/>
    </row>
    <row r="633" spans="2:2" ht="13.8" x14ac:dyDescent="0.3">
      <c r="B633" s="72"/>
    </row>
    <row r="634" spans="2:2" ht="13.8" x14ac:dyDescent="0.3">
      <c r="B634" s="72"/>
    </row>
    <row r="635" spans="2:2" ht="13.8" x14ac:dyDescent="0.3">
      <c r="B635" s="72"/>
    </row>
    <row r="636" spans="2:2" ht="13.8" x14ac:dyDescent="0.3">
      <c r="B636" s="72"/>
    </row>
    <row r="637" spans="2:2" ht="13.8" x14ac:dyDescent="0.3">
      <c r="B637" s="72"/>
    </row>
    <row r="638" spans="2:2" ht="13.8" x14ac:dyDescent="0.3">
      <c r="B638" s="72"/>
    </row>
    <row r="639" spans="2:2" ht="13.8" x14ac:dyDescent="0.3">
      <c r="B639" s="72"/>
    </row>
    <row r="640" spans="2:2" ht="13.8" x14ac:dyDescent="0.3">
      <c r="B640" s="72"/>
    </row>
    <row r="641" spans="2:2" ht="13.8" x14ac:dyDescent="0.3">
      <c r="B641" s="72"/>
    </row>
    <row r="642" spans="2:2" ht="13.8" x14ac:dyDescent="0.3">
      <c r="B642" s="72"/>
    </row>
    <row r="643" spans="2:2" ht="13.8" x14ac:dyDescent="0.3">
      <c r="B643" s="72"/>
    </row>
    <row r="644" spans="2:2" ht="13.8" x14ac:dyDescent="0.3">
      <c r="B644" s="72"/>
    </row>
    <row r="645" spans="2:2" ht="13.8" x14ac:dyDescent="0.3">
      <c r="B645" s="72"/>
    </row>
    <row r="646" spans="2:2" ht="13.8" x14ac:dyDescent="0.3">
      <c r="B646" s="72"/>
    </row>
    <row r="647" spans="2:2" ht="13.8" x14ac:dyDescent="0.3">
      <c r="B647" s="72"/>
    </row>
    <row r="648" spans="2:2" ht="13.8" x14ac:dyDescent="0.3">
      <c r="B648" s="72"/>
    </row>
    <row r="649" spans="2:2" ht="13.8" x14ac:dyDescent="0.3">
      <c r="B649" s="72"/>
    </row>
    <row r="650" spans="2:2" ht="13.8" x14ac:dyDescent="0.3">
      <c r="B650" s="72"/>
    </row>
    <row r="651" spans="2:2" ht="13.8" x14ac:dyDescent="0.3">
      <c r="B651" s="72"/>
    </row>
    <row r="652" spans="2:2" ht="13.8" x14ac:dyDescent="0.3">
      <c r="B652" s="72"/>
    </row>
    <row r="653" spans="2:2" ht="13.8" x14ac:dyDescent="0.3">
      <c r="B653" s="72"/>
    </row>
    <row r="654" spans="2:2" ht="13.8" x14ac:dyDescent="0.3">
      <c r="B654" s="72"/>
    </row>
    <row r="655" spans="2:2" ht="13.8" x14ac:dyDescent="0.3">
      <c r="B655" s="72"/>
    </row>
    <row r="656" spans="2:2" ht="13.8" x14ac:dyDescent="0.3">
      <c r="B656" s="72"/>
    </row>
    <row r="657" spans="2:2" ht="13.8" x14ac:dyDescent="0.3">
      <c r="B657" s="72"/>
    </row>
    <row r="658" spans="2:2" ht="13.8" x14ac:dyDescent="0.3">
      <c r="B658" s="72"/>
    </row>
    <row r="659" spans="2:2" ht="13.8" x14ac:dyDescent="0.3">
      <c r="B659" s="72"/>
    </row>
    <row r="660" spans="2:2" ht="13.8" x14ac:dyDescent="0.3">
      <c r="B660" s="72"/>
    </row>
    <row r="661" spans="2:2" ht="13.8" x14ac:dyDescent="0.3">
      <c r="B661" s="72"/>
    </row>
    <row r="662" spans="2:2" ht="13.8" x14ac:dyDescent="0.3">
      <c r="B662" s="72"/>
    </row>
    <row r="663" spans="2:2" ht="13.8" x14ac:dyDescent="0.3">
      <c r="B663" s="72"/>
    </row>
    <row r="664" spans="2:2" ht="13.8" x14ac:dyDescent="0.3">
      <c r="B664" s="72"/>
    </row>
    <row r="665" spans="2:2" ht="13.8" x14ac:dyDescent="0.3">
      <c r="B665" s="72"/>
    </row>
    <row r="666" spans="2:2" ht="13.8" x14ac:dyDescent="0.3">
      <c r="B666" s="72"/>
    </row>
    <row r="667" spans="2:2" ht="13.8" x14ac:dyDescent="0.3">
      <c r="B667" s="72"/>
    </row>
    <row r="668" spans="2:2" ht="13.8" x14ac:dyDescent="0.3">
      <c r="B668" s="72"/>
    </row>
    <row r="669" spans="2:2" ht="13.8" x14ac:dyDescent="0.3">
      <c r="B669" s="72"/>
    </row>
    <row r="670" spans="2:2" ht="13.8" x14ac:dyDescent="0.3">
      <c r="B670" s="72"/>
    </row>
    <row r="671" spans="2:2" ht="13.8" x14ac:dyDescent="0.3">
      <c r="B671" s="72"/>
    </row>
    <row r="672" spans="2:2" ht="13.8" x14ac:dyDescent="0.3">
      <c r="B672" s="72"/>
    </row>
    <row r="673" spans="2:2" ht="13.8" x14ac:dyDescent="0.3">
      <c r="B673" s="72"/>
    </row>
    <row r="674" spans="2:2" ht="13.8" x14ac:dyDescent="0.3">
      <c r="B674" s="72"/>
    </row>
    <row r="675" spans="2:2" ht="13.8" x14ac:dyDescent="0.3">
      <c r="B675" s="72"/>
    </row>
    <row r="676" spans="2:2" ht="13.8" x14ac:dyDescent="0.3">
      <c r="B676" s="72"/>
    </row>
    <row r="677" spans="2:2" ht="13.8" x14ac:dyDescent="0.3">
      <c r="B677" s="72"/>
    </row>
    <row r="678" spans="2:2" ht="13.8" x14ac:dyDescent="0.3">
      <c r="B678" s="72"/>
    </row>
    <row r="679" spans="2:2" ht="13.8" x14ac:dyDescent="0.3">
      <c r="B679" s="72"/>
    </row>
    <row r="680" spans="2:2" ht="13.8" x14ac:dyDescent="0.3">
      <c r="B680" s="72"/>
    </row>
    <row r="681" spans="2:2" ht="13.8" x14ac:dyDescent="0.3">
      <c r="B681" s="72"/>
    </row>
    <row r="682" spans="2:2" ht="13.8" x14ac:dyDescent="0.3">
      <c r="B682" s="72"/>
    </row>
    <row r="683" spans="2:2" ht="13.8" x14ac:dyDescent="0.3">
      <c r="B683" s="72"/>
    </row>
    <row r="684" spans="2:2" ht="13.8" x14ac:dyDescent="0.3">
      <c r="B684" s="72"/>
    </row>
    <row r="685" spans="2:2" ht="13.8" x14ac:dyDescent="0.3">
      <c r="B685" s="72"/>
    </row>
    <row r="686" spans="2:2" ht="13.8" x14ac:dyDescent="0.3">
      <c r="B686" s="72"/>
    </row>
    <row r="687" spans="2:2" ht="13.8" x14ac:dyDescent="0.3">
      <c r="B687" s="72"/>
    </row>
    <row r="688" spans="2:2" ht="13.8" x14ac:dyDescent="0.3">
      <c r="B688" s="72"/>
    </row>
    <row r="689" spans="2:2" ht="13.8" x14ac:dyDescent="0.3">
      <c r="B689" s="72"/>
    </row>
    <row r="690" spans="2:2" ht="13.8" x14ac:dyDescent="0.3">
      <c r="B690" s="72"/>
    </row>
    <row r="691" spans="2:2" ht="13.8" x14ac:dyDescent="0.3">
      <c r="B691" s="72"/>
    </row>
    <row r="692" spans="2:2" ht="13.8" x14ac:dyDescent="0.3">
      <c r="B692" s="72"/>
    </row>
    <row r="693" spans="2:2" ht="13.8" x14ac:dyDescent="0.3">
      <c r="B693" s="72"/>
    </row>
    <row r="694" spans="2:2" ht="13.8" x14ac:dyDescent="0.3">
      <c r="B694" s="72"/>
    </row>
    <row r="695" spans="2:2" ht="13.8" x14ac:dyDescent="0.3">
      <c r="B695" s="72"/>
    </row>
    <row r="696" spans="2:2" ht="13.8" x14ac:dyDescent="0.3">
      <c r="B696" s="72"/>
    </row>
    <row r="697" spans="2:2" ht="13.8" x14ac:dyDescent="0.3">
      <c r="B697" s="72"/>
    </row>
    <row r="698" spans="2:2" ht="13.8" x14ac:dyDescent="0.3">
      <c r="B698" s="72"/>
    </row>
    <row r="699" spans="2:2" ht="13.8" x14ac:dyDescent="0.3">
      <c r="B699" s="72"/>
    </row>
    <row r="700" spans="2:2" ht="13.8" x14ac:dyDescent="0.3">
      <c r="B700" s="72"/>
    </row>
    <row r="701" spans="2:2" ht="13.8" x14ac:dyDescent="0.3">
      <c r="B701" s="72"/>
    </row>
    <row r="702" spans="2:2" ht="13.8" x14ac:dyDescent="0.3">
      <c r="B702" s="72"/>
    </row>
    <row r="703" spans="2:2" ht="13.8" x14ac:dyDescent="0.3">
      <c r="B703" s="72"/>
    </row>
    <row r="704" spans="2:2" ht="13.8" x14ac:dyDescent="0.3">
      <c r="B704" s="72"/>
    </row>
    <row r="705" spans="2:2" ht="13.8" x14ac:dyDescent="0.3">
      <c r="B705" s="72"/>
    </row>
    <row r="706" spans="2:2" ht="13.8" x14ac:dyDescent="0.3">
      <c r="B706" s="72"/>
    </row>
    <row r="707" spans="2:2" ht="13.8" x14ac:dyDescent="0.3">
      <c r="B707" s="72"/>
    </row>
    <row r="708" spans="2:2" ht="13.8" x14ac:dyDescent="0.3">
      <c r="B708" s="72"/>
    </row>
    <row r="709" spans="2:2" ht="13.8" x14ac:dyDescent="0.3">
      <c r="B709" s="72"/>
    </row>
    <row r="710" spans="2:2" ht="13.8" x14ac:dyDescent="0.3">
      <c r="B710" s="72"/>
    </row>
    <row r="711" spans="2:2" ht="13.8" x14ac:dyDescent="0.3">
      <c r="B711" s="72"/>
    </row>
    <row r="712" spans="2:2" ht="13.8" x14ac:dyDescent="0.3">
      <c r="B712" s="72"/>
    </row>
    <row r="713" spans="2:2" ht="13.8" x14ac:dyDescent="0.3">
      <c r="B713" s="72"/>
    </row>
    <row r="714" spans="2:2" ht="13.8" x14ac:dyDescent="0.3">
      <c r="B714" s="72"/>
    </row>
    <row r="715" spans="2:2" ht="13.8" x14ac:dyDescent="0.3">
      <c r="B715" s="72"/>
    </row>
    <row r="716" spans="2:2" ht="13.8" x14ac:dyDescent="0.3">
      <c r="B716" s="72"/>
    </row>
    <row r="717" spans="2:2" ht="13.8" x14ac:dyDescent="0.3">
      <c r="B717" s="72"/>
    </row>
    <row r="718" spans="2:2" ht="13.8" x14ac:dyDescent="0.3">
      <c r="B718" s="72"/>
    </row>
    <row r="719" spans="2:2" ht="13.8" x14ac:dyDescent="0.3">
      <c r="B719" s="72"/>
    </row>
    <row r="720" spans="2:2" ht="13.8" x14ac:dyDescent="0.3">
      <c r="B720" s="72"/>
    </row>
    <row r="721" spans="2:2" ht="13.8" x14ac:dyDescent="0.3">
      <c r="B721" s="72"/>
    </row>
    <row r="722" spans="2:2" ht="13.8" x14ac:dyDescent="0.3">
      <c r="B722" s="72"/>
    </row>
    <row r="723" spans="2:2" ht="13.8" x14ac:dyDescent="0.3">
      <c r="B723" s="72"/>
    </row>
    <row r="724" spans="2:2" ht="13.8" x14ac:dyDescent="0.3">
      <c r="B724" s="72"/>
    </row>
    <row r="725" spans="2:2" ht="13.8" x14ac:dyDescent="0.3">
      <c r="B725" s="72"/>
    </row>
    <row r="726" spans="2:2" ht="13.8" x14ac:dyDescent="0.3">
      <c r="B726" s="72"/>
    </row>
    <row r="727" spans="2:2" ht="13.8" x14ac:dyDescent="0.3">
      <c r="B727" s="72"/>
    </row>
    <row r="728" spans="2:2" ht="13.8" x14ac:dyDescent="0.3">
      <c r="B728" s="72"/>
    </row>
    <row r="729" spans="2:2" ht="13.8" x14ac:dyDescent="0.3">
      <c r="B729" s="72"/>
    </row>
    <row r="730" spans="2:2" ht="13.8" x14ac:dyDescent="0.3">
      <c r="B730" s="72"/>
    </row>
    <row r="731" spans="2:2" ht="13.8" x14ac:dyDescent="0.3">
      <c r="B731" s="72"/>
    </row>
    <row r="732" spans="2:2" ht="13.8" x14ac:dyDescent="0.3">
      <c r="B732" s="72"/>
    </row>
    <row r="733" spans="2:2" ht="13.8" x14ac:dyDescent="0.3">
      <c r="B733" s="72"/>
    </row>
    <row r="734" spans="2:2" ht="13.8" x14ac:dyDescent="0.3">
      <c r="B734" s="72"/>
    </row>
    <row r="735" spans="2:2" ht="13.8" x14ac:dyDescent="0.3">
      <c r="B735" s="72"/>
    </row>
    <row r="736" spans="2:2" ht="13.8" x14ac:dyDescent="0.3">
      <c r="B736" s="72"/>
    </row>
    <row r="737" spans="2:2" ht="13.8" x14ac:dyDescent="0.3">
      <c r="B737" s="72"/>
    </row>
    <row r="738" spans="2:2" ht="13.8" x14ac:dyDescent="0.3">
      <c r="B738" s="72"/>
    </row>
    <row r="739" spans="2:2" ht="13.8" x14ac:dyDescent="0.3">
      <c r="B739" s="72"/>
    </row>
    <row r="740" spans="2:2" ht="13.8" x14ac:dyDescent="0.3">
      <c r="B740" s="72"/>
    </row>
    <row r="741" spans="2:2" ht="13.8" x14ac:dyDescent="0.3">
      <c r="B741" s="72"/>
    </row>
    <row r="742" spans="2:2" ht="13.8" x14ac:dyDescent="0.3">
      <c r="B742" s="72"/>
    </row>
    <row r="743" spans="2:2" ht="13.8" x14ac:dyDescent="0.3">
      <c r="B743" s="72"/>
    </row>
    <row r="744" spans="2:2" ht="13.8" x14ac:dyDescent="0.3">
      <c r="B744" s="72"/>
    </row>
    <row r="745" spans="2:2" ht="13.8" x14ac:dyDescent="0.3">
      <c r="B745" s="72"/>
    </row>
    <row r="746" spans="2:2" ht="13.8" x14ac:dyDescent="0.3">
      <c r="B746" s="72"/>
    </row>
    <row r="747" spans="2:2" ht="13.8" x14ac:dyDescent="0.3">
      <c r="B747" s="72"/>
    </row>
    <row r="748" spans="2:2" ht="13.8" x14ac:dyDescent="0.3">
      <c r="B748" s="72"/>
    </row>
    <row r="749" spans="2:2" ht="13.8" x14ac:dyDescent="0.3">
      <c r="B749" s="72"/>
    </row>
    <row r="750" spans="2:2" ht="13.8" x14ac:dyDescent="0.3">
      <c r="B750" s="72"/>
    </row>
    <row r="751" spans="2:2" ht="13.8" x14ac:dyDescent="0.3">
      <c r="B751" s="72"/>
    </row>
    <row r="752" spans="2:2" ht="13.8" x14ac:dyDescent="0.3">
      <c r="B752" s="72"/>
    </row>
    <row r="753" spans="2:2" ht="13.8" x14ac:dyDescent="0.3">
      <c r="B753" s="72"/>
    </row>
    <row r="754" spans="2:2" ht="13.8" x14ac:dyDescent="0.3">
      <c r="B754" s="72"/>
    </row>
    <row r="755" spans="2:2" ht="13.8" x14ac:dyDescent="0.3">
      <c r="B755" s="72"/>
    </row>
    <row r="756" spans="2:2" ht="13.8" x14ac:dyDescent="0.3">
      <c r="B756" s="72"/>
    </row>
    <row r="757" spans="2:2" ht="13.8" x14ac:dyDescent="0.3">
      <c r="B757" s="72"/>
    </row>
    <row r="758" spans="2:2" ht="13.8" x14ac:dyDescent="0.3">
      <c r="B758" s="72"/>
    </row>
    <row r="759" spans="2:2" ht="13.8" x14ac:dyDescent="0.3">
      <c r="B759" s="72"/>
    </row>
    <row r="760" spans="2:2" ht="13.8" x14ac:dyDescent="0.3">
      <c r="B760" s="72"/>
    </row>
    <row r="761" spans="2:2" ht="13.8" x14ac:dyDescent="0.3">
      <c r="B761" s="72"/>
    </row>
    <row r="762" spans="2:2" ht="13.8" x14ac:dyDescent="0.3">
      <c r="B762" s="72"/>
    </row>
    <row r="763" spans="2:2" ht="13.8" x14ac:dyDescent="0.3">
      <c r="B763" s="72"/>
    </row>
    <row r="764" spans="2:2" ht="13.8" x14ac:dyDescent="0.3">
      <c r="B764" s="72"/>
    </row>
    <row r="765" spans="2:2" ht="13.8" x14ac:dyDescent="0.3">
      <c r="B765" s="72"/>
    </row>
    <row r="766" spans="2:2" ht="13.8" x14ac:dyDescent="0.3">
      <c r="B766" s="72"/>
    </row>
    <row r="767" spans="2:2" ht="13.8" x14ac:dyDescent="0.3">
      <c r="B767" s="72"/>
    </row>
    <row r="768" spans="2:2" ht="13.8" x14ac:dyDescent="0.3">
      <c r="B768" s="72"/>
    </row>
    <row r="769" spans="2:2" ht="13.8" x14ac:dyDescent="0.3">
      <c r="B769" s="72"/>
    </row>
    <row r="770" spans="2:2" ht="13.8" x14ac:dyDescent="0.3">
      <c r="B770" s="72"/>
    </row>
    <row r="771" spans="2:2" ht="13.8" x14ac:dyDescent="0.3">
      <c r="B771" s="72"/>
    </row>
    <row r="772" spans="2:2" ht="13.8" x14ac:dyDescent="0.3">
      <c r="B772" s="72"/>
    </row>
    <row r="773" spans="2:2" ht="13.8" x14ac:dyDescent="0.3">
      <c r="B773" s="72"/>
    </row>
    <row r="774" spans="2:2" ht="13.8" x14ac:dyDescent="0.3">
      <c r="B774" s="72"/>
    </row>
    <row r="775" spans="2:2" ht="13.8" x14ac:dyDescent="0.3">
      <c r="B775" s="72"/>
    </row>
    <row r="776" spans="2:2" ht="13.8" x14ac:dyDescent="0.3">
      <c r="B776" s="72"/>
    </row>
    <row r="777" spans="2:2" ht="13.8" x14ac:dyDescent="0.3">
      <c r="B777" s="72"/>
    </row>
    <row r="778" spans="2:2" ht="13.8" x14ac:dyDescent="0.3">
      <c r="B778" s="72"/>
    </row>
    <row r="779" spans="2:2" ht="13.8" x14ac:dyDescent="0.3">
      <c r="B779" s="72"/>
    </row>
    <row r="780" spans="2:2" ht="13.8" x14ac:dyDescent="0.3">
      <c r="B780" s="72"/>
    </row>
    <row r="781" spans="2:2" ht="13.8" x14ac:dyDescent="0.3">
      <c r="B781" s="72"/>
    </row>
    <row r="782" spans="2:2" ht="13.8" x14ac:dyDescent="0.3">
      <c r="B782" s="72"/>
    </row>
    <row r="783" spans="2:2" ht="13.8" x14ac:dyDescent="0.3">
      <c r="B783" s="72"/>
    </row>
    <row r="784" spans="2:2" ht="13.8" x14ac:dyDescent="0.3">
      <c r="B784" s="72"/>
    </row>
    <row r="785" spans="2:2" ht="13.8" x14ac:dyDescent="0.3">
      <c r="B785" s="72"/>
    </row>
    <row r="786" spans="2:2" ht="13.8" x14ac:dyDescent="0.3">
      <c r="B786" s="72"/>
    </row>
    <row r="787" spans="2:2" ht="13.8" x14ac:dyDescent="0.3">
      <c r="B787" s="72"/>
    </row>
    <row r="788" spans="2:2" ht="13.8" x14ac:dyDescent="0.3">
      <c r="B788" s="72"/>
    </row>
    <row r="789" spans="2:2" ht="13.8" x14ac:dyDescent="0.3">
      <c r="B789" s="72"/>
    </row>
    <row r="790" spans="2:2" ht="13.8" x14ac:dyDescent="0.3">
      <c r="B790" s="72"/>
    </row>
    <row r="791" spans="2:2" ht="13.8" x14ac:dyDescent="0.3">
      <c r="B791" s="72"/>
    </row>
    <row r="792" spans="2:2" ht="13.8" x14ac:dyDescent="0.3">
      <c r="B792" s="72"/>
    </row>
    <row r="793" spans="2:2" ht="13.8" x14ac:dyDescent="0.3">
      <c r="B793" s="72"/>
    </row>
    <row r="794" spans="2:2" ht="13.8" x14ac:dyDescent="0.3">
      <c r="B794" s="72"/>
    </row>
    <row r="795" spans="2:2" ht="13.8" x14ac:dyDescent="0.3">
      <c r="B795" s="72"/>
    </row>
    <row r="796" spans="2:2" ht="13.8" x14ac:dyDescent="0.3">
      <c r="B796" s="72"/>
    </row>
    <row r="797" spans="2:2" ht="13.8" x14ac:dyDescent="0.3">
      <c r="B797" s="72"/>
    </row>
    <row r="798" spans="2:2" ht="13.8" x14ac:dyDescent="0.3">
      <c r="B798" s="72"/>
    </row>
    <row r="799" spans="2:2" ht="13.8" x14ac:dyDescent="0.3">
      <c r="B799" s="72"/>
    </row>
    <row r="800" spans="2:2" ht="13.8" x14ac:dyDescent="0.3">
      <c r="B800" s="72"/>
    </row>
    <row r="801" spans="2:2" ht="13.8" x14ac:dyDescent="0.3">
      <c r="B801" s="72"/>
    </row>
    <row r="802" spans="2:2" ht="13.8" x14ac:dyDescent="0.3">
      <c r="B802" s="72"/>
    </row>
    <row r="803" spans="2:2" ht="13.8" x14ac:dyDescent="0.3">
      <c r="B803" s="72"/>
    </row>
    <row r="804" spans="2:2" ht="13.8" x14ac:dyDescent="0.3">
      <c r="B804" s="72"/>
    </row>
    <row r="805" spans="2:2" ht="13.8" x14ac:dyDescent="0.3">
      <c r="B805" s="72"/>
    </row>
    <row r="806" spans="2:2" ht="13.8" x14ac:dyDescent="0.3">
      <c r="B806" s="72"/>
    </row>
    <row r="807" spans="2:2" ht="13.8" x14ac:dyDescent="0.3">
      <c r="B807" s="72"/>
    </row>
    <row r="808" spans="2:2" ht="13.8" x14ac:dyDescent="0.3">
      <c r="B808" s="72"/>
    </row>
    <row r="809" spans="2:2" ht="13.8" x14ac:dyDescent="0.3">
      <c r="B809" s="72"/>
    </row>
    <row r="810" spans="2:2" ht="13.8" x14ac:dyDescent="0.3">
      <c r="B810" s="72"/>
    </row>
    <row r="811" spans="2:2" ht="13.8" x14ac:dyDescent="0.3">
      <c r="B811" s="72"/>
    </row>
    <row r="812" spans="2:2" ht="13.8" x14ac:dyDescent="0.3">
      <c r="B812" s="72"/>
    </row>
    <row r="813" spans="2:2" ht="13.8" x14ac:dyDescent="0.3">
      <c r="B813" s="72"/>
    </row>
    <row r="814" spans="2:2" ht="13.8" x14ac:dyDescent="0.3">
      <c r="B814" s="72"/>
    </row>
    <row r="815" spans="2:2" ht="13.8" x14ac:dyDescent="0.3">
      <c r="B815" s="72"/>
    </row>
    <row r="816" spans="2:2" ht="13.8" x14ac:dyDescent="0.3">
      <c r="B816" s="72"/>
    </row>
    <row r="817" spans="2:2" ht="13.8" x14ac:dyDescent="0.3">
      <c r="B817" s="72"/>
    </row>
    <row r="818" spans="2:2" ht="13.8" x14ac:dyDescent="0.3">
      <c r="B818" s="72"/>
    </row>
    <row r="819" spans="2:2" ht="13.8" x14ac:dyDescent="0.3">
      <c r="B819" s="72"/>
    </row>
    <row r="820" spans="2:2" ht="13.8" x14ac:dyDescent="0.3">
      <c r="B820" s="72"/>
    </row>
    <row r="821" spans="2:2" ht="13.8" x14ac:dyDescent="0.3">
      <c r="B821" s="72"/>
    </row>
    <row r="822" spans="2:2" ht="13.8" x14ac:dyDescent="0.3">
      <c r="B822" s="72"/>
    </row>
    <row r="823" spans="2:2" ht="13.8" x14ac:dyDescent="0.3">
      <c r="B823" s="72"/>
    </row>
    <row r="824" spans="2:2" ht="13.8" x14ac:dyDescent="0.3">
      <c r="B824" s="72"/>
    </row>
    <row r="825" spans="2:2" ht="13.8" x14ac:dyDescent="0.3">
      <c r="B825" s="72"/>
    </row>
    <row r="826" spans="2:2" ht="13.8" x14ac:dyDescent="0.3">
      <c r="B826" s="72"/>
    </row>
    <row r="827" spans="2:2" ht="13.8" x14ac:dyDescent="0.3">
      <c r="B827" s="72"/>
    </row>
    <row r="828" spans="2:2" ht="13.8" x14ac:dyDescent="0.3">
      <c r="B828" s="72"/>
    </row>
    <row r="829" spans="2:2" ht="13.8" x14ac:dyDescent="0.3">
      <c r="B829" s="72"/>
    </row>
    <row r="830" spans="2:2" ht="13.8" x14ac:dyDescent="0.3">
      <c r="B830" s="72"/>
    </row>
    <row r="831" spans="2:2" ht="13.8" x14ac:dyDescent="0.3">
      <c r="B831" s="72"/>
    </row>
    <row r="832" spans="2:2" ht="13.8" x14ac:dyDescent="0.3">
      <c r="B832" s="72"/>
    </row>
    <row r="833" spans="2:2" ht="13.8" x14ac:dyDescent="0.3">
      <c r="B833" s="72"/>
    </row>
    <row r="834" spans="2:2" ht="13.8" x14ac:dyDescent="0.3">
      <c r="B834" s="72"/>
    </row>
    <row r="835" spans="2:2" ht="13.8" x14ac:dyDescent="0.3">
      <c r="B835" s="72"/>
    </row>
    <row r="836" spans="2:2" ht="13.8" x14ac:dyDescent="0.3">
      <c r="B836" s="72"/>
    </row>
    <row r="837" spans="2:2" ht="13.8" x14ac:dyDescent="0.3">
      <c r="B837" s="72"/>
    </row>
    <row r="838" spans="2:2" ht="13.8" x14ac:dyDescent="0.3">
      <c r="B838" s="72"/>
    </row>
    <row r="839" spans="2:2" ht="13.8" x14ac:dyDescent="0.3">
      <c r="B839" s="72"/>
    </row>
    <row r="840" spans="2:2" ht="13.8" x14ac:dyDescent="0.3">
      <c r="B840" s="72"/>
    </row>
    <row r="841" spans="2:2" ht="13.8" x14ac:dyDescent="0.3">
      <c r="B841" s="72"/>
    </row>
    <row r="842" spans="2:2" ht="13.8" x14ac:dyDescent="0.3">
      <c r="B842" s="72"/>
    </row>
    <row r="843" spans="2:2" ht="13.8" x14ac:dyDescent="0.3">
      <c r="B843" s="72"/>
    </row>
    <row r="844" spans="2:2" ht="13.8" x14ac:dyDescent="0.3">
      <c r="B844" s="72"/>
    </row>
    <row r="845" spans="2:2" ht="13.8" x14ac:dyDescent="0.3">
      <c r="B845" s="72"/>
    </row>
    <row r="846" spans="2:2" ht="13.8" x14ac:dyDescent="0.3">
      <c r="B846" s="72"/>
    </row>
    <row r="847" spans="2:2" ht="13.8" x14ac:dyDescent="0.3">
      <c r="B847" s="72"/>
    </row>
    <row r="848" spans="2:2" ht="13.8" x14ac:dyDescent="0.3">
      <c r="B848" s="72"/>
    </row>
    <row r="849" spans="2:2" ht="13.8" x14ac:dyDescent="0.3">
      <c r="B849" s="72"/>
    </row>
    <row r="850" spans="2:2" ht="13.8" x14ac:dyDescent="0.3">
      <c r="B850" s="72"/>
    </row>
    <row r="851" spans="2:2" ht="13.8" x14ac:dyDescent="0.3">
      <c r="B851" s="72"/>
    </row>
    <row r="852" spans="2:2" ht="13.8" x14ac:dyDescent="0.3">
      <c r="B852" s="72"/>
    </row>
    <row r="853" spans="2:2" ht="13.8" x14ac:dyDescent="0.3">
      <c r="B853" s="72"/>
    </row>
    <row r="854" spans="2:2" ht="13.8" x14ac:dyDescent="0.3">
      <c r="B854" s="72"/>
    </row>
    <row r="855" spans="2:2" ht="13.8" x14ac:dyDescent="0.3">
      <c r="B855" s="72"/>
    </row>
    <row r="856" spans="2:2" ht="13.8" x14ac:dyDescent="0.3">
      <c r="B856" s="72"/>
    </row>
    <row r="857" spans="2:2" ht="13.8" x14ac:dyDescent="0.3">
      <c r="B857" s="72"/>
    </row>
    <row r="858" spans="2:2" ht="13.8" x14ac:dyDescent="0.3">
      <c r="B858" s="72"/>
    </row>
    <row r="859" spans="2:2" ht="13.8" x14ac:dyDescent="0.3">
      <c r="B859" s="72"/>
    </row>
    <row r="860" spans="2:2" ht="13.8" x14ac:dyDescent="0.3">
      <c r="B860" s="72"/>
    </row>
    <row r="861" spans="2:2" ht="13.8" x14ac:dyDescent="0.3">
      <c r="B861" s="72"/>
    </row>
    <row r="862" spans="2:2" ht="13.8" x14ac:dyDescent="0.3">
      <c r="B862" s="72"/>
    </row>
    <row r="863" spans="2:2" ht="13.8" x14ac:dyDescent="0.3">
      <c r="B863" s="72"/>
    </row>
    <row r="864" spans="2:2" ht="13.8" x14ac:dyDescent="0.3">
      <c r="B864" s="72"/>
    </row>
    <row r="865" spans="2:2" ht="13.8" x14ac:dyDescent="0.3">
      <c r="B865" s="72"/>
    </row>
    <row r="866" spans="2:2" ht="13.8" x14ac:dyDescent="0.3">
      <c r="B866" s="72"/>
    </row>
    <row r="867" spans="2:2" ht="13.8" x14ac:dyDescent="0.3">
      <c r="B867" s="72"/>
    </row>
    <row r="868" spans="2:2" ht="13.8" x14ac:dyDescent="0.3">
      <c r="B868" s="72"/>
    </row>
    <row r="869" spans="2:2" ht="13.8" x14ac:dyDescent="0.3">
      <c r="B869" s="72"/>
    </row>
    <row r="870" spans="2:2" ht="13.8" x14ac:dyDescent="0.3">
      <c r="B870" s="72"/>
    </row>
    <row r="871" spans="2:2" ht="13.8" x14ac:dyDescent="0.3">
      <c r="B871" s="72"/>
    </row>
    <row r="872" spans="2:2" ht="13.8" x14ac:dyDescent="0.3">
      <c r="B872" s="72"/>
    </row>
    <row r="873" spans="2:2" ht="13.8" x14ac:dyDescent="0.3">
      <c r="B873" s="72"/>
    </row>
    <row r="874" spans="2:2" ht="13.8" x14ac:dyDescent="0.3">
      <c r="B874" s="72"/>
    </row>
    <row r="875" spans="2:2" ht="13.8" x14ac:dyDescent="0.3">
      <c r="B875" s="72"/>
    </row>
    <row r="876" spans="2:2" ht="13.8" x14ac:dyDescent="0.3">
      <c r="B876" s="72"/>
    </row>
    <row r="877" spans="2:2" ht="13.8" x14ac:dyDescent="0.3">
      <c r="B877" s="72"/>
    </row>
    <row r="878" spans="2:2" ht="13.8" x14ac:dyDescent="0.3">
      <c r="B878" s="72"/>
    </row>
    <row r="879" spans="2:2" ht="13.8" x14ac:dyDescent="0.3">
      <c r="B879" s="72"/>
    </row>
    <row r="880" spans="2:2" ht="13.8" x14ac:dyDescent="0.3">
      <c r="B880" s="72"/>
    </row>
    <row r="881" spans="2:2" ht="13.8" x14ac:dyDescent="0.3">
      <c r="B881" s="72"/>
    </row>
    <row r="882" spans="2:2" ht="13.8" x14ac:dyDescent="0.3">
      <c r="B882" s="72"/>
    </row>
    <row r="883" spans="2:2" ht="13.8" x14ac:dyDescent="0.3">
      <c r="B883" s="72"/>
    </row>
    <row r="884" spans="2:2" ht="13.8" x14ac:dyDescent="0.3">
      <c r="B884" s="72"/>
    </row>
    <row r="885" spans="2:2" ht="13.8" x14ac:dyDescent="0.3">
      <c r="B885" s="72"/>
    </row>
    <row r="886" spans="2:2" ht="13.8" x14ac:dyDescent="0.3">
      <c r="B886" s="72"/>
    </row>
    <row r="887" spans="2:2" ht="13.8" x14ac:dyDescent="0.3">
      <c r="B887" s="72"/>
    </row>
    <row r="888" spans="2:2" ht="13.8" x14ac:dyDescent="0.3">
      <c r="B888" s="72"/>
    </row>
    <row r="889" spans="2:2" ht="13.8" x14ac:dyDescent="0.3">
      <c r="B889" s="72"/>
    </row>
    <row r="890" spans="2:2" ht="13.8" x14ac:dyDescent="0.3">
      <c r="B890" s="72"/>
    </row>
    <row r="891" spans="2:2" ht="13.8" x14ac:dyDescent="0.3">
      <c r="B891" s="72"/>
    </row>
    <row r="892" spans="2:2" ht="13.8" x14ac:dyDescent="0.3">
      <c r="B892" s="72"/>
    </row>
    <row r="893" spans="2:2" ht="13.8" x14ac:dyDescent="0.3">
      <c r="B893" s="72"/>
    </row>
    <row r="894" spans="2:2" ht="13.8" x14ac:dyDescent="0.3">
      <c r="B894" s="72"/>
    </row>
    <row r="895" spans="2:2" ht="13.8" x14ac:dyDescent="0.3">
      <c r="B895" s="72"/>
    </row>
    <row r="896" spans="2:2" ht="13.8" x14ac:dyDescent="0.3">
      <c r="B896" s="72"/>
    </row>
    <row r="897" spans="2:2" ht="13.8" x14ac:dyDescent="0.3">
      <c r="B897" s="72"/>
    </row>
    <row r="898" spans="2:2" ht="13.8" x14ac:dyDescent="0.3">
      <c r="B898" s="72"/>
    </row>
    <row r="899" spans="2:2" ht="13.8" x14ac:dyDescent="0.3">
      <c r="B899" s="72"/>
    </row>
    <row r="900" spans="2:2" ht="13.8" x14ac:dyDescent="0.3">
      <c r="B900" s="72"/>
    </row>
    <row r="901" spans="2:2" ht="13.8" x14ac:dyDescent="0.3">
      <c r="B901" s="72"/>
    </row>
    <row r="902" spans="2:2" ht="13.8" x14ac:dyDescent="0.3">
      <c r="B902" s="72"/>
    </row>
    <row r="903" spans="2:2" ht="13.8" x14ac:dyDescent="0.3">
      <c r="B903" s="72"/>
    </row>
    <row r="904" spans="2:2" ht="13.8" x14ac:dyDescent="0.3">
      <c r="B904" s="72"/>
    </row>
    <row r="905" spans="2:2" ht="13.8" x14ac:dyDescent="0.3">
      <c r="B905" s="72"/>
    </row>
    <row r="906" spans="2:2" ht="13.8" x14ac:dyDescent="0.3">
      <c r="B906" s="72"/>
    </row>
    <row r="907" spans="2:2" ht="13.8" x14ac:dyDescent="0.3">
      <c r="B907" s="72"/>
    </row>
    <row r="908" spans="2:2" ht="13.8" x14ac:dyDescent="0.3">
      <c r="B908" s="72"/>
    </row>
    <row r="909" spans="2:2" ht="13.8" x14ac:dyDescent="0.3">
      <c r="B909" s="72"/>
    </row>
    <row r="910" spans="2:2" ht="13.8" x14ac:dyDescent="0.3">
      <c r="B910" s="72"/>
    </row>
    <row r="911" spans="2:2" ht="13.8" x14ac:dyDescent="0.3">
      <c r="B911" s="72"/>
    </row>
    <row r="912" spans="2:2" ht="13.8" x14ac:dyDescent="0.3">
      <c r="B912" s="72"/>
    </row>
    <row r="913" spans="2:2" ht="13.8" x14ac:dyDescent="0.3">
      <c r="B913" s="72"/>
    </row>
    <row r="914" spans="2:2" ht="13.8" x14ac:dyDescent="0.3">
      <c r="B914" s="72"/>
    </row>
    <row r="915" spans="2:2" ht="13.8" x14ac:dyDescent="0.3">
      <c r="B915" s="72"/>
    </row>
    <row r="916" spans="2:2" ht="13.8" x14ac:dyDescent="0.3">
      <c r="B916" s="72"/>
    </row>
    <row r="917" spans="2:2" ht="13.8" x14ac:dyDescent="0.3">
      <c r="B917" s="72"/>
    </row>
    <row r="918" spans="2:2" ht="13.8" x14ac:dyDescent="0.3">
      <c r="B918" s="72"/>
    </row>
    <row r="919" spans="2:2" ht="13.8" x14ac:dyDescent="0.3">
      <c r="B919" s="72"/>
    </row>
    <row r="920" spans="2:2" ht="13.8" x14ac:dyDescent="0.3">
      <c r="B920" s="72"/>
    </row>
    <row r="921" spans="2:2" ht="13.8" x14ac:dyDescent="0.3">
      <c r="B921" s="72"/>
    </row>
    <row r="922" spans="2:2" ht="13.8" x14ac:dyDescent="0.3">
      <c r="B922" s="72"/>
    </row>
    <row r="923" spans="2:2" ht="13.8" x14ac:dyDescent="0.3">
      <c r="B923" s="72"/>
    </row>
    <row r="924" spans="2:2" ht="13.8" x14ac:dyDescent="0.3">
      <c r="B924" s="72"/>
    </row>
    <row r="925" spans="2:2" ht="13.8" x14ac:dyDescent="0.3">
      <c r="B925" s="72"/>
    </row>
    <row r="926" spans="2:2" ht="13.8" x14ac:dyDescent="0.3">
      <c r="B926" s="72"/>
    </row>
    <row r="927" spans="2:2" ht="13.8" x14ac:dyDescent="0.3">
      <c r="B927" s="72"/>
    </row>
    <row r="928" spans="2:2" ht="13.8" x14ac:dyDescent="0.3">
      <c r="B928" s="72"/>
    </row>
    <row r="929" spans="2:2" ht="13.8" x14ac:dyDescent="0.3">
      <c r="B929" s="72"/>
    </row>
    <row r="930" spans="2:2" ht="13.8" x14ac:dyDescent="0.3">
      <c r="B930" s="72"/>
    </row>
    <row r="931" spans="2:2" ht="13.8" x14ac:dyDescent="0.3">
      <c r="B931" s="72"/>
    </row>
    <row r="932" spans="2:2" ht="13.8" x14ac:dyDescent="0.3">
      <c r="B932" s="72"/>
    </row>
    <row r="933" spans="2:2" ht="13.8" x14ac:dyDescent="0.3">
      <c r="B933" s="72"/>
    </row>
    <row r="934" spans="2:2" ht="13.8" x14ac:dyDescent="0.3">
      <c r="B934" s="72"/>
    </row>
    <row r="935" spans="2:2" ht="13.8" x14ac:dyDescent="0.3">
      <c r="B935" s="72"/>
    </row>
    <row r="936" spans="2:2" ht="13.8" x14ac:dyDescent="0.3">
      <c r="B936" s="72"/>
    </row>
    <row r="937" spans="2:2" ht="13.8" x14ac:dyDescent="0.3">
      <c r="B937" s="72"/>
    </row>
    <row r="938" spans="2:2" ht="13.8" x14ac:dyDescent="0.3">
      <c r="B938" s="72"/>
    </row>
    <row r="939" spans="2:2" ht="13.8" x14ac:dyDescent="0.3">
      <c r="B939" s="72"/>
    </row>
  </sheetData>
  <mergeCells count="1">
    <mergeCell ref="S16:S18"/>
  </mergeCells>
  <conditionalFormatting sqref="C17:C18">
    <cfRule type="colorScale" priority="9">
      <colorScale>
        <cfvo type="min"/>
        <cfvo type="max"/>
        <color rgb="FFFFFFFF"/>
        <color rgb="FF57BB8A"/>
      </colorScale>
    </cfRule>
  </conditionalFormatting>
  <conditionalFormatting sqref="C26:C39">
    <cfRule type="colorScale" priority="1">
      <colorScale>
        <cfvo type="min"/>
        <cfvo type="max"/>
        <color rgb="FFFFFFFF"/>
        <color rgb="FF57BB8A"/>
      </colorScale>
    </cfRule>
  </conditionalFormatting>
  <conditionalFormatting sqref="C21:D23 E23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:D1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1:D23 E21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6:D39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7:E18 F1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6:E35">
    <cfRule type="colorScale" priority="4">
      <colorScale>
        <cfvo type="min"/>
        <cfvo type="max"/>
        <color rgb="FFFFFFFF"/>
        <color rgb="FFE67C73"/>
      </colorScale>
    </cfRule>
  </conditionalFormatting>
  <conditionalFormatting sqref="F17:F1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1:F2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6:F39">
    <cfRule type="colorScale" priority="2">
      <colorScale>
        <cfvo type="min"/>
        <cfvo type="max"/>
        <color rgb="FFFFFFFF"/>
        <color rgb="FF57BB8A"/>
      </colorScale>
    </cfRule>
  </conditionalFormatting>
  <conditionalFormatting sqref="G17:G1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1:H23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6:H35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I23 J21:J22 M22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6:I39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1:J23 M22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6:J3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2:M1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6:M16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:M17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:L23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6:L35">
    <cfRule type="colorScale" priority="3">
      <colorScale>
        <cfvo type="min"/>
        <cfvo type="max"/>
        <color rgb="FFFFFFFF"/>
        <color rgb="FF57BB8A"/>
      </colorScale>
    </cfRule>
  </conditionalFormatting>
  <conditionalFormatting sqref="M21:N23">
    <cfRule type="colorScale" priority="3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6:N35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1:O22">
    <cfRule type="colorScale" priority="7">
      <colorScale>
        <cfvo type="min"/>
        <cfvo type="max"/>
        <color rgb="FFFFFFFF"/>
        <color rgb="FF57BB8A"/>
      </colorScale>
    </cfRule>
  </conditionalFormatting>
  <conditionalFormatting sqref="O26:O35">
    <cfRule type="colorScale" priority="24">
      <colorScale>
        <cfvo type="min"/>
        <cfvo type="max"/>
        <color rgb="FFFFFFFF"/>
        <color rgb="FF57BB8A"/>
      </colorScale>
    </cfRule>
  </conditionalFormatting>
  <conditionalFormatting sqref="P21:P22">
    <cfRule type="colorScale" priority="8">
      <colorScale>
        <cfvo type="min"/>
        <cfvo type="max"/>
        <color rgb="FFFFFFFF"/>
        <color rgb="FF57BB8A"/>
      </colorScale>
    </cfRule>
  </conditionalFormatting>
  <conditionalFormatting sqref="P26:P3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6:R16 P13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8:R18">
    <cfRule type="colorScale" priority="1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U21:U27 Z21:Z27 AE21:AE27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2:U37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32:V37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603A-5259-4D11-A735-DE7FD453336E}">
  <sheetPr>
    <outlinePr summaryBelow="0" summaryRight="0"/>
  </sheetPr>
  <dimension ref="A2:AO172"/>
  <sheetViews>
    <sheetView showGridLines="0" workbookViewId="0"/>
  </sheetViews>
  <sheetFormatPr defaultColWidth="12.6640625" defaultRowHeight="15.75" customHeight="1" x14ac:dyDescent="0.3"/>
  <cols>
    <col min="15" max="15" width="14.21875" customWidth="1"/>
  </cols>
  <sheetData>
    <row r="2" spans="1:13" ht="13.8" x14ac:dyDescent="0.3">
      <c r="B2" s="73" t="s">
        <v>136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13.8" x14ac:dyDescent="0.3">
      <c r="B3" s="76"/>
      <c r="C3" s="47"/>
      <c r="D3" s="47"/>
      <c r="E3" s="47"/>
      <c r="F3" s="47"/>
      <c r="G3" s="47"/>
      <c r="H3" s="47"/>
      <c r="I3" s="47"/>
      <c r="J3" s="47"/>
      <c r="K3" s="47"/>
      <c r="L3" s="47"/>
      <c r="M3" s="77"/>
    </row>
    <row r="4" spans="1:13" ht="13.8" x14ac:dyDescent="0.3"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</row>
    <row r="6" spans="1:13" ht="13.8" x14ac:dyDescent="0.3">
      <c r="A6" s="81" t="s">
        <v>137</v>
      </c>
      <c r="B6" s="82" t="s">
        <v>138</v>
      </c>
      <c r="C6" s="83"/>
      <c r="D6" s="83"/>
      <c r="E6" s="84"/>
    </row>
    <row r="17" spans="1:20" ht="13.8" x14ac:dyDescent="0.3">
      <c r="A17" s="81" t="s">
        <v>139</v>
      </c>
    </row>
    <row r="18" spans="1:20" ht="15.75" customHeight="1" x14ac:dyDescent="0.3">
      <c r="B18" s="85" t="s">
        <v>4</v>
      </c>
      <c r="C18" s="85" t="s">
        <v>140</v>
      </c>
      <c r="F18" s="85" t="s">
        <v>4</v>
      </c>
      <c r="G18" s="85" t="s">
        <v>141</v>
      </c>
      <c r="J18" s="85" t="s">
        <v>4</v>
      </c>
      <c r="K18" s="85" t="s">
        <v>142</v>
      </c>
      <c r="R18" s="86" t="s">
        <v>143</v>
      </c>
      <c r="S18" s="86" t="s">
        <v>144</v>
      </c>
      <c r="T18" s="33" t="s">
        <v>145</v>
      </c>
    </row>
    <row r="19" spans="1:20" ht="15.75" customHeight="1" x14ac:dyDescent="0.3">
      <c r="B19" s="86" t="s">
        <v>5</v>
      </c>
      <c r="C19" s="87">
        <f ca="1">IFERROR(__xludf.DUMMYFUNCTION("GOOGLEFINANCE(""nse:""&amp;B19,""MARKETCAP"")/10000000"),25410.7530841)</f>
        <v>25410.753084100001</v>
      </c>
      <c r="F19" s="86" t="s">
        <v>5</v>
      </c>
      <c r="G19" s="88">
        <v>2227</v>
      </c>
      <c r="J19" s="86" t="s">
        <v>5</v>
      </c>
      <c r="K19" s="89">
        <v>362</v>
      </c>
      <c r="R19" s="90">
        <v>539524</v>
      </c>
      <c r="S19" s="86" t="s">
        <v>5</v>
      </c>
      <c r="T19" s="4">
        <f ca="1">IFERROR(__xludf.DUMMYFUNCTION("GOOGLEFINANCE(""nse:""&amp;S19,""MARKETCAP"")/10000000"),25410.7530841)</f>
        <v>25410.753084100001</v>
      </c>
    </row>
    <row r="20" spans="1:20" ht="15.75" customHeight="1" x14ac:dyDescent="0.3">
      <c r="B20" s="86" t="s">
        <v>146</v>
      </c>
      <c r="C20" s="87">
        <f ca="1">IFERROR(__xludf.DUMMYFUNCTION("GOOGLEFINANCE(""nse:""&amp;B20,""MARKETCAP"")/10000000"),10859.5750898)</f>
        <v>10859.575089800001</v>
      </c>
      <c r="F20" s="86" t="s">
        <v>146</v>
      </c>
      <c r="G20" s="88">
        <v>548</v>
      </c>
      <c r="J20" s="86" t="s">
        <v>146</v>
      </c>
      <c r="K20" s="89">
        <v>120</v>
      </c>
      <c r="R20" s="90">
        <v>543350</v>
      </c>
      <c r="S20" s="86" t="s">
        <v>146</v>
      </c>
      <c r="T20" s="4">
        <f ca="1">IFERROR(__xludf.DUMMYFUNCTION("GOOGLEFINANCE(""nse:""&amp;S20,""MARKETCAP"")/10000000"),10859.5750898)</f>
        <v>10859.575089800001</v>
      </c>
    </row>
    <row r="21" spans="1:20" ht="15.75" customHeight="1" x14ac:dyDescent="0.3">
      <c r="B21" s="86" t="s">
        <v>147</v>
      </c>
      <c r="C21" s="87">
        <f ca="1">IFERROR(__xludf.DUMMYFUNCTION("GOOGLEFINANCE(""nse:""&amp;B21,""MARKETCAP"")/10000000"),10539.0206663)</f>
        <v>10539.020666300001</v>
      </c>
      <c r="F21" s="86" t="s">
        <v>147</v>
      </c>
      <c r="G21" s="89">
        <v>1285</v>
      </c>
      <c r="J21" s="86" t="s">
        <v>147</v>
      </c>
      <c r="K21" s="89">
        <v>148</v>
      </c>
      <c r="R21" s="90">
        <v>542650</v>
      </c>
      <c r="S21" s="86" t="s">
        <v>147</v>
      </c>
      <c r="T21" s="4">
        <f ca="1">IFERROR(__xludf.DUMMYFUNCTION("GOOGLEFINANCE(""nse:""&amp;S21,""MARKETCAP"")/10000000"),10539.0206663)</f>
        <v>10539.020666300001</v>
      </c>
    </row>
    <row r="22" spans="1:20" ht="15.75" customHeight="1" x14ac:dyDescent="0.3">
      <c r="B22" s="86" t="s">
        <v>148</v>
      </c>
      <c r="C22" s="87">
        <f ca="1">IFERROR(__xludf.DUMMYFUNCTION("GOOGLEFINANCE(""nse:""&amp;B22,""MARKETCAP"")/10000000"),4862.7577856)</f>
        <v>4862.7577855999998</v>
      </c>
      <c r="F22" s="86" t="s">
        <v>148</v>
      </c>
      <c r="G22" s="89">
        <v>571</v>
      </c>
      <c r="J22" s="86" t="s">
        <v>148</v>
      </c>
      <c r="K22" s="89">
        <v>89</v>
      </c>
      <c r="R22" s="90">
        <v>539871</v>
      </c>
      <c r="S22" s="86" t="s">
        <v>148</v>
      </c>
      <c r="T22" s="4">
        <f ca="1">IFERROR(__xludf.DUMMYFUNCTION("GOOGLEFINANCE(""nse:""&amp;S22,""MARKETCAP"")/10000000"),4862.7577856)</f>
        <v>4862.7577855999998</v>
      </c>
    </row>
    <row r="23" spans="1:20" ht="15.75" customHeight="1" x14ac:dyDescent="0.3">
      <c r="B23" s="86" t="s">
        <v>149</v>
      </c>
      <c r="C23" s="87">
        <f ca="1">IFERROR(__xludf.DUMMYFUNCTION("GOOGLEFINANCE(""nse:""&amp;B23,""MARKETCAP"")/10000000"),2935.4620027)</f>
        <v>2935.4620027000001</v>
      </c>
      <c r="F23" s="86" t="s">
        <v>149</v>
      </c>
      <c r="G23" s="89">
        <v>653</v>
      </c>
      <c r="J23" s="86" t="s">
        <v>149</v>
      </c>
      <c r="K23" s="89">
        <v>72</v>
      </c>
      <c r="R23" s="90">
        <v>543328</v>
      </c>
      <c r="S23" s="86" t="s">
        <v>149</v>
      </c>
      <c r="T23" s="4">
        <f ca="1">IFERROR(__xludf.DUMMYFUNCTION("GOOGLEFINANCE(""nse:""&amp;S23,""MARKETCAP"")/10000000"),2935.4620027)</f>
        <v>2935.4620027000001</v>
      </c>
    </row>
    <row r="24" spans="1:20" ht="15.75" customHeight="1" x14ac:dyDescent="0.3">
      <c r="B24" s="86" t="s">
        <v>150</v>
      </c>
      <c r="C24" s="87">
        <f ca="1">IFERROR(__xludf.DUMMYFUNCTION("GOOGLEFINANCE(""nse:""&amp;B24,""MARKETCAP"")/10000000"),1977.2456419)</f>
        <v>1977.2456419</v>
      </c>
      <c r="F24" s="86" t="s">
        <v>150</v>
      </c>
      <c r="G24" s="89">
        <v>219</v>
      </c>
      <c r="J24" s="86" t="s">
        <v>150</v>
      </c>
      <c r="K24" s="89">
        <v>27</v>
      </c>
      <c r="R24" s="90">
        <v>544293</v>
      </c>
      <c r="S24" s="86" t="s">
        <v>150</v>
      </c>
      <c r="T24" s="4">
        <f ca="1">IFERROR(__xludf.DUMMYFUNCTION("GOOGLEFINANCE(""nse:""&amp;S24,""MARKETCAP"")/10000000"),1977.2456419)</f>
        <v>1977.2456419</v>
      </c>
    </row>
    <row r="25" spans="1:20" ht="15.75" customHeight="1" x14ac:dyDescent="0.3">
      <c r="B25" s="86" t="s">
        <v>151</v>
      </c>
      <c r="C25" s="87">
        <v>1698</v>
      </c>
      <c r="F25" s="86" t="s">
        <v>151</v>
      </c>
      <c r="G25" s="91">
        <v>89</v>
      </c>
      <c r="J25" s="86" t="s">
        <v>151</v>
      </c>
      <c r="K25" s="91">
        <v>43</v>
      </c>
      <c r="R25" s="90">
        <v>532067</v>
      </c>
      <c r="S25" s="86" t="s">
        <v>151</v>
      </c>
      <c r="T25" s="4">
        <f ca="1">IFERROR(__xludf.DUMMYFUNCTION("GOOGLEFINANCE(""bom:""&amp;R25,""MARKETCAP"")/10000000"),1648.7307149)</f>
        <v>1648.7307149000001</v>
      </c>
    </row>
    <row r="26" spans="1:20" ht="15.75" customHeight="1" x14ac:dyDescent="0.3">
      <c r="B26" s="86" t="s">
        <v>152</v>
      </c>
      <c r="C26" s="87">
        <f ca="1">IFERROR(__xludf.DUMMYFUNCTION("GOOGLEFINANCE(""nse:""&amp;B26,""MARKETCAP"")/10000000"),1013.6409257)</f>
        <v>1013.6409257</v>
      </c>
      <c r="F26" s="86" t="s">
        <v>152</v>
      </c>
      <c r="G26" s="33">
        <v>1225</v>
      </c>
      <c r="J26" s="86" t="s">
        <v>152</v>
      </c>
      <c r="K26" s="33">
        <v>71</v>
      </c>
      <c r="R26" s="90">
        <v>533259</v>
      </c>
      <c r="S26" s="86" t="s">
        <v>152</v>
      </c>
      <c r="T26" s="4">
        <f ca="1">IFERROR(__xludf.DUMMYFUNCTION("GOOGLEFINANCE(""nse:""&amp;S26,""MARKETCAP"")/10000000"),1013.6409257)</f>
        <v>1013.6409257</v>
      </c>
    </row>
    <row r="27" spans="1:20" ht="14.4" x14ac:dyDescent="0.3">
      <c r="B27" s="92" t="s">
        <v>153</v>
      </c>
      <c r="C27" s="92">
        <f>59512-58650</f>
        <v>862</v>
      </c>
      <c r="R27" s="90">
        <v>514330</v>
      </c>
      <c r="S27" s="86" t="s">
        <v>154</v>
      </c>
      <c r="T27" s="4">
        <f ca="1">IFERROR(__xludf.DUMMYFUNCTION("GOOGLEFINANCE(""bom:""&amp;R27,""MARKETCAP"")/10000000"),240.2812)</f>
        <v>240.28120000000001</v>
      </c>
    </row>
    <row r="28" spans="1:20" ht="14.4" x14ac:dyDescent="0.3">
      <c r="B28" s="93" t="s">
        <v>137</v>
      </c>
      <c r="C28" s="94">
        <v>59512</v>
      </c>
      <c r="D28" s="71"/>
      <c r="F28" s="95" t="s">
        <v>137</v>
      </c>
      <c r="G28" s="96">
        <f>SUM(G19:G26)</f>
        <v>6817</v>
      </c>
      <c r="J28" s="95" t="s">
        <v>137</v>
      </c>
      <c r="K28" s="96">
        <f>SUM(K19:K26)</f>
        <v>932</v>
      </c>
      <c r="R28" s="90">
        <v>542248</v>
      </c>
      <c r="S28" s="86" t="s">
        <v>155</v>
      </c>
      <c r="T28" s="4">
        <f ca="1">IFERROR(__xludf.DUMMYFUNCTION("GOOGLEFINANCE(""bom:""&amp;R28,""MARKETCAP"")/10000000"),68.2468456)</f>
        <v>68.2468456</v>
      </c>
    </row>
    <row r="29" spans="1:20" ht="14.4" x14ac:dyDescent="0.3">
      <c r="R29" s="90">
        <v>540788</v>
      </c>
      <c r="S29" s="86" t="s">
        <v>156</v>
      </c>
      <c r="T29" s="4">
        <f ca="1">IFERROR(__xludf.DUMMYFUNCTION("GOOGLEFINANCE(""bom:""&amp;R29,""MARKETCAP"")/10000000"),62.4681548)</f>
        <v>62.468154800000001</v>
      </c>
    </row>
    <row r="30" spans="1:20" ht="14.4" x14ac:dyDescent="0.3">
      <c r="R30" s="90">
        <v>530897</v>
      </c>
      <c r="S30" s="86" t="s">
        <v>157</v>
      </c>
      <c r="T30" s="4">
        <f ca="1">IFERROR(__xludf.DUMMYFUNCTION("GOOGLEFINANCE(""bom:""&amp;R30,""MARKETCAP"")/10000000"),60.308982)</f>
        <v>60.308982</v>
      </c>
    </row>
    <row r="31" spans="1:20" ht="14.4" x14ac:dyDescent="0.3">
      <c r="R31" s="90">
        <v>524602</v>
      </c>
      <c r="S31" s="86" t="s">
        <v>158</v>
      </c>
      <c r="T31" s="4">
        <f ca="1">IFERROR(__xludf.DUMMYFUNCTION("GOOGLEFINANCE(""bom:""&amp;R31,""MARKETCAP"")/10000000"),54.6)</f>
        <v>54.6</v>
      </c>
    </row>
    <row r="32" spans="1:20" ht="14.4" x14ac:dyDescent="0.3">
      <c r="R32" s="90">
        <v>526546</v>
      </c>
      <c r="S32" s="86" t="s">
        <v>159</v>
      </c>
      <c r="T32" s="4">
        <f ca="1">IFERROR(__xludf.DUMMYFUNCTION("GOOGLEFINANCE(""bom:""&amp;R32,""MARKETCAP"")/10000000"),62.7434236)</f>
        <v>62.7434236</v>
      </c>
    </row>
    <row r="33" spans="1:21" ht="14.4" x14ac:dyDescent="0.3">
      <c r="R33" s="90">
        <v>526139</v>
      </c>
      <c r="S33" s="86" t="s">
        <v>160</v>
      </c>
      <c r="T33" s="4">
        <f ca="1">IFERROR(__xludf.DUMMYFUNCTION("GOOGLEFINANCE(""bom:""&amp;R33,""MARKETCAP"")/10000000"),46.5985507)</f>
        <v>46.598550699999997</v>
      </c>
    </row>
    <row r="34" spans="1:21" ht="14.4" x14ac:dyDescent="0.3">
      <c r="R34" s="90">
        <v>539428</v>
      </c>
      <c r="S34" s="86" t="s">
        <v>161</v>
      </c>
      <c r="T34" s="4">
        <f ca="1">IFERROR(__xludf.DUMMYFUNCTION("GOOGLEFINANCE(""bom:""&amp;R34,""MARKETCAP"")/10000000"),48.9557526)</f>
        <v>48.955752599999997</v>
      </c>
    </row>
    <row r="35" spans="1:21" ht="14.4" x14ac:dyDescent="0.3">
      <c r="R35" s="90">
        <v>526301</v>
      </c>
      <c r="S35" s="86" t="s">
        <v>162</v>
      </c>
      <c r="T35" s="4">
        <f ca="1">IFERROR(__xludf.DUMMYFUNCTION("GOOGLEFINANCE(""bom:""&amp;R35,""MARKETCAP"")/10000000"),38.2795917)</f>
        <v>38.279591699999997</v>
      </c>
    </row>
    <row r="36" spans="1:21" ht="14.4" x14ac:dyDescent="0.3">
      <c r="R36" s="90">
        <v>516110</v>
      </c>
      <c r="S36" s="86" t="s">
        <v>163</v>
      </c>
      <c r="T36" s="4">
        <f ca="1">IFERROR(__xludf.DUMMYFUNCTION("GOOGLEFINANCE(""bom:""&amp;R36,""MARKETCAP"")/10000000"),36.838074)</f>
        <v>36.838073999999999</v>
      </c>
    </row>
    <row r="37" spans="1:21" ht="14.4" x14ac:dyDescent="0.3">
      <c r="R37" s="90">
        <v>539267</v>
      </c>
      <c r="S37" s="86" t="s">
        <v>164</v>
      </c>
      <c r="T37" s="4">
        <f ca="1">IFERROR(__xludf.DUMMYFUNCTION("GOOGLEFINANCE(""bom:""&amp;R37,""MARKETCAP"")/10000000"),34.34139)</f>
        <v>34.341389999999997</v>
      </c>
    </row>
    <row r="38" spans="1:21" ht="14.4" x14ac:dyDescent="0.3">
      <c r="R38" s="90">
        <v>523489</v>
      </c>
      <c r="S38" s="86" t="s">
        <v>165</v>
      </c>
      <c r="T38" s="4">
        <f ca="1">IFERROR(__xludf.DUMMYFUNCTION("GOOGLEFINANCE(""bom:""&amp;R38,""MARKETCAP"")/10000000"),29.9877109)</f>
        <v>29.9877109</v>
      </c>
    </row>
    <row r="39" spans="1:21" ht="14.4" x14ac:dyDescent="0.3">
      <c r="R39" s="90">
        <v>524548</v>
      </c>
      <c r="S39" s="86" t="s">
        <v>166</v>
      </c>
      <c r="T39" s="4">
        <f ca="1">IFERROR(__xludf.DUMMYFUNCTION("GOOGLEFINANCE(""bom:""&amp;R39,""MARKETCAP"")/10000000"),30.2700592)</f>
        <v>30.270059199999999</v>
      </c>
    </row>
    <row r="40" spans="1:21" ht="14.4" x14ac:dyDescent="0.3">
      <c r="R40" s="90">
        <v>542918</v>
      </c>
      <c r="S40" s="86" t="s">
        <v>167</v>
      </c>
      <c r="T40" s="4">
        <f ca="1">IFERROR(__xludf.DUMMYFUNCTION("GOOGLEFINANCE(""bom:""&amp;R40,""MARKETCAP"")/10000000"),19.4006917)</f>
        <v>19.400691699999999</v>
      </c>
    </row>
    <row r="41" spans="1:21" ht="14.4" x14ac:dyDescent="0.3">
      <c r="R41" s="90">
        <v>544220</v>
      </c>
      <c r="S41" s="86" t="s">
        <v>168</v>
      </c>
      <c r="T41" s="4">
        <f ca="1">IFERROR(__xludf.DUMMYFUNCTION("GOOGLEFINANCE(""bom:""&amp;R41,""MARKETCAP"")/10000000"),17.99901)</f>
        <v>17.999009999999998</v>
      </c>
    </row>
    <row r="42" spans="1:21" ht="14.4" x14ac:dyDescent="0.3">
      <c r="R42" s="90">
        <v>531043</v>
      </c>
      <c r="S42" s="86" t="s">
        <v>169</v>
      </c>
      <c r="T42" s="4">
        <f ca="1">IFERROR(__xludf.DUMMYFUNCTION("GOOGLEFINANCE(""bom:""&amp;R42,""MARKETCAP"")/10000000"),8.7377886)</f>
        <v>8.7377886</v>
      </c>
    </row>
    <row r="43" spans="1:21" ht="14.4" x14ac:dyDescent="0.3">
      <c r="R43" s="90">
        <v>526187</v>
      </c>
      <c r="S43" s="86" t="s">
        <v>170</v>
      </c>
      <c r="T43" s="4">
        <f ca="1">IFERROR(__xludf.DUMMYFUNCTION("GOOGLEFINANCE(""bom:""&amp;R43,""MARKETCAP"")/10000000"),6.7800001)</f>
        <v>6.7800000999999996</v>
      </c>
    </row>
    <row r="44" spans="1:21" ht="14.4" x14ac:dyDescent="0.3">
      <c r="A44" s="81" t="s">
        <v>28</v>
      </c>
      <c r="R44" s="90">
        <v>541299</v>
      </c>
      <c r="S44" s="86" t="s">
        <v>171</v>
      </c>
      <c r="T44" s="4">
        <f ca="1">IFERROR(__xludf.DUMMYFUNCTION("GOOGLEFINANCE(""bom:""&amp;R44,""MARKETCAP"")/10000000"),7.322883)</f>
        <v>7.322883</v>
      </c>
    </row>
    <row r="45" spans="1:21" ht="14.4" x14ac:dyDescent="0.3">
      <c r="B45" s="85" t="s">
        <v>4</v>
      </c>
      <c r="C45" s="85" t="s">
        <v>172</v>
      </c>
      <c r="F45" s="85" t="s">
        <v>4</v>
      </c>
      <c r="G45" s="85" t="s">
        <v>173</v>
      </c>
      <c r="H45" s="85" t="s">
        <v>174</v>
      </c>
      <c r="I45" s="85" t="s">
        <v>175</v>
      </c>
      <c r="R45" s="90">
        <v>534422</v>
      </c>
      <c r="S45" s="86" t="s">
        <v>176</v>
      </c>
      <c r="T45" s="4">
        <f ca="1">IFERROR(__xludf.DUMMYFUNCTION("GOOGLEFINANCE(""bom:""&amp;R45,""MARKETCAP"")/10000000"),5.3129999)</f>
        <v>5.3129999000000003</v>
      </c>
    </row>
    <row r="46" spans="1:21" ht="14.4" x14ac:dyDescent="0.3">
      <c r="B46" s="86" t="s">
        <v>5</v>
      </c>
      <c r="C46" s="97">
        <v>0.13100000000000001</v>
      </c>
      <c r="F46" s="86" t="s">
        <v>5</v>
      </c>
      <c r="G46" s="97">
        <v>0.11</v>
      </c>
      <c r="H46" s="98">
        <v>0.23</v>
      </c>
      <c r="I46" s="42">
        <v>0.19800000000000001</v>
      </c>
    </row>
    <row r="47" spans="1:21" ht="14.4" x14ac:dyDescent="0.3">
      <c r="B47" s="86" t="s">
        <v>146</v>
      </c>
      <c r="C47" s="97">
        <v>0.13400000000000001</v>
      </c>
      <c r="F47" s="86" t="s">
        <v>146</v>
      </c>
      <c r="G47" s="97">
        <v>0.32</v>
      </c>
      <c r="H47" s="98">
        <v>0.26</v>
      </c>
      <c r="I47" s="42">
        <v>0.23</v>
      </c>
      <c r="T47" s="66">
        <f ca="1">SUM(T19:T45)</f>
        <v>60126.659019399987</v>
      </c>
      <c r="U47" s="33">
        <f ca="1">T47*80%</f>
        <v>48101.327215519996</v>
      </c>
    </row>
    <row r="48" spans="1:21" ht="14.4" x14ac:dyDescent="0.3">
      <c r="B48" s="86" t="s">
        <v>147</v>
      </c>
      <c r="C48" s="97">
        <v>9.7000000000000003E-2</v>
      </c>
      <c r="F48" s="86" t="s">
        <v>147</v>
      </c>
      <c r="G48" s="97">
        <v>0.13400000000000001</v>
      </c>
      <c r="H48" s="98">
        <v>0.312</v>
      </c>
      <c r="I48" s="42">
        <v>0.13400000000000001</v>
      </c>
    </row>
    <row r="49" spans="2:9" ht="14.4" x14ac:dyDescent="0.3">
      <c r="B49" s="86" t="s">
        <v>148</v>
      </c>
      <c r="C49" s="97">
        <v>7.1999999999999995E-2</v>
      </c>
      <c r="F49" s="86" t="s">
        <v>148</v>
      </c>
      <c r="G49" s="97">
        <v>0.19600000000000001</v>
      </c>
      <c r="H49" s="67">
        <v>0.46</v>
      </c>
      <c r="I49" s="42">
        <v>0.182</v>
      </c>
    </row>
    <row r="50" spans="2:9" ht="14.4" x14ac:dyDescent="0.3">
      <c r="B50" s="86" t="s">
        <v>149</v>
      </c>
      <c r="C50" s="97">
        <v>0.32</v>
      </c>
      <c r="F50" s="86" t="s">
        <v>149</v>
      </c>
      <c r="G50" s="97">
        <v>0.217</v>
      </c>
      <c r="H50" s="98">
        <v>0.94199999999999995</v>
      </c>
      <c r="I50" s="42">
        <v>0.13900000000000001</v>
      </c>
    </row>
    <row r="51" spans="2:9" ht="14.4" x14ac:dyDescent="0.3">
      <c r="B51" s="86" t="s">
        <v>150</v>
      </c>
      <c r="C51" s="97">
        <v>7.6999999999999999E-2</v>
      </c>
      <c r="F51" s="86" t="s">
        <v>150</v>
      </c>
      <c r="G51" s="97">
        <v>9.8000000000000004E-2</v>
      </c>
      <c r="H51" s="98">
        <v>0.24299999999999999</v>
      </c>
      <c r="I51" s="42">
        <v>0.16300000000000001</v>
      </c>
    </row>
    <row r="52" spans="2:9" ht="14.4" x14ac:dyDescent="0.3">
      <c r="B52" s="86" t="s">
        <v>151</v>
      </c>
      <c r="C52" s="99">
        <v>0.26</v>
      </c>
      <c r="F52" s="86" t="s">
        <v>151</v>
      </c>
      <c r="G52" s="99">
        <v>0.52</v>
      </c>
      <c r="H52" s="67">
        <v>0.93</v>
      </c>
      <c r="I52" s="42">
        <v>0.13900000000000001</v>
      </c>
    </row>
    <row r="53" spans="2:9" ht="14.4" x14ac:dyDescent="0.3">
      <c r="B53" s="86" t="s">
        <v>152</v>
      </c>
      <c r="C53" s="67">
        <v>0.45</v>
      </c>
      <c r="F53" s="86" t="s">
        <v>152</v>
      </c>
      <c r="G53" s="67">
        <v>-0.24</v>
      </c>
      <c r="H53" s="67">
        <v>4.0199999999999996</v>
      </c>
      <c r="I53" s="42">
        <v>0.25</v>
      </c>
    </row>
    <row r="54" spans="2:9" ht="14.4" x14ac:dyDescent="0.3">
      <c r="B54" s="95" t="s">
        <v>137</v>
      </c>
      <c r="C54" s="100">
        <v>0.16</v>
      </c>
      <c r="F54" s="95" t="s">
        <v>137</v>
      </c>
      <c r="G54" s="101">
        <f t="shared" ref="G54:I54" si="0">MEDIAN(G46:G53)</f>
        <v>0.16500000000000001</v>
      </c>
      <c r="H54" s="101">
        <f t="shared" si="0"/>
        <v>0.38600000000000001</v>
      </c>
      <c r="I54" s="101">
        <f t="shared" si="0"/>
        <v>0.17249999999999999</v>
      </c>
    </row>
    <row r="71" spans="1:11" ht="13.8" x14ac:dyDescent="0.3">
      <c r="A71" s="81" t="s">
        <v>30</v>
      </c>
    </row>
    <row r="72" spans="1:11" ht="13.8" x14ac:dyDescent="0.3">
      <c r="B72" s="85" t="s">
        <v>4</v>
      </c>
      <c r="C72" s="102" t="s">
        <v>38</v>
      </c>
      <c r="F72" s="81" t="s">
        <v>4</v>
      </c>
      <c r="G72" s="103" t="s">
        <v>40</v>
      </c>
      <c r="J72" s="81" t="s">
        <v>4</v>
      </c>
      <c r="K72" s="81" t="s">
        <v>39</v>
      </c>
    </row>
    <row r="73" spans="1:11" ht="14.4" x14ac:dyDescent="0.3">
      <c r="B73" s="33" t="s">
        <v>5</v>
      </c>
      <c r="C73" s="104">
        <v>6.9213732004429679E-2</v>
      </c>
      <c r="F73" s="105" t="s">
        <v>5</v>
      </c>
      <c r="G73" s="106">
        <v>8.973684210526315</v>
      </c>
      <c r="J73" s="105" t="s">
        <v>5</v>
      </c>
      <c r="K73" s="107">
        <v>0.26134969325153373</v>
      </c>
    </row>
    <row r="74" spans="1:11" ht="14.4" x14ac:dyDescent="0.3">
      <c r="B74" s="33" t="s">
        <v>147</v>
      </c>
      <c r="C74" s="104">
        <v>4.1944709246901808E-2</v>
      </c>
      <c r="F74" s="105" t="s">
        <v>147</v>
      </c>
      <c r="G74" s="106">
        <v>7.3703703703703702</v>
      </c>
      <c r="J74" s="105" t="s">
        <v>147</v>
      </c>
      <c r="K74" s="107">
        <v>0.30417495029821073</v>
      </c>
    </row>
    <row r="75" spans="1:11" ht="14.4" x14ac:dyDescent="0.3">
      <c r="B75" s="33" t="s">
        <v>177</v>
      </c>
      <c r="C75" s="104">
        <v>0.42237061769616024</v>
      </c>
      <c r="F75" s="105" t="s">
        <v>177</v>
      </c>
      <c r="G75" s="106">
        <v>5.7142857142857144</v>
      </c>
      <c r="J75" s="105" t="s">
        <v>177</v>
      </c>
      <c r="K75" s="107">
        <v>0.35205183585313177</v>
      </c>
    </row>
    <row r="76" spans="1:11" ht="14.4" x14ac:dyDescent="0.3">
      <c r="B76" s="33" t="s">
        <v>148</v>
      </c>
      <c r="C76" s="104">
        <v>4.9032072840620132E-2</v>
      </c>
      <c r="F76" s="105" t="s">
        <v>148</v>
      </c>
      <c r="G76" s="106">
        <v>34.617021276595743</v>
      </c>
      <c r="J76" s="105" t="s">
        <v>148</v>
      </c>
      <c r="K76" s="107">
        <v>0.17724274072449339</v>
      </c>
    </row>
    <row r="77" spans="1:11" ht="14.4" x14ac:dyDescent="0.3">
      <c r="B77" s="33" t="s">
        <v>149</v>
      </c>
      <c r="C77" s="104">
        <v>9.2715231788079472E-2</v>
      </c>
      <c r="F77" s="105" t="s">
        <v>149</v>
      </c>
      <c r="G77" s="106">
        <v>8.625</v>
      </c>
      <c r="J77" s="105" t="s">
        <v>149</v>
      </c>
      <c r="K77" s="107">
        <v>0.29897864438254412</v>
      </c>
    </row>
    <row r="79" spans="1:11" ht="14.4" x14ac:dyDescent="0.3">
      <c r="B79" s="95" t="s">
        <v>137</v>
      </c>
      <c r="C79" s="95">
        <v>0.11</v>
      </c>
      <c r="F79" s="95" t="s">
        <v>137</v>
      </c>
      <c r="G79" s="108">
        <v>13</v>
      </c>
      <c r="J79" s="95" t="s">
        <v>137</v>
      </c>
      <c r="K79" s="108">
        <v>0.28000000000000003</v>
      </c>
    </row>
    <row r="96" spans="1:1" ht="13.8" x14ac:dyDescent="0.3">
      <c r="A96" s="81" t="s">
        <v>29</v>
      </c>
    </row>
    <row r="97" spans="2:12" ht="13.8" x14ac:dyDescent="0.3">
      <c r="B97" s="85" t="s">
        <v>4</v>
      </c>
      <c r="C97" s="85" t="s">
        <v>178</v>
      </c>
      <c r="D97" s="85" t="s">
        <v>179</v>
      </c>
      <c r="G97" s="81" t="s">
        <v>4</v>
      </c>
      <c r="H97" s="81" t="s">
        <v>180</v>
      </c>
      <c r="J97" s="66"/>
      <c r="K97" s="81" t="s">
        <v>4</v>
      </c>
      <c r="L97" s="81" t="s">
        <v>181</v>
      </c>
    </row>
    <row r="98" spans="2:12" ht="14.4" x14ac:dyDescent="0.3">
      <c r="B98" s="13" t="s">
        <v>5</v>
      </c>
      <c r="C98" s="109">
        <v>0.11948438274665345</v>
      </c>
      <c r="D98" s="109">
        <v>0.16418798334324808</v>
      </c>
      <c r="G98" s="105" t="s">
        <v>5</v>
      </c>
      <c r="H98" s="106">
        <v>2.2908704883227178</v>
      </c>
      <c r="J98" s="66"/>
      <c r="K98" s="105" t="s">
        <v>5</v>
      </c>
      <c r="L98" s="110">
        <v>15.56271690629648</v>
      </c>
    </row>
    <row r="99" spans="2:12" ht="14.4" x14ac:dyDescent="0.3">
      <c r="B99" s="13" t="s">
        <v>147</v>
      </c>
      <c r="C99" s="109">
        <v>0.12456445993031359</v>
      </c>
      <c r="D99" s="109">
        <v>0.1050228310502283</v>
      </c>
      <c r="G99" s="105" t="s">
        <v>147</v>
      </c>
      <c r="H99" s="106">
        <v>1.208</v>
      </c>
      <c r="J99" s="66"/>
      <c r="K99" s="105" t="s">
        <v>147</v>
      </c>
      <c r="L99" s="110">
        <v>38.789198606271775</v>
      </c>
    </row>
    <row r="100" spans="2:12" ht="14.4" x14ac:dyDescent="0.3">
      <c r="B100" s="13" t="s">
        <v>177</v>
      </c>
      <c r="C100" s="109">
        <v>0.18518518518518517</v>
      </c>
      <c r="D100" s="109">
        <v>0.21938775510204081</v>
      </c>
      <c r="G100" s="105" t="s">
        <v>177</v>
      </c>
      <c r="H100" s="106">
        <v>4.0769230769230766</v>
      </c>
      <c r="J100" s="66"/>
      <c r="K100" s="105" t="s">
        <v>177</v>
      </c>
      <c r="L100" s="110">
        <v>7.9520697167755996</v>
      </c>
    </row>
    <row r="101" spans="2:12" ht="14.4" x14ac:dyDescent="0.3">
      <c r="B101" s="13" t="s">
        <v>148</v>
      </c>
      <c r="C101" s="109">
        <v>0.12144212523719165</v>
      </c>
      <c r="D101" s="109">
        <v>0.12514354066985647</v>
      </c>
      <c r="G101" s="105" t="s">
        <v>148</v>
      </c>
      <c r="H101" s="106">
        <v>3.0461897129535189</v>
      </c>
      <c r="J101" s="66"/>
      <c r="K101" s="105" t="s">
        <v>148</v>
      </c>
      <c r="L101" s="110">
        <v>38.342314990512335</v>
      </c>
    </row>
    <row r="102" spans="2:12" ht="14.4" x14ac:dyDescent="0.3">
      <c r="B102" s="13" t="s">
        <v>149</v>
      </c>
      <c r="C102" s="109">
        <v>0.12731006160164271</v>
      </c>
      <c r="D102" s="109">
        <v>8.3885209713024281E-2</v>
      </c>
      <c r="G102" s="105" t="s">
        <v>149</v>
      </c>
      <c r="H102" s="106">
        <v>1.7925311203319503</v>
      </c>
      <c r="J102" s="66"/>
      <c r="K102" s="105" t="s">
        <v>149</v>
      </c>
      <c r="L102" s="110">
        <v>119.16837782340863</v>
      </c>
    </row>
    <row r="103" spans="2:12" ht="14.4" x14ac:dyDescent="0.3">
      <c r="B103" s="13" t="s">
        <v>152</v>
      </c>
      <c r="C103" s="109">
        <v>-9.3396226415094333E-2</v>
      </c>
      <c r="D103" s="109">
        <v>-4.6309696092619389E-2</v>
      </c>
    </row>
    <row r="104" spans="2:12" ht="14.4" x14ac:dyDescent="0.3">
      <c r="B104" s="111" t="s">
        <v>151</v>
      </c>
      <c r="C104" s="112">
        <v>0.41935483870967744</v>
      </c>
      <c r="D104" s="112">
        <v>0.40579710144927539</v>
      </c>
    </row>
    <row r="106" spans="2:12" ht="14.4" x14ac:dyDescent="0.3">
      <c r="B106" s="95" t="s">
        <v>137</v>
      </c>
      <c r="C106" s="113">
        <v>9.11E-2</v>
      </c>
      <c r="D106" s="114">
        <v>0.14299999999999999</v>
      </c>
      <c r="G106" s="95" t="s">
        <v>137</v>
      </c>
      <c r="H106" s="108">
        <v>2.1</v>
      </c>
      <c r="K106" s="95" t="s">
        <v>137</v>
      </c>
      <c r="L106" s="108">
        <v>27</v>
      </c>
    </row>
    <row r="123" spans="1:8" ht="13.8" x14ac:dyDescent="0.3">
      <c r="A123" s="81" t="s">
        <v>32</v>
      </c>
    </row>
    <row r="124" spans="1:8" ht="13.8" x14ac:dyDescent="0.3">
      <c r="B124" s="85" t="s">
        <v>4</v>
      </c>
      <c r="C124" s="85" t="s">
        <v>44</v>
      </c>
      <c r="D124" s="85" t="s">
        <v>47</v>
      </c>
      <c r="G124" s="85" t="s">
        <v>4</v>
      </c>
      <c r="H124" s="85" t="s">
        <v>45</v>
      </c>
    </row>
    <row r="125" spans="1:8" ht="14.4" x14ac:dyDescent="0.3">
      <c r="B125" s="13" t="s">
        <v>5</v>
      </c>
      <c r="C125" s="115">
        <v>55.47</v>
      </c>
      <c r="D125" s="115">
        <v>10.223255813953488</v>
      </c>
      <c r="G125" s="13" t="s">
        <v>5</v>
      </c>
      <c r="H125" s="109">
        <v>1.8030027297543223E-2</v>
      </c>
    </row>
    <row r="126" spans="1:8" ht="14.4" x14ac:dyDescent="0.3">
      <c r="B126" s="13" t="s">
        <v>147</v>
      </c>
      <c r="C126" s="115">
        <v>67.599999999999994</v>
      </c>
      <c r="D126" s="115">
        <v>7.8312678741658717</v>
      </c>
      <c r="G126" s="13" t="s">
        <v>147</v>
      </c>
      <c r="H126" s="109">
        <v>1.4790018259281801E-2</v>
      </c>
    </row>
    <row r="127" spans="1:8" ht="14.4" x14ac:dyDescent="0.3">
      <c r="B127" s="13" t="s">
        <v>177</v>
      </c>
      <c r="C127" s="115">
        <v>56.9</v>
      </c>
      <c r="D127" s="115">
        <v>10.45575959933222</v>
      </c>
      <c r="G127" s="13" t="s">
        <v>177</v>
      </c>
      <c r="H127" s="109">
        <v>1.7579434775666616E-2</v>
      </c>
    </row>
    <row r="128" spans="1:8" ht="14.4" x14ac:dyDescent="0.3">
      <c r="B128" s="13" t="s">
        <v>148</v>
      </c>
      <c r="C128" s="115">
        <v>54.66</v>
      </c>
      <c r="D128" s="115">
        <v>7.2555693749487338</v>
      </c>
      <c r="G128" s="13" t="s">
        <v>148</v>
      </c>
      <c r="H128" s="109">
        <v>1.8296058044730345E-2</v>
      </c>
    </row>
    <row r="129" spans="2:8" ht="14.4" x14ac:dyDescent="0.3">
      <c r="B129" s="111" t="s">
        <v>149</v>
      </c>
      <c r="C129" s="116">
        <v>36.04</v>
      </c>
      <c r="D129" s="116">
        <v>2.6865165562913909</v>
      </c>
      <c r="G129" s="111" t="s">
        <v>149</v>
      </c>
      <c r="H129" s="112">
        <v>2.7751045199968447E-2</v>
      </c>
    </row>
    <row r="131" spans="2:8" ht="14.4" x14ac:dyDescent="0.3">
      <c r="B131" s="95" t="s">
        <v>137</v>
      </c>
      <c r="C131" s="117">
        <f t="shared" ref="C131:D131" si="1">AVERAGEA(C125:C129)</f>
        <v>54.134</v>
      </c>
      <c r="D131" s="117">
        <f t="shared" si="1"/>
        <v>7.6904738437383404</v>
      </c>
      <c r="G131" s="95" t="s">
        <v>137</v>
      </c>
      <c r="H131" s="118">
        <f>AVERAGEA(H125:H129)</f>
        <v>1.9289316715438088E-2</v>
      </c>
    </row>
    <row r="150" spans="1:41" ht="13.8" x14ac:dyDescent="0.3">
      <c r="A150" s="81" t="s">
        <v>143</v>
      </c>
      <c r="B150" s="81" t="s">
        <v>4</v>
      </c>
      <c r="C150" s="81" t="s">
        <v>182</v>
      </c>
      <c r="D150" s="81" t="s">
        <v>140</v>
      </c>
      <c r="E150" s="81" t="s">
        <v>183</v>
      </c>
      <c r="F150" s="81" t="s">
        <v>184</v>
      </c>
      <c r="G150" s="81" t="s">
        <v>185</v>
      </c>
      <c r="H150" s="81" t="s">
        <v>186</v>
      </c>
      <c r="I150" s="81" t="s">
        <v>11</v>
      </c>
      <c r="J150" s="81" t="s">
        <v>187</v>
      </c>
      <c r="K150" s="81" t="s">
        <v>13</v>
      </c>
      <c r="L150" s="81" t="s">
        <v>188</v>
      </c>
      <c r="M150" s="81" t="s">
        <v>15</v>
      </c>
      <c r="N150" s="81" t="s">
        <v>63</v>
      </c>
      <c r="O150" s="81" t="s">
        <v>189</v>
      </c>
      <c r="P150" s="81" t="s">
        <v>190</v>
      </c>
      <c r="Q150" s="81" t="s">
        <v>191</v>
      </c>
      <c r="R150" s="81" t="s">
        <v>192</v>
      </c>
      <c r="S150" s="81" t="s">
        <v>193</v>
      </c>
      <c r="T150" s="81" t="s">
        <v>194</v>
      </c>
      <c r="U150" s="81" t="s">
        <v>195</v>
      </c>
      <c r="V150" s="81" t="s">
        <v>196</v>
      </c>
      <c r="W150" s="119" t="s">
        <v>197</v>
      </c>
      <c r="X150" s="81" t="s">
        <v>198</v>
      </c>
      <c r="Y150" s="120" t="s">
        <v>199</v>
      </c>
      <c r="Z150" s="121" t="s">
        <v>200</v>
      </c>
      <c r="AA150" s="120" t="s">
        <v>172</v>
      </c>
      <c r="AB150" s="120" t="s">
        <v>178</v>
      </c>
      <c r="AC150" s="120" t="s">
        <v>179</v>
      </c>
      <c r="AD150" s="122" t="s">
        <v>40</v>
      </c>
      <c r="AE150" s="121" t="s">
        <v>180</v>
      </c>
      <c r="AF150" s="122" t="s">
        <v>181</v>
      </c>
      <c r="AG150" s="123" t="s">
        <v>38</v>
      </c>
      <c r="AH150" s="120" t="s">
        <v>39</v>
      </c>
      <c r="AI150" s="120" t="s">
        <v>41</v>
      </c>
      <c r="AJ150" s="120" t="s">
        <v>201</v>
      </c>
      <c r="AK150" s="120" t="s">
        <v>43</v>
      </c>
      <c r="AL150" s="120" t="s">
        <v>44</v>
      </c>
      <c r="AM150" s="120" t="s">
        <v>45</v>
      </c>
      <c r="AN150" s="120" t="s">
        <v>46</v>
      </c>
      <c r="AO150" s="120" t="s">
        <v>47</v>
      </c>
    </row>
    <row r="151" spans="1:41" ht="14.4" x14ac:dyDescent="0.3">
      <c r="A151" s="124">
        <v>539524</v>
      </c>
      <c r="B151" s="125" t="s">
        <v>5</v>
      </c>
      <c r="C151" s="9">
        <f ca="1">IFERROR(__xludf.DUMMYFUNCTION("GOOGLEFINANCE(""bom:""&amp;A151,""price"")"),3055.35)</f>
        <v>3055.35</v>
      </c>
      <c r="D151" s="55">
        <f ca="1">IFERROR(__xludf.DUMMYFUNCTION("GOOGLEFINANCE(""bom:""&amp;A151,""marketcap"")/10000000"),25410.7530841)</f>
        <v>25410.753084100001</v>
      </c>
      <c r="E151" s="9">
        <v>1079</v>
      </c>
      <c r="F151" s="9">
        <v>471</v>
      </c>
      <c r="G151" s="9">
        <v>2445</v>
      </c>
      <c r="H151" s="9">
        <v>639</v>
      </c>
      <c r="I151" s="9">
        <v>84</v>
      </c>
      <c r="J151" s="9">
        <v>1806</v>
      </c>
      <c r="K151" s="9">
        <v>125</v>
      </c>
      <c r="L151" s="9">
        <v>86</v>
      </c>
      <c r="M151" s="9">
        <v>10</v>
      </c>
      <c r="N151" s="9">
        <f ca="1">IFERROR(__xludf.DUMMYFUNCTION("GOOGLEFINANCE(""bom:""&amp;A151,""EPS"")"),48.17)</f>
        <v>48.17</v>
      </c>
      <c r="O151" s="126">
        <f t="shared" ref="O151:O170" ca="1" si="2">D151/$D$172</f>
        <v>0.43793745472103046</v>
      </c>
      <c r="P151" s="9">
        <v>1057</v>
      </c>
      <c r="Q151" s="9">
        <v>2017</v>
      </c>
      <c r="R151" s="9">
        <v>241</v>
      </c>
      <c r="S151" s="9">
        <v>1681</v>
      </c>
      <c r="T151" s="9">
        <v>1526</v>
      </c>
      <c r="U151" s="9">
        <v>276</v>
      </c>
      <c r="V151" s="9">
        <v>184</v>
      </c>
      <c r="W151" s="9">
        <v>38</v>
      </c>
      <c r="X151" s="9">
        <v>1714</v>
      </c>
      <c r="Y151" s="54">
        <f t="shared" ref="Y151:Y155" si="3">(S151/T151)-1</f>
        <v>0.10157273918741816</v>
      </c>
      <c r="Z151" s="54">
        <f t="shared" ref="Z151:Z155" si="4">(U151/V151)-1</f>
        <v>0.5</v>
      </c>
      <c r="AA151" s="54">
        <f t="shared" ref="AA151:AA157" si="5">(Q151/P151)^(1/5)-1</f>
        <v>0.13795786600301851</v>
      </c>
      <c r="AB151" s="50">
        <f t="shared" ref="AB151:AB157" si="6">R151/Q151</f>
        <v>0.11948438274665345</v>
      </c>
      <c r="AC151" s="50">
        <f t="shared" ref="AC151:AC155" si="7">U151/S151</f>
        <v>0.16418798334324808</v>
      </c>
      <c r="AD151" s="62">
        <f t="shared" ref="AD151:AD155" si="8">(Q151-X151+W151)/W151</f>
        <v>8.973684210526315</v>
      </c>
      <c r="AE151" s="62">
        <f t="shared" ref="AE151:AE155" si="9">E151/F151</f>
        <v>2.2908704883227178</v>
      </c>
      <c r="AF151" s="55">
        <f t="shared" ref="AF151:AF155" si="10">(L151/Q151)*365</f>
        <v>15.56271690629648</v>
      </c>
      <c r="AG151" s="127">
        <f t="shared" ref="AG151:AG155" si="11">K151/J151</f>
        <v>6.9213732004429679E-2</v>
      </c>
      <c r="AH151" s="127">
        <f t="shared" ref="AH151:AH155" si="12">H151/G151</f>
        <v>0.26134969325153373</v>
      </c>
      <c r="AI151" s="9"/>
      <c r="AJ151" s="9"/>
      <c r="AK151" s="9"/>
      <c r="AL151" s="9">
        <f ca="1">IFERROR(__xludf.DUMMYFUNCTION("GOOGLEFINANCE(""bom:""&amp;A151,""PE"")"),63.43)</f>
        <v>63.43</v>
      </c>
      <c r="AM151" s="50">
        <f t="shared" ref="AM151:AM155" ca="1" si="13">N151/C151</f>
        <v>1.5765787880275585E-2</v>
      </c>
      <c r="AN151" s="55">
        <f t="shared" ref="AN151:AN155" si="14">J151/(I151/M151)</f>
        <v>215</v>
      </c>
      <c r="AO151" s="55">
        <f t="shared" ref="AO151:AO155" ca="1" si="15">C151/AN151</f>
        <v>14.210930232558139</v>
      </c>
    </row>
    <row r="152" spans="1:41" ht="14.4" x14ac:dyDescent="0.3">
      <c r="A152" s="124">
        <v>542650</v>
      </c>
      <c r="B152" s="125" t="s">
        <v>147</v>
      </c>
      <c r="C152" s="9">
        <f ca="1">IFERROR(__xludf.DUMMYFUNCTION("GOOGLEFINANCE(""bom:""&amp;A152,""price"")"),2052)</f>
        <v>2052</v>
      </c>
      <c r="D152" s="55">
        <f ca="1">IFERROR(__xludf.DUMMYFUNCTION("GOOGLEFINANCE(""bom:""&amp;A152,""marketcap"")/10000000"),10539.0206663)</f>
        <v>10539.020666300001</v>
      </c>
      <c r="E152" s="9">
        <v>302</v>
      </c>
      <c r="F152" s="9">
        <v>250</v>
      </c>
      <c r="G152" s="9">
        <v>1509</v>
      </c>
      <c r="H152" s="9">
        <v>459</v>
      </c>
      <c r="I152" s="9">
        <v>10</v>
      </c>
      <c r="J152" s="9">
        <v>1049</v>
      </c>
      <c r="K152" s="9">
        <v>44</v>
      </c>
      <c r="L152" s="9">
        <v>122</v>
      </c>
      <c r="M152" s="9">
        <v>2</v>
      </c>
      <c r="N152" s="9">
        <f ca="1">IFERROR(__xludf.DUMMYFUNCTION("GOOGLEFINANCE(""bom:""&amp;A152,""EPS"")"),28.77)</f>
        <v>28.77</v>
      </c>
      <c r="O152" s="126">
        <f t="shared" ca="1" si="2"/>
        <v>0.18163302246794588</v>
      </c>
      <c r="P152" s="9">
        <v>644</v>
      </c>
      <c r="Q152" s="9">
        <v>1148</v>
      </c>
      <c r="R152" s="9">
        <v>143</v>
      </c>
      <c r="S152" s="9">
        <v>876</v>
      </c>
      <c r="T152" s="9">
        <v>865</v>
      </c>
      <c r="U152" s="9">
        <v>92</v>
      </c>
      <c r="V152" s="9">
        <v>109</v>
      </c>
      <c r="W152" s="9">
        <v>27</v>
      </c>
      <c r="X152" s="9">
        <v>976</v>
      </c>
      <c r="Y152" s="54">
        <f t="shared" si="3"/>
        <v>1.2716763005780285E-2</v>
      </c>
      <c r="Z152" s="54">
        <f t="shared" si="4"/>
        <v>-0.15596330275229353</v>
      </c>
      <c r="AA152" s="54">
        <f t="shared" si="5"/>
        <v>0.12256424197530347</v>
      </c>
      <c r="AB152" s="50">
        <f t="shared" si="6"/>
        <v>0.12456445993031359</v>
      </c>
      <c r="AC152" s="50">
        <f t="shared" si="7"/>
        <v>0.1050228310502283</v>
      </c>
      <c r="AD152" s="62">
        <f t="shared" si="8"/>
        <v>7.3703703703703702</v>
      </c>
      <c r="AE152" s="62">
        <f t="shared" si="9"/>
        <v>1.208</v>
      </c>
      <c r="AF152" s="55">
        <f t="shared" si="10"/>
        <v>38.789198606271775</v>
      </c>
      <c r="AG152" s="127">
        <f t="shared" si="11"/>
        <v>4.1944709246901808E-2</v>
      </c>
      <c r="AH152" s="127">
        <f t="shared" si="12"/>
        <v>0.30417495029821073</v>
      </c>
      <c r="AI152" s="9"/>
      <c r="AJ152" s="9"/>
      <c r="AK152" s="9"/>
      <c r="AL152" s="9">
        <f ca="1">IFERROR(__xludf.DUMMYFUNCTION("GOOGLEFINANCE(""bom:""&amp;A152,""PE"")"),71.48)</f>
        <v>71.48</v>
      </c>
      <c r="AM152" s="50">
        <f t="shared" ca="1" si="13"/>
        <v>1.402046783625731E-2</v>
      </c>
      <c r="AN152" s="55">
        <f t="shared" si="14"/>
        <v>209.8</v>
      </c>
      <c r="AO152" s="55">
        <f t="shared" ca="1" si="15"/>
        <v>9.7807435653002859</v>
      </c>
    </row>
    <row r="153" spans="1:41" ht="14.4" x14ac:dyDescent="0.3">
      <c r="A153" s="124">
        <v>543350</v>
      </c>
      <c r="B153" s="125" t="s">
        <v>177</v>
      </c>
      <c r="C153" s="9">
        <f ca="1">IFERROR(__xludf.DUMMYFUNCTION("GOOGLEFINANCE(""bom:""&amp;A153,""price"")"),1065.55)</f>
        <v>1065.55</v>
      </c>
      <c r="D153" s="55">
        <f ca="1">IFERROR(__xludf.DUMMYFUNCTION("GOOGLEFINANCE(""bom:""&amp;A153,""marketcap"")/10000000"),10859.5750898)</f>
        <v>10859.575089800001</v>
      </c>
      <c r="E153" s="9">
        <v>318</v>
      </c>
      <c r="F153" s="9">
        <v>78</v>
      </c>
      <c r="G153" s="9">
        <v>926</v>
      </c>
      <c r="H153" s="9">
        <v>326</v>
      </c>
      <c r="I153" s="9">
        <v>10</v>
      </c>
      <c r="J153" s="9">
        <v>599</v>
      </c>
      <c r="K153" s="9">
        <v>253</v>
      </c>
      <c r="L153" s="9">
        <v>10</v>
      </c>
      <c r="M153" s="9">
        <v>1</v>
      </c>
      <c r="N153" s="9">
        <f ca="1">IFERROR(__xludf.DUMMYFUNCTION("GOOGLEFINANCE(""bom:""&amp;A153,""EPS"")"),12.91)</f>
        <v>12.91</v>
      </c>
      <c r="O153" s="126">
        <f t="shared" ca="1" si="2"/>
        <v>0.18715756508431555</v>
      </c>
      <c r="P153" s="9">
        <v>302</v>
      </c>
      <c r="Q153" s="9">
        <v>459</v>
      </c>
      <c r="R153" s="9">
        <v>85</v>
      </c>
      <c r="S153" s="9">
        <v>392</v>
      </c>
      <c r="T153" s="9">
        <v>338</v>
      </c>
      <c r="U153" s="9">
        <v>86</v>
      </c>
      <c r="V153" s="9">
        <v>57</v>
      </c>
      <c r="W153" s="9">
        <v>21</v>
      </c>
      <c r="X153" s="9">
        <v>360</v>
      </c>
      <c r="Y153" s="54">
        <f t="shared" si="3"/>
        <v>0.15976331360946738</v>
      </c>
      <c r="Z153" s="54">
        <f t="shared" si="4"/>
        <v>0.50877192982456143</v>
      </c>
      <c r="AA153" s="54">
        <f t="shared" si="5"/>
        <v>8.7329443955939778E-2</v>
      </c>
      <c r="AB153" s="50">
        <f t="shared" si="6"/>
        <v>0.18518518518518517</v>
      </c>
      <c r="AC153" s="50">
        <f t="shared" si="7"/>
        <v>0.21938775510204081</v>
      </c>
      <c r="AD153" s="62">
        <f t="shared" si="8"/>
        <v>5.7142857142857144</v>
      </c>
      <c r="AE153" s="62">
        <f t="shared" si="9"/>
        <v>4.0769230769230766</v>
      </c>
      <c r="AF153" s="55">
        <f t="shared" si="10"/>
        <v>7.9520697167755996</v>
      </c>
      <c r="AG153" s="127">
        <f t="shared" si="11"/>
        <v>0.42237061769616024</v>
      </c>
      <c r="AH153" s="127">
        <f t="shared" si="12"/>
        <v>0.35205183585313177</v>
      </c>
      <c r="AI153" s="9"/>
      <c r="AJ153" s="9"/>
      <c r="AK153" s="9"/>
      <c r="AL153" s="9">
        <f ca="1">IFERROR(__xludf.DUMMYFUNCTION("GOOGLEFINANCE(""bom:""&amp;A153,""PE"")"),82.2)</f>
        <v>82.2</v>
      </c>
      <c r="AM153" s="50">
        <f t="shared" ca="1" si="13"/>
        <v>1.2115808737271833E-2</v>
      </c>
      <c r="AN153" s="55">
        <f t="shared" si="14"/>
        <v>59.9</v>
      </c>
      <c r="AO153" s="55">
        <f t="shared" ca="1" si="15"/>
        <v>17.78881469115192</v>
      </c>
    </row>
    <row r="154" spans="1:41" ht="14.4" x14ac:dyDescent="0.3">
      <c r="A154" s="124">
        <v>539871</v>
      </c>
      <c r="B154" s="125" t="s">
        <v>148</v>
      </c>
      <c r="C154" s="9">
        <f ca="1">IFERROR(__xludf.DUMMYFUNCTION("GOOGLEFINANCE(""bom:""&amp;A154,""price"")"),918)</f>
        <v>918</v>
      </c>
      <c r="D154" s="55">
        <f ca="1">IFERROR(__xludf.DUMMYFUNCTION("GOOGLEFINANCE(""bom:""&amp;A154,""marketcap"")/10000000"),4862.7577856)</f>
        <v>4862.7577855999998</v>
      </c>
      <c r="E154" s="9">
        <v>209.06</v>
      </c>
      <c r="F154" s="9">
        <v>68.63</v>
      </c>
      <c r="G154" s="9">
        <v>592.69000000000005</v>
      </c>
      <c r="H154" s="9">
        <v>105.05</v>
      </c>
      <c r="I154" s="9">
        <v>52.93</v>
      </c>
      <c r="J154" s="9">
        <v>487.64</v>
      </c>
      <c r="K154" s="9">
        <v>23.91</v>
      </c>
      <c r="L154" s="9">
        <v>55.36</v>
      </c>
      <c r="M154" s="9">
        <v>10</v>
      </c>
      <c r="N154" s="9">
        <f ca="1">IFERROR(__xludf.DUMMYFUNCTION("GOOGLEFINANCE(""bom:""&amp;A154,""EPS"")"),15.74)</f>
        <v>15.74</v>
      </c>
      <c r="O154" s="126">
        <f t="shared" ca="1" si="2"/>
        <v>8.3806401191748231E-2</v>
      </c>
      <c r="P154" s="9">
        <v>356</v>
      </c>
      <c r="Q154" s="9">
        <v>527</v>
      </c>
      <c r="R154" s="9">
        <v>64</v>
      </c>
      <c r="S154" s="9">
        <v>418</v>
      </c>
      <c r="T154" s="9">
        <v>391</v>
      </c>
      <c r="U154" s="9">
        <v>52.31</v>
      </c>
      <c r="V154" s="9">
        <v>51.87</v>
      </c>
      <c r="W154" s="9">
        <v>2.35</v>
      </c>
      <c r="X154" s="9">
        <v>448</v>
      </c>
      <c r="Y154" s="54">
        <f t="shared" si="3"/>
        <v>6.9053708439897665E-2</v>
      </c>
      <c r="Z154" s="54">
        <f t="shared" si="4"/>
        <v>8.4827453248506046E-3</v>
      </c>
      <c r="AA154" s="54">
        <f t="shared" si="5"/>
        <v>8.1613560354382608E-2</v>
      </c>
      <c r="AB154" s="50">
        <f t="shared" si="6"/>
        <v>0.12144212523719165</v>
      </c>
      <c r="AC154" s="50">
        <f t="shared" si="7"/>
        <v>0.12514354066985647</v>
      </c>
      <c r="AD154" s="62">
        <f t="shared" si="8"/>
        <v>34.617021276595743</v>
      </c>
      <c r="AE154" s="62">
        <f t="shared" si="9"/>
        <v>3.0461897129535189</v>
      </c>
      <c r="AF154" s="55">
        <f t="shared" si="10"/>
        <v>38.342314990512335</v>
      </c>
      <c r="AG154" s="127">
        <f t="shared" si="11"/>
        <v>4.9032072840620132E-2</v>
      </c>
      <c r="AH154" s="127">
        <f t="shared" si="12"/>
        <v>0.17724274072449339</v>
      </c>
      <c r="AI154" s="9"/>
      <c r="AJ154" s="9"/>
      <c r="AK154" s="9"/>
      <c r="AL154" s="9">
        <f ca="1">IFERROR(__xludf.DUMMYFUNCTION("GOOGLEFINANCE(""bom:""&amp;A154,""PE"")"),58.52)</f>
        <v>58.52</v>
      </c>
      <c r="AM154" s="50">
        <f t="shared" ca="1" si="13"/>
        <v>1.7145969498910677E-2</v>
      </c>
      <c r="AN154" s="55">
        <f t="shared" si="14"/>
        <v>92.12922728131494</v>
      </c>
      <c r="AO154" s="55">
        <f t="shared" ca="1" si="15"/>
        <v>9.9642646214420481</v>
      </c>
    </row>
    <row r="155" spans="1:41" ht="14.4" x14ac:dyDescent="0.3">
      <c r="A155" s="124">
        <v>543328</v>
      </c>
      <c r="B155" s="125" t="s">
        <v>149</v>
      </c>
      <c r="C155" s="9">
        <f ca="1">IFERROR(__xludf.DUMMYFUNCTION("GOOGLEFINANCE(""bom:""&amp;A155,""price"")"),910.3)</f>
        <v>910.3</v>
      </c>
      <c r="D155" s="55">
        <f ca="1">IFERROR(__xludf.DUMMYFUNCTION("GOOGLEFINANCE(""bom:""&amp;A155,""marketcap"")/10000000"),2935.4620027)</f>
        <v>2935.4620027000001</v>
      </c>
      <c r="E155" s="9">
        <v>432</v>
      </c>
      <c r="F155" s="9">
        <v>241</v>
      </c>
      <c r="G155" s="9">
        <v>1077</v>
      </c>
      <c r="H155" s="9">
        <v>322</v>
      </c>
      <c r="I155" s="9">
        <v>16</v>
      </c>
      <c r="J155" s="9">
        <v>755</v>
      </c>
      <c r="K155" s="9">
        <v>70</v>
      </c>
      <c r="L155" s="9">
        <v>159</v>
      </c>
      <c r="M155" s="9">
        <v>5</v>
      </c>
      <c r="N155" s="9">
        <f ca="1">IFERROR(__xludf.DUMMYFUNCTION("GOOGLEFINANCE(""bom:""&amp;A155,""EPS"")"),20.9)</f>
        <v>20.9</v>
      </c>
      <c r="O155" s="126">
        <f t="shared" ca="1" si="2"/>
        <v>5.0590738245263944E-2</v>
      </c>
      <c r="P155" s="9">
        <v>209</v>
      </c>
      <c r="Q155" s="9">
        <v>487</v>
      </c>
      <c r="R155" s="9">
        <v>62</v>
      </c>
      <c r="S155" s="9">
        <v>453</v>
      </c>
      <c r="T155" s="9">
        <v>354</v>
      </c>
      <c r="U155" s="9">
        <v>38</v>
      </c>
      <c r="V155" s="9">
        <v>43</v>
      </c>
      <c r="W155" s="9">
        <v>8</v>
      </c>
      <c r="X155" s="9">
        <v>426</v>
      </c>
      <c r="Y155" s="54">
        <f t="shared" si="3"/>
        <v>0.27966101694915246</v>
      </c>
      <c r="Z155" s="54">
        <f t="shared" si="4"/>
        <v>-0.11627906976744184</v>
      </c>
      <c r="AA155" s="54">
        <f t="shared" si="5"/>
        <v>0.18434037522590541</v>
      </c>
      <c r="AB155" s="50">
        <f t="shared" si="6"/>
        <v>0.12731006160164271</v>
      </c>
      <c r="AC155" s="50">
        <f t="shared" si="7"/>
        <v>8.3885209713024281E-2</v>
      </c>
      <c r="AD155" s="62">
        <f t="shared" si="8"/>
        <v>8.625</v>
      </c>
      <c r="AE155" s="62">
        <f t="shared" si="9"/>
        <v>1.7925311203319503</v>
      </c>
      <c r="AF155" s="55">
        <f t="shared" si="10"/>
        <v>119.16837782340863</v>
      </c>
      <c r="AG155" s="127">
        <f t="shared" si="11"/>
        <v>9.2715231788079472E-2</v>
      </c>
      <c r="AH155" s="127">
        <f t="shared" si="12"/>
        <v>0.29897864438254412</v>
      </c>
      <c r="AI155" s="9"/>
      <c r="AJ155" s="9"/>
      <c r="AK155" s="9"/>
      <c r="AL155" s="9">
        <f ca="1">IFERROR(__xludf.DUMMYFUNCTION("GOOGLEFINANCE(""bom:""&amp;A155,""PE"")"),43.63)</f>
        <v>43.63</v>
      </c>
      <c r="AM155" s="50">
        <f t="shared" ca="1" si="13"/>
        <v>2.2959463912995717E-2</v>
      </c>
      <c r="AN155" s="55">
        <f t="shared" si="14"/>
        <v>235.9375</v>
      </c>
      <c r="AO155" s="55">
        <f t="shared" ca="1" si="15"/>
        <v>3.8582251655629136</v>
      </c>
    </row>
    <row r="156" spans="1:41" ht="14.4" x14ac:dyDescent="0.3">
      <c r="A156" s="124">
        <v>533259</v>
      </c>
      <c r="B156" s="125" t="s">
        <v>152</v>
      </c>
      <c r="C156" s="9">
        <f ca="1">IFERROR(__xludf.DUMMYFUNCTION("GOOGLEFINANCE(""bom:""&amp;A156,""price"")"),317.15)</f>
        <v>317.14999999999998</v>
      </c>
      <c r="D156" s="55">
        <f ca="1">IFERROR(__xludf.DUMMYFUNCTION("GOOGLEFINANCE(""bom:""&amp;A156,""marketcap"")/10000000"),1013.6409257)</f>
        <v>1013.6409257</v>
      </c>
      <c r="O156" s="126">
        <f t="shared" ca="1" si="2"/>
        <v>1.7469428219342741E-2</v>
      </c>
      <c r="P156" s="33">
        <v>162</v>
      </c>
      <c r="Q156" s="33">
        <v>1060</v>
      </c>
      <c r="R156" s="33">
        <v>-99</v>
      </c>
      <c r="Y156" s="67">
        <f>(1382/Q156)-1</f>
        <v>0.30377358490566042</v>
      </c>
      <c r="AA156" s="54">
        <f t="shared" si="5"/>
        <v>0.45598925563360981</v>
      </c>
      <c r="AB156" s="50">
        <f t="shared" si="6"/>
        <v>-9.3396226415094333E-2</v>
      </c>
      <c r="AC156" s="50">
        <f>-64/1382</f>
        <v>-4.6309696092619389E-2</v>
      </c>
      <c r="AD156" s="62"/>
      <c r="AF156" s="55"/>
      <c r="AG156" s="127"/>
    </row>
    <row r="157" spans="1:41" ht="14.4" x14ac:dyDescent="0.3">
      <c r="A157" s="124">
        <v>532067</v>
      </c>
      <c r="B157" s="125" t="s">
        <v>151</v>
      </c>
      <c r="C157" s="9">
        <f ca="1">IFERROR(__xludf.DUMMYFUNCTION("GOOGLEFINANCE(""bom:""&amp;A157,""price"")"),1950)</f>
        <v>1950</v>
      </c>
      <c r="D157" s="55">
        <f ca="1">IFERROR(__xludf.DUMMYFUNCTION("GOOGLEFINANCE(""bom:""&amp;A157,""marketcap"")/10000000"),1648.7307149)</f>
        <v>1648.7307149000001</v>
      </c>
      <c r="O157" s="126">
        <f t="shared" ca="1" si="2"/>
        <v>2.8414778988013777E-2</v>
      </c>
      <c r="P157" s="33">
        <v>23</v>
      </c>
      <c r="Q157" s="33">
        <v>62</v>
      </c>
      <c r="R157" s="33">
        <v>26</v>
      </c>
      <c r="Y157" s="67">
        <f>(69/Q157)-1</f>
        <v>0.11290322580645151</v>
      </c>
      <c r="AA157" s="54">
        <f t="shared" si="5"/>
        <v>0.21936232030713176</v>
      </c>
      <c r="AB157" s="50">
        <f t="shared" si="6"/>
        <v>0.41935483870967744</v>
      </c>
      <c r="AC157" s="50">
        <f>28/69</f>
        <v>0.40579710144927539</v>
      </c>
      <c r="AD157" s="62"/>
      <c r="AF157" s="55"/>
      <c r="AG157" s="127"/>
    </row>
    <row r="158" spans="1:41" ht="14.4" x14ac:dyDescent="0.3">
      <c r="A158" s="124">
        <v>526139</v>
      </c>
      <c r="B158" s="125" t="s">
        <v>160</v>
      </c>
      <c r="C158" s="9">
        <f ca="1">IFERROR(__xludf.DUMMYFUNCTION("GOOGLEFINANCE(""bom:""&amp;A158,""price"")"),6.15)</f>
        <v>6.15</v>
      </c>
      <c r="D158" s="55">
        <f ca="1">IFERROR(__xludf.DUMMYFUNCTION("GOOGLEFINANCE(""bom:""&amp;A158,""marketcap"")/10000000"),46.5985507)</f>
        <v>46.598550699999997</v>
      </c>
      <c r="O158" s="126">
        <f t="shared" ca="1" si="2"/>
        <v>8.030950763130315E-4</v>
      </c>
    </row>
    <row r="159" spans="1:41" ht="14.4" x14ac:dyDescent="0.3">
      <c r="A159" s="124">
        <v>542248</v>
      </c>
      <c r="B159" s="125" t="s">
        <v>155</v>
      </c>
      <c r="C159" s="9">
        <f ca="1">IFERROR(__xludf.DUMMYFUNCTION("GOOGLEFINANCE(""bom:""&amp;A159,""price"")"),30.11)</f>
        <v>30.11</v>
      </c>
      <c r="D159" s="55">
        <f ca="1">IFERROR(__xludf.DUMMYFUNCTION("GOOGLEFINANCE(""bom:""&amp;A159,""marketcap"")/10000000"),68.2468456)</f>
        <v>68.2468456</v>
      </c>
      <c r="O159" s="126">
        <f t="shared" ca="1" si="2"/>
        <v>1.1761890627910812E-3</v>
      </c>
    </row>
    <row r="160" spans="1:41" ht="14.4" x14ac:dyDescent="0.3">
      <c r="A160" s="124">
        <v>514330</v>
      </c>
      <c r="B160" s="125" t="s">
        <v>154</v>
      </c>
      <c r="C160" s="9">
        <f ca="1">IFERROR(__xludf.DUMMYFUNCTION("GOOGLEFINANCE(""bom:""&amp;A160,""price"")"),324.85)</f>
        <v>324.85000000000002</v>
      </c>
      <c r="D160" s="55">
        <f ca="1">IFERROR(__xludf.DUMMYFUNCTION("GOOGLEFINANCE(""bom:""&amp;A160,""marketcap"")/10000000"),240.2812)</f>
        <v>240.28120000000001</v>
      </c>
      <c r="O160" s="126">
        <f t="shared" ca="1" si="2"/>
        <v>4.1410869169067697E-3</v>
      </c>
    </row>
    <row r="161" spans="1:41" ht="14.4" x14ac:dyDescent="0.3">
      <c r="A161" s="124">
        <v>530897</v>
      </c>
      <c r="B161" s="125" t="s">
        <v>157</v>
      </c>
      <c r="C161" s="9">
        <f ca="1">IFERROR(__xludf.DUMMYFUNCTION("GOOGLEFINANCE(""bom:""&amp;A161,""price"")"),180)</f>
        <v>180</v>
      </c>
      <c r="D161" s="55">
        <f ca="1">IFERROR(__xludf.DUMMYFUNCTION("GOOGLEFINANCE(""bom:""&amp;A161,""marketcap"")/10000000"),60.308982)</f>
        <v>60.308982</v>
      </c>
      <c r="O161" s="126">
        <f t="shared" ca="1" si="2"/>
        <v>1.0393852549935904E-3</v>
      </c>
    </row>
    <row r="162" spans="1:41" ht="14.4" x14ac:dyDescent="0.3">
      <c r="A162" s="124">
        <v>539428</v>
      </c>
      <c r="B162" s="125" t="s">
        <v>161</v>
      </c>
      <c r="C162" s="9">
        <f ca="1">IFERROR(__xludf.DUMMYFUNCTION("GOOGLEFINANCE(""bom:""&amp;A162,""price"")"),24)</f>
        <v>24</v>
      </c>
      <c r="D162" s="55">
        <f ca="1">IFERROR(__xludf.DUMMYFUNCTION("GOOGLEFINANCE(""bom:""&amp;A162,""marketcap"")/10000000"),48.9557526)</f>
        <v>48.955752599999997</v>
      </c>
      <c r="O162" s="126">
        <f t="shared" ca="1" si="2"/>
        <v>8.437198856971938E-4</v>
      </c>
    </row>
    <row r="163" spans="1:41" ht="14.4" x14ac:dyDescent="0.3">
      <c r="A163" s="124">
        <v>516110</v>
      </c>
      <c r="B163" s="125" t="s">
        <v>163</v>
      </c>
      <c r="C163" s="9">
        <f ca="1">IFERROR(__xludf.DUMMYFUNCTION("GOOGLEFINANCE(""bom:""&amp;A163,""price"")"),6.76)</f>
        <v>6.76</v>
      </c>
      <c r="D163" s="55">
        <f ca="1">IFERROR(__xludf.DUMMYFUNCTION("GOOGLEFINANCE(""bom:""&amp;A163,""marketcap"")/10000000"),36.838074)</f>
        <v>36.838073999999999</v>
      </c>
      <c r="O163" s="126">
        <f t="shared" ca="1" si="2"/>
        <v>6.3487974209153035E-4</v>
      </c>
    </row>
    <row r="164" spans="1:41" ht="14.4" x14ac:dyDescent="0.3">
      <c r="A164" s="124">
        <v>526301</v>
      </c>
      <c r="B164" s="125" t="s">
        <v>162</v>
      </c>
      <c r="C164" s="9">
        <f ca="1">IFERROR(__xludf.DUMMYFUNCTION("GOOGLEFINANCE(""bom:""&amp;A164,""price"")"),38.35)</f>
        <v>38.35</v>
      </c>
      <c r="D164" s="55">
        <f ca="1">IFERROR(__xludf.DUMMYFUNCTION("GOOGLEFINANCE(""bom:""&amp;A164,""marketcap"")/10000000"),38.2795917)</f>
        <v>38.279591699999997</v>
      </c>
      <c r="O164" s="126">
        <f t="shared" ca="1" si="2"/>
        <v>6.5972334237303192E-4</v>
      </c>
    </row>
    <row r="165" spans="1:41" ht="14.4" x14ac:dyDescent="0.3">
      <c r="A165" s="124">
        <v>526546</v>
      </c>
      <c r="B165" s="125" t="s">
        <v>159</v>
      </c>
      <c r="C165" s="9">
        <f ca="1">IFERROR(__xludf.DUMMYFUNCTION("GOOGLEFINANCE(""bom:""&amp;A165,""price"")"),90.08)</f>
        <v>90.08</v>
      </c>
      <c r="D165" s="55">
        <f ca="1">IFERROR(__xludf.DUMMYFUNCTION("GOOGLEFINANCE(""bom:""&amp;A165,""marketcap"")/10000000"),62.7434236)</f>
        <v>62.7434236</v>
      </c>
      <c r="O165" s="126">
        <f t="shared" ca="1" si="2"/>
        <v>1.0813412393141846E-3</v>
      </c>
    </row>
    <row r="166" spans="1:41" ht="14.4" x14ac:dyDescent="0.3">
      <c r="A166" s="124">
        <v>540788</v>
      </c>
      <c r="B166" s="125" t="s">
        <v>156</v>
      </c>
      <c r="C166" s="9">
        <f ca="1">IFERROR(__xludf.DUMMYFUNCTION("GOOGLEFINANCE(""bom:""&amp;A166,""price"")"),60.69)</f>
        <v>60.69</v>
      </c>
      <c r="D166" s="55">
        <f ca="1">IFERROR(__xludf.DUMMYFUNCTION("GOOGLEFINANCE(""bom:""&amp;A166,""marketcap"")/10000000"),62.4681548)</f>
        <v>62.468154800000001</v>
      </c>
      <c r="O166" s="126">
        <f t="shared" ca="1" si="2"/>
        <v>1.0765971643457201E-3</v>
      </c>
    </row>
    <row r="167" spans="1:41" ht="14.4" x14ac:dyDescent="0.3">
      <c r="A167" s="124">
        <v>523489</v>
      </c>
      <c r="B167" s="125" t="s">
        <v>165</v>
      </c>
      <c r="C167" s="9">
        <f ca="1">IFERROR(__xludf.DUMMYFUNCTION("GOOGLEFINANCE(""bom:""&amp;A167,""price"")"),40.15)</f>
        <v>40.15</v>
      </c>
      <c r="D167" s="55">
        <f ca="1">IFERROR(__xludf.DUMMYFUNCTION("GOOGLEFINANCE(""bom:""&amp;A167,""marketcap"")/10000000"),29.9877109)</f>
        <v>29.9877109</v>
      </c>
      <c r="O167" s="126">
        <f t="shared" ca="1" si="2"/>
        <v>5.1681828322803667E-4</v>
      </c>
    </row>
    <row r="168" spans="1:41" ht="14.4" x14ac:dyDescent="0.3">
      <c r="A168" s="124">
        <v>542918</v>
      </c>
      <c r="B168" s="125" t="s">
        <v>167</v>
      </c>
      <c r="C168" s="9">
        <f ca="1">IFERROR(__xludf.DUMMYFUNCTION("GOOGLEFINANCE(""bom:""&amp;A168,""price"")"),18.9)</f>
        <v>18.899999999999999</v>
      </c>
      <c r="D168" s="55">
        <f ca="1">IFERROR(__xludf.DUMMYFUNCTION("GOOGLEFINANCE(""bom:""&amp;A168,""marketcap"")/10000000"),19.4006917)</f>
        <v>19.400691699999999</v>
      </c>
      <c r="O168" s="126">
        <f t="shared" ca="1" si="2"/>
        <v>3.3435803790646859E-4</v>
      </c>
    </row>
    <row r="169" spans="1:41" ht="14.4" x14ac:dyDescent="0.3">
      <c r="A169" s="124">
        <v>539267</v>
      </c>
      <c r="B169" s="125" t="s">
        <v>164</v>
      </c>
      <c r="C169" s="9">
        <f ca="1">IFERROR(__xludf.DUMMYFUNCTION("GOOGLEFINANCE(""bom:""&amp;A169,""price"")"),22.95)</f>
        <v>22.95</v>
      </c>
      <c r="D169" s="55">
        <f ca="1">IFERROR(__xludf.DUMMYFUNCTION("GOOGLEFINANCE(""bom:""&amp;A169,""marketcap"")/10000000"),34.34139)</f>
        <v>34.341389999999997</v>
      </c>
      <c r="O169" s="126">
        <f t="shared" ca="1" si="2"/>
        <v>5.9185105134064984E-4</v>
      </c>
    </row>
    <row r="170" spans="1:41" ht="14.4" x14ac:dyDescent="0.3">
      <c r="A170" s="124">
        <v>534422</v>
      </c>
      <c r="B170" s="125" t="s">
        <v>176</v>
      </c>
      <c r="C170" s="9">
        <f ca="1">IFERROR(__xludf.DUMMYFUNCTION("GOOGLEFINANCE(""bom:""&amp;A170,""price"")"),5.06)</f>
        <v>5.0599999999999996</v>
      </c>
      <c r="D170" s="55">
        <f ca="1">IFERROR(__xludf.DUMMYFUNCTION("GOOGLEFINANCE(""bom:""&amp;A170,""marketcap"")/10000000"),5.3129999)</f>
        <v>5.3129999000000003</v>
      </c>
      <c r="O170" s="126">
        <f t="shared" ca="1" si="2"/>
        <v>9.1566025038234273E-5</v>
      </c>
    </row>
    <row r="171" spans="1:41" ht="14.4" x14ac:dyDescent="0.3">
      <c r="A171" s="128"/>
      <c r="B171" s="129"/>
      <c r="C171" s="130"/>
      <c r="D171" s="13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13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</row>
    <row r="172" spans="1:41" ht="14.4" x14ac:dyDescent="0.3">
      <c r="A172" s="128"/>
      <c r="B172" s="129" t="s">
        <v>137</v>
      </c>
      <c r="C172" s="130"/>
      <c r="D172" s="132">
        <f t="shared" ref="D172:X172" ca="1" si="16">SUM(D151:D170)</f>
        <v>58023.703636599996</v>
      </c>
      <c r="E172" s="130">
        <f t="shared" si="16"/>
        <v>2340.06</v>
      </c>
      <c r="F172" s="130">
        <f t="shared" si="16"/>
        <v>1108.6300000000001</v>
      </c>
      <c r="G172" s="130">
        <f t="shared" si="16"/>
        <v>6549.6900000000005</v>
      </c>
      <c r="H172" s="130">
        <f t="shared" si="16"/>
        <v>1851.05</v>
      </c>
      <c r="I172" s="130">
        <f t="shared" si="16"/>
        <v>172.93</v>
      </c>
      <c r="J172" s="130">
        <f t="shared" si="16"/>
        <v>4696.6399999999994</v>
      </c>
      <c r="K172" s="130">
        <f t="shared" si="16"/>
        <v>515.91000000000008</v>
      </c>
      <c r="L172" s="130">
        <f t="shared" si="16"/>
        <v>432.36</v>
      </c>
      <c r="M172" s="130">
        <f t="shared" si="16"/>
        <v>28</v>
      </c>
      <c r="N172" s="130">
        <f t="shared" ca="1" si="16"/>
        <v>126.48999999999998</v>
      </c>
      <c r="O172" s="131">
        <f t="shared" ca="1" si="16"/>
        <v>1</v>
      </c>
      <c r="P172" s="130">
        <f t="shared" si="16"/>
        <v>2753</v>
      </c>
      <c r="Q172" s="130">
        <f t="shared" si="16"/>
        <v>5760</v>
      </c>
      <c r="R172" s="130">
        <f t="shared" si="16"/>
        <v>522</v>
      </c>
      <c r="S172" s="130">
        <f t="shared" si="16"/>
        <v>3820</v>
      </c>
      <c r="T172" s="130">
        <f t="shared" si="16"/>
        <v>3474</v>
      </c>
      <c r="U172" s="130">
        <f t="shared" si="16"/>
        <v>544.30999999999995</v>
      </c>
      <c r="V172" s="130">
        <f t="shared" si="16"/>
        <v>444.87</v>
      </c>
      <c r="W172" s="130">
        <f t="shared" si="16"/>
        <v>96.35</v>
      </c>
      <c r="X172" s="130">
        <f t="shared" si="16"/>
        <v>3924</v>
      </c>
      <c r="Y172" s="54">
        <f>(S172/T172)-1</f>
        <v>9.9597006332757587E-2</v>
      </c>
      <c r="Z172" s="54">
        <f>(U172/V172)-1</f>
        <v>0.22352597388000972</v>
      </c>
      <c r="AA172" s="54">
        <f>(Q172/P172)^(1/5)-1</f>
        <v>0.1591062681943396</v>
      </c>
      <c r="AB172" s="50">
        <f>R172/Q172</f>
        <v>9.0624999999999997E-2</v>
      </c>
      <c r="AC172" s="50">
        <f>U172/S172</f>
        <v>0.1424895287958115</v>
      </c>
      <c r="AD172" s="62">
        <f>AVERAGE(AD151:AD155)</f>
        <v>13.060072314355628</v>
      </c>
      <c r="AE172" s="62">
        <f>E172/F172</f>
        <v>2.1107673434779861</v>
      </c>
      <c r="AF172" s="55">
        <f>(L172/Q172)*365</f>
        <v>27.397812500000001</v>
      </c>
      <c r="AG172" s="127">
        <f>K172/J172</f>
        <v>0.10984661374940385</v>
      </c>
      <c r="AH172" s="127">
        <f>H172/G172</f>
        <v>0.28261642917451052</v>
      </c>
      <c r="AI172" s="130"/>
      <c r="AJ172" s="130"/>
      <c r="AK172" s="130"/>
      <c r="AL172" s="130"/>
      <c r="AM172" s="130"/>
      <c r="AN172" s="130"/>
      <c r="AO172" s="130"/>
    </row>
  </sheetData>
  <autoFilter ref="R18:T45" xr:uid="{00000000-0009-0000-0000-000000000000}">
    <sortState xmlns:xlrd2="http://schemas.microsoft.com/office/spreadsheetml/2017/richdata2" ref="R18:T45">
      <sortCondition descending="1" ref="T18:T45"/>
    </sortState>
  </autoFilter>
  <mergeCells count="2">
    <mergeCell ref="B2:M4"/>
    <mergeCell ref="B6:E6"/>
  </mergeCells>
  <conditionalFormatting sqref="C19:C27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6:C5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3:C77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25:C12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98:D104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5:D129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19:G25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6:G52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3:G77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6:H5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8:H10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5:H12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6:I53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9:K25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3:K77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98:L102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LalPathlab</vt:lpstr>
      <vt:lpstr>Copy of Healthcare Service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2025-01-01T09:53:10Z</dcterms:created>
  <dcterms:modified xsi:type="dcterms:W3CDTF">2025-01-01T09:53:34Z</dcterms:modified>
</cp:coreProperties>
</file>